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832" tabRatio="390"/>
  </bookViews>
  <sheets>
    <sheet name="Приложение № 2 (16)" sheetId="1" r:id="rId1"/>
  </sheets>
  <definedNames>
    <definedName name="_xlnm.Print_Titles" localSheetId="0">'Приложение № 2 (16)'!$A:$C,'Приложение № 2 (16)'!$21:$21</definedName>
    <definedName name="_xlnm.Print_Area" localSheetId="0">'Приложение № 2 (16)'!$A$1:$CR$319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0" i="1" l="1"/>
  <c r="P240" i="1"/>
  <c r="U240" i="1"/>
  <c r="AK240" i="1"/>
  <c r="AE240" i="1" s="1"/>
  <c r="BA240" i="1"/>
  <c r="BB240" i="1"/>
  <c r="BF240" i="1"/>
  <c r="BL240" i="1"/>
  <c r="BO240" i="1"/>
  <c r="CC240" i="1"/>
  <c r="CB240" i="1" s="1"/>
  <c r="CA240" i="1" s="1"/>
  <c r="CF240" i="1"/>
  <c r="CK240" i="1"/>
  <c r="I241" i="1"/>
  <c r="F241" i="1" s="1"/>
  <c r="P241" i="1"/>
  <c r="U241" i="1"/>
  <c r="AE241" i="1"/>
  <c r="BB241" i="1"/>
  <c r="BA241" i="1" s="1"/>
  <c r="BF241" i="1"/>
  <c r="BJ241" i="1"/>
  <c r="BL241" i="1"/>
  <c r="BO241" i="1"/>
  <c r="CB241" i="1"/>
  <c r="CA241" i="1" s="1"/>
  <c r="CC241" i="1"/>
  <c r="CF241" i="1"/>
  <c r="CK241" i="1"/>
  <c r="E241" i="1" l="1"/>
  <c r="D241" i="1" s="1"/>
  <c r="F240" i="1"/>
  <c r="E240" i="1" s="1"/>
  <c r="D240" i="1" s="1"/>
  <c r="CE256" i="1"/>
  <c r="AI270" i="1"/>
  <c r="X270" i="1"/>
  <c r="Y267" i="1"/>
  <c r="W267" i="1"/>
  <c r="AN262" i="1"/>
  <c r="AJ262" i="1"/>
  <c r="X262" i="1"/>
  <c r="AI260" i="1"/>
  <c r="X260" i="1"/>
  <c r="Y256" i="1"/>
  <c r="X256" i="1"/>
  <c r="Y249" i="1"/>
  <c r="X249" i="1"/>
  <c r="W249" i="1"/>
  <c r="O249" i="1"/>
  <c r="L249" i="1"/>
  <c r="CR306" i="1"/>
  <c r="CR245" i="1"/>
  <c r="CR222" i="1"/>
  <c r="CR188" i="1"/>
  <c r="CR175" i="1"/>
  <c r="CR166" i="1"/>
  <c r="CR152" i="1"/>
  <c r="CR139" i="1"/>
  <c r="CR119" i="1"/>
  <c r="CR112" i="1"/>
  <c r="CR109" i="1"/>
  <c r="CR104" i="1"/>
  <c r="CR92" i="1"/>
  <c r="CR74" i="1"/>
  <c r="CR69" i="1"/>
  <c r="CR66" i="1"/>
  <c r="CR55" i="1"/>
  <c r="CR23" i="1"/>
  <c r="CR232" i="1" l="1"/>
  <c r="CP245" i="1"/>
  <c r="CR130" i="1"/>
  <c r="CR290" i="1"/>
  <c r="CR226" i="1" l="1"/>
  <c r="CR319" i="1"/>
  <c r="AZ312" i="1"/>
  <c r="BI305" i="1"/>
  <c r="BJ302" i="1"/>
  <c r="BG301" i="1"/>
  <c r="CN287" i="1"/>
  <c r="CO245" i="1"/>
  <c r="CK245" i="1"/>
  <c r="CF245" i="1"/>
  <c r="CC245" i="1"/>
  <c r="BO245" i="1"/>
  <c r="BL245" i="1"/>
  <c r="BF245" i="1"/>
  <c r="BB245" i="1"/>
  <c r="AE245" i="1"/>
  <c r="U245" i="1"/>
  <c r="P245" i="1"/>
  <c r="O245" i="1"/>
  <c r="CN228" i="1"/>
  <c r="BJ225" i="1"/>
  <c r="BZ206" i="1"/>
  <c r="BY196" i="1"/>
  <c r="X193" i="1"/>
  <c r="W193" i="1"/>
  <c r="Y192" i="1"/>
  <c r="X192" i="1"/>
  <c r="BZ190" i="1"/>
  <c r="BZ189" i="1"/>
  <c r="AC183" i="1"/>
  <c r="X183" i="1"/>
  <c r="W183" i="1"/>
  <c r="X182" i="1"/>
  <c r="Y180" i="1"/>
  <c r="W180" i="1"/>
  <c r="Y179" i="1"/>
  <c r="X179" i="1"/>
  <c r="W179" i="1"/>
  <c r="AC177" i="1"/>
  <c r="Y177" i="1"/>
  <c r="X177" i="1"/>
  <c r="W177" i="1"/>
  <c r="Y147" i="1"/>
  <c r="X133" i="1"/>
  <c r="Y132" i="1"/>
  <c r="X132" i="1"/>
  <c r="W132" i="1"/>
  <c r="K132" i="1"/>
  <c r="BC108" i="1"/>
  <c r="CE91" i="1"/>
  <c r="X91" i="1"/>
  <c r="X85" i="1"/>
  <c r="O85" i="1"/>
  <c r="X78" i="1"/>
  <c r="CM76" i="1"/>
  <c r="BY76" i="1"/>
  <c r="BR76" i="1"/>
  <c r="AN76" i="1"/>
  <c r="AC76" i="1"/>
  <c r="Y76" i="1"/>
  <c r="X76" i="1"/>
  <c r="W76" i="1"/>
  <c r="CE71" i="1"/>
  <c r="Y71" i="1"/>
  <c r="AO59" i="1"/>
  <c r="X59" i="1"/>
  <c r="CE49" i="1"/>
  <c r="X49" i="1"/>
  <c r="V49" i="1"/>
  <c r="N49" i="1"/>
  <c r="AS43" i="1"/>
  <c r="Y43" i="1"/>
  <c r="X43" i="1"/>
  <c r="W43" i="1"/>
  <c r="O43" i="1"/>
  <c r="X36" i="1"/>
  <c r="AX35" i="1"/>
  <c r="X35" i="1"/>
  <c r="Y32" i="1"/>
  <c r="X32" i="1"/>
  <c r="N29" i="1"/>
  <c r="AR29" i="1"/>
  <c r="I245" i="1" l="1"/>
  <c r="CB245" i="1"/>
  <c r="BA245" i="1"/>
  <c r="AX154" i="1"/>
  <c r="F245" i="1" l="1"/>
  <c r="CA245" i="1"/>
  <c r="E245" i="1"/>
  <c r="V269" i="1"/>
  <c r="AZ262" i="1"/>
  <c r="Z254" i="1"/>
  <c r="Y254" i="1"/>
  <c r="D245" i="1" l="1"/>
  <c r="AI251" i="1"/>
  <c r="H252" i="1"/>
  <c r="G252" i="1"/>
  <c r="H251" i="1"/>
  <c r="G251" i="1"/>
  <c r="N251" i="1"/>
  <c r="J251" i="1"/>
  <c r="CE252" i="1"/>
  <c r="CE251" i="1"/>
  <c r="AN252" i="1"/>
  <c r="AN251" i="1"/>
  <c r="AK252" i="1"/>
  <c r="AK251" i="1"/>
  <c r="AI252" i="1"/>
  <c r="AH251" i="1"/>
  <c r="AC252" i="1"/>
  <c r="AC251" i="1"/>
  <c r="Y252" i="1"/>
  <c r="Y251" i="1"/>
  <c r="X252" i="1"/>
  <c r="X251" i="1"/>
  <c r="W252" i="1"/>
  <c r="W251" i="1"/>
  <c r="T252" i="1"/>
  <c r="T251" i="1"/>
  <c r="O252" i="1"/>
  <c r="O251" i="1"/>
  <c r="N252" i="1"/>
  <c r="L252" i="1"/>
  <c r="L251" i="1"/>
  <c r="K252" i="1"/>
  <c r="K251" i="1"/>
  <c r="J252" i="1"/>
  <c r="CE40" i="1"/>
  <c r="X267" i="1"/>
  <c r="T267" i="1"/>
  <c r="X266" i="1"/>
  <c r="S266" i="1"/>
  <c r="O266" i="1"/>
  <c r="Y265" i="1"/>
  <c r="O265" i="1"/>
  <c r="AI264" i="1"/>
  <c r="N264" i="1"/>
  <c r="AM262" i="1"/>
  <c r="AI262" i="1"/>
  <c r="V262" i="1"/>
  <c r="AZ261" i="1"/>
  <c r="CE259" i="1"/>
  <c r="AC259" i="1"/>
  <c r="Y259" i="1"/>
  <c r="AN258" i="1"/>
  <c r="AI258" i="1"/>
  <c r="AC258" i="1"/>
  <c r="Y258" i="1"/>
  <c r="X258" i="1"/>
  <c r="W258" i="1"/>
  <c r="O258" i="1"/>
  <c r="J258" i="1"/>
  <c r="X254" i="1"/>
  <c r="W254" i="1"/>
  <c r="Y271" i="1"/>
  <c r="CJ271" i="1" l="1"/>
  <c r="AI271" i="1"/>
  <c r="X271" i="1"/>
  <c r="V271" i="1"/>
  <c r="O271" i="1"/>
  <c r="N271" i="1"/>
  <c r="AZ270" i="1"/>
  <c r="AH270" i="1"/>
  <c r="AC270" i="1"/>
  <c r="Y270" i="1"/>
  <c r="W270" i="1"/>
  <c r="R270" i="1"/>
  <c r="AI268" i="1"/>
  <c r="AC268" i="1"/>
  <c r="Y268" i="1"/>
  <c r="X268" i="1"/>
  <c r="W268" i="1"/>
  <c r="AZ267" i="1" l="1"/>
  <c r="AX267" i="1"/>
  <c r="O267" i="1"/>
  <c r="H267" i="1"/>
  <c r="G267" i="1"/>
  <c r="AC264" i="1"/>
  <c r="Y264" i="1"/>
  <c r="X264" i="1"/>
  <c r="O262" i="1"/>
  <c r="N262" i="1"/>
  <c r="AC256" i="1"/>
  <c r="W256" i="1"/>
  <c r="O256" i="1"/>
  <c r="AH253" i="1"/>
  <c r="AC253" i="1"/>
  <c r="Y253" i="1"/>
  <c r="H253" i="1"/>
  <c r="CE253" i="1"/>
  <c r="AZ253" i="1"/>
  <c r="AS253" i="1"/>
  <c r="AN253" i="1"/>
  <c r="AK253" i="1"/>
  <c r="AI253" i="1"/>
  <c r="X253" i="1"/>
  <c r="W253" i="1"/>
  <c r="T253" i="1"/>
  <c r="R253" i="1"/>
  <c r="Q253" i="1"/>
  <c r="O253" i="1"/>
  <c r="N253" i="1"/>
  <c r="K253" i="1"/>
  <c r="J253" i="1"/>
  <c r="G253" i="1"/>
  <c r="AM251" i="1"/>
  <c r="V251" i="1" l="1"/>
  <c r="AZ249" i="1"/>
  <c r="AZ316" i="1"/>
  <c r="BZ314" i="1" l="1"/>
  <c r="CN310" i="1"/>
  <c r="CM310" i="1"/>
  <c r="CL310" i="1"/>
  <c r="CI310" i="1"/>
  <c r="CH310" i="1"/>
  <c r="CG310" i="1"/>
  <c r="AZ310" i="1"/>
  <c r="BG300" i="1"/>
  <c r="BJ298" i="1"/>
  <c r="BJ299" i="1"/>
  <c r="CK299" i="1"/>
  <c r="CF299" i="1"/>
  <c r="CC299" i="1"/>
  <c r="BO299" i="1"/>
  <c r="BL299" i="1"/>
  <c r="BF299" i="1"/>
  <c r="BB299" i="1"/>
  <c r="AE299" i="1"/>
  <c r="U299" i="1"/>
  <c r="P299" i="1"/>
  <c r="I299" i="1"/>
  <c r="BJ296" i="1"/>
  <c r="BJ289" i="1"/>
  <c r="CN285" i="1"/>
  <c r="AZ283" i="1"/>
  <c r="CN278" i="1"/>
  <c r="CN281" i="1"/>
  <c r="CN277" i="1"/>
  <c r="CN276" i="1"/>
  <c r="CN275" i="1"/>
  <c r="AZ246" i="1"/>
  <c r="CB299" i="1" l="1"/>
  <c r="F299" i="1"/>
  <c r="BA299" i="1"/>
  <c r="CE243" i="1"/>
  <c r="AJ239" i="1"/>
  <c r="AJ237" i="1"/>
  <c r="CQ236" i="1"/>
  <c r="CA299" i="1" l="1"/>
  <c r="E299" i="1"/>
  <c r="AZ235" i="1"/>
  <c r="CP235" i="1"/>
  <c r="CK235" i="1"/>
  <c r="CF235" i="1"/>
  <c r="CC235" i="1"/>
  <c r="BO235" i="1"/>
  <c r="BL235" i="1"/>
  <c r="BF235" i="1"/>
  <c r="BB235" i="1"/>
  <c r="AE235" i="1"/>
  <c r="U235" i="1"/>
  <c r="P235" i="1"/>
  <c r="I235" i="1"/>
  <c r="O230" i="1"/>
  <c r="BY230" i="1"/>
  <c r="AZ230" i="1"/>
  <c r="AR230" i="1"/>
  <c r="AK230" i="1"/>
  <c r="Y230" i="1"/>
  <c r="X230" i="1"/>
  <c r="W230" i="1"/>
  <c r="AB221" i="1"/>
  <c r="AB219" i="1"/>
  <c r="K210" i="1"/>
  <c r="BY209" i="1"/>
  <c r="BY208" i="1"/>
  <c r="BZ207" i="1"/>
  <c r="BY206" i="1"/>
  <c r="D299" i="1" l="1"/>
  <c r="CO235" i="1"/>
  <c r="CB235" i="1"/>
  <c r="BA235" i="1"/>
  <c r="F235" i="1"/>
  <c r="BW206" i="1"/>
  <c r="AZ206" i="1"/>
  <c r="AV206" i="1"/>
  <c r="O206" i="1"/>
  <c r="CE205" i="1"/>
  <c r="BY205" i="1"/>
  <c r="N205" i="1"/>
  <c r="BY204" i="1"/>
  <c r="N204" i="1"/>
  <c r="BQ202" i="1"/>
  <c r="BS198" i="1"/>
  <c r="BV196" i="1"/>
  <c r="Y194" i="1"/>
  <c r="X194" i="1"/>
  <c r="W194" i="1"/>
  <c r="O194" i="1"/>
  <c r="N194" i="1"/>
  <c r="CE193" i="1"/>
  <c r="AZ193" i="1"/>
  <c r="AS193" i="1"/>
  <c r="AR193" i="1"/>
  <c r="AI193" i="1"/>
  <c r="AC193" i="1"/>
  <c r="Z193" i="1"/>
  <c r="Y193" i="1"/>
  <c r="V193" i="1"/>
  <c r="N193" i="1"/>
  <c r="L193" i="1"/>
  <c r="K193" i="1"/>
  <c r="CE192" i="1"/>
  <c r="AR192" i="1"/>
  <c r="AC192" i="1"/>
  <c r="W192" i="1"/>
  <c r="O192" i="1"/>
  <c r="N192" i="1"/>
  <c r="J192" i="1"/>
  <c r="BY189" i="1"/>
  <c r="BP189" i="1"/>
  <c r="N187" i="1"/>
  <c r="AZ185" i="1"/>
  <c r="Y183" i="1"/>
  <c r="N183" i="1"/>
  <c r="CE182" i="1"/>
  <c r="BZ182" i="1"/>
  <c r="AZ182" i="1"/>
  <c r="AX182" i="1"/>
  <c r="AS182" i="1"/>
  <c r="AR182" i="1"/>
  <c r="AC182" i="1"/>
  <c r="Y182" i="1"/>
  <c r="V182" i="1"/>
  <c r="R182" i="1"/>
  <c r="O182" i="1"/>
  <c r="N182" i="1"/>
  <c r="L182" i="1"/>
  <c r="J182" i="1"/>
  <c r="AR180" i="1"/>
  <c r="AN180" i="1"/>
  <c r="X180" i="1"/>
  <c r="N180" i="1"/>
  <c r="CE179" i="1"/>
  <c r="AZ179" i="1"/>
  <c r="AR179" i="1"/>
  <c r="AC179" i="1"/>
  <c r="N179" i="1"/>
  <c r="AR177" i="1"/>
  <c r="V177" i="1"/>
  <c r="O177" i="1"/>
  <c r="CE174" i="1"/>
  <c r="Y174" i="1"/>
  <c r="X174" i="1"/>
  <c r="W174" i="1"/>
  <c r="V174" i="1"/>
  <c r="AZ169" i="1"/>
  <c r="CE168" i="1"/>
  <c r="AR168" i="1"/>
  <c r="AA168" i="1"/>
  <c r="X168" i="1"/>
  <c r="R168" i="1"/>
  <c r="O168" i="1"/>
  <c r="N168" i="1"/>
  <c r="G168" i="1"/>
  <c r="AZ165" i="1"/>
  <c r="CE164" i="1"/>
  <c r="O164" i="1"/>
  <c r="AZ163" i="1"/>
  <c r="O163" i="1"/>
  <c r="CE162" i="1"/>
  <c r="AZ162" i="1"/>
  <c r="AR162" i="1"/>
  <c r="AN162" i="1"/>
  <c r="AM162" i="1"/>
  <c r="Y162" i="1"/>
  <c r="X162" i="1"/>
  <c r="W162" i="1"/>
  <c r="T162" i="1"/>
  <c r="O162" i="1"/>
  <c r="N162" i="1"/>
  <c r="K162" i="1"/>
  <c r="BR161" i="1"/>
  <c r="AZ161" i="1"/>
  <c r="AR161" i="1"/>
  <c r="Y161" i="1"/>
  <c r="X161" i="1"/>
  <c r="W161" i="1"/>
  <c r="T161" i="1"/>
  <c r="O161" i="1"/>
  <c r="N161" i="1"/>
  <c r="H161" i="1"/>
  <c r="AZ159" i="1"/>
  <c r="AZ158" i="1"/>
  <c r="AX155" i="1"/>
  <c r="AR155" i="1"/>
  <c r="Y155" i="1"/>
  <c r="X155" i="1"/>
  <c r="W155" i="1"/>
  <c r="O155" i="1"/>
  <c r="N155" i="1"/>
  <c r="AR154" i="1"/>
  <c r="AC154" i="1"/>
  <c r="Y154" i="1"/>
  <c r="X154" i="1"/>
  <c r="O154" i="1"/>
  <c r="AZ151" i="1"/>
  <c r="AN151" i="1"/>
  <c r="AI150" i="1"/>
  <c r="O150" i="1"/>
  <c r="AZ149" i="1"/>
  <c r="AN149" i="1"/>
  <c r="BZ147" i="1"/>
  <c r="AR147" i="1"/>
  <c r="X147" i="1"/>
  <c r="W147" i="1"/>
  <c r="N147" i="1"/>
  <c r="K147" i="1"/>
  <c r="AN145" i="1"/>
  <c r="AM145" i="1"/>
  <c r="Y145" i="1"/>
  <c r="X145" i="1"/>
  <c r="W145" i="1"/>
  <c r="O145" i="1"/>
  <c r="N145" i="1"/>
  <c r="CE143" i="1"/>
  <c r="BY143" i="1"/>
  <c r="AN143" i="1"/>
  <c r="AM143" i="1"/>
  <c r="AK143" i="1"/>
  <c r="AI143" i="1"/>
  <c r="Z143" i="1"/>
  <c r="Y143" i="1"/>
  <c r="X143" i="1"/>
  <c r="W143" i="1"/>
  <c r="O143" i="1"/>
  <c r="N143" i="1"/>
  <c r="K143" i="1"/>
  <c r="J143" i="1"/>
  <c r="BZ142" i="1"/>
  <c r="BY142" i="1"/>
  <c r="BR142" i="1"/>
  <c r="AZ142" i="1"/>
  <c r="AN142" i="1"/>
  <c r="AJ142" i="1"/>
  <c r="AC142" i="1"/>
  <c r="CA235" i="1" l="1"/>
  <c r="E235" i="1"/>
  <c r="Y142" i="1"/>
  <c r="X142" i="1"/>
  <c r="W142" i="1"/>
  <c r="O142" i="1"/>
  <c r="N142" i="1"/>
  <c r="T140" i="1"/>
  <c r="BY140" i="1"/>
  <c r="BR140" i="1"/>
  <c r="AN140" i="1"/>
  <c r="AK140" i="1"/>
  <c r="AH140" i="1"/>
  <c r="AE140" i="1" s="1"/>
  <c r="Y140" i="1"/>
  <c r="X140" i="1"/>
  <c r="W140" i="1"/>
  <c r="V140" i="1"/>
  <c r="O140" i="1"/>
  <c r="N140" i="1"/>
  <c r="L140" i="1"/>
  <c r="H140" i="1"/>
  <c r="G140" i="1"/>
  <c r="CK140" i="1"/>
  <c r="CF140" i="1"/>
  <c r="CC140" i="1"/>
  <c r="BL140" i="1"/>
  <c r="BF140" i="1"/>
  <c r="BB140" i="1"/>
  <c r="P140" i="1"/>
  <c r="CQ139" i="1"/>
  <c r="CP139" i="1"/>
  <c r="CO139" i="1"/>
  <c r="CN139" i="1"/>
  <c r="CM139" i="1"/>
  <c r="CL139" i="1"/>
  <c r="CJ139" i="1"/>
  <c r="CI139" i="1"/>
  <c r="CH139" i="1"/>
  <c r="CG139" i="1"/>
  <c r="CE139" i="1"/>
  <c r="CD139" i="1"/>
  <c r="BZ139" i="1"/>
  <c r="BX139" i="1"/>
  <c r="BW139" i="1"/>
  <c r="BV139" i="1"/>
  <c r="BU139" i="1"/>
  <c r="BT139" i="1"/>
  <c r="BS139" i="1"/>
  <c r="BQ139" i="1"/>
  <c r="BP139" i="1"/>
  <c r="BN139" i="1"/>
  <c r="BM139" i="1"/>
  <c r="BK139" i="1"/>
  <c r="BJ139" i="1"/>
  <c r="BI139" i="1"/>
  <c r="BH139" i="1"/>
  <c r="BG139" i="1"/>
  <c r="BE139" i="1"/>
  <c r="BD139" i="1"/>
  <c r="BC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M139" i="1"/>
  <c r="AL139" i="1"/>
  <c r="AK139" i="1"/>
  <c r="AJ139" i="1"/>
  <c r="AI139" i="1"/>
  <c r="AG139" i="1"/>
  <c r="AF139" i="1"/>
  <c r="AD139" i="1"/>
  <c r="AC139" i="1"/>
  <c r="AB139" i="1"/>
  <c r="AA139" i="1"/>
  <c r="Z139" i="1"/>
  <c r="S139" i="1"/>
  <c r="R139" i="1"/>
  <c r="Q139" i="1"/>
  <c r="M139" i="1"/>
  <c r="K139" i="1"/>
  <c r="J139" i="1"/>
  <c r="CE138" i="1"/>
  <c r="AZ138" i="1"/>
  <c r="AS138" i="1"/>
  <c r="AR138" i="1"/>
  <c r="AN138" i="1"/>
  <c r="AK138" i="1"/>
  <c r="AI138" i="1"/>
  <c r="Y138" i="1"/>
  <c r="X138" i="1"/>
  <c r="W138" i="1"/>
  <c r="O138" i="1"/>
  <c r="N138" i="1"/>
  <c r="J138" i="1"/>
  <c r="L138" i="1"/>
  <c r="K138" i="1"/>
  <c r="BZ137" i="1"/>
  <c r="BY137" i="1"/>
  <c r="BR137" i="1"/>
  <c r="AR137" i="1"/>
  <c r="AN137" i="1"/>
  <c r="AK137" i="1"/>
  <c r="AJ137" i="1"/>
  <c r="AC137" i="1"/>
  <c r="Z137" i="1"/>
  <c r="Y137" i="1"/>
  <c r="X137" i="1"/>
  <c r="W137" i="1"/>
  <c r="O137" i="1"/>
  <c r="N137" i="1"/>
  <c r="BZ136" i="1"/>
  <c r="BY136" i="1"/>
  <c r="BR136" i="1"/>
  <c r="AN136" i="1"/>
  <c r="AK136" i="1"/>
  <c r="AI136" i="1"/>
  <c r="AH136" i="1"/>
  <c r="Y136" i="1"/>
  <c r="X136" i="1"/>
  <c r="W136" i="1"/>
  <c r="V136" i="1"/>
  <c r="T136" i="1"/>
  <c r="O136" i="1"/>
  <c r="N136" i="1"/>
  <c r="L136" i="1"/>
  <c r="H136" i="1"/>
  <c r="G136" i="1"/>
  <c r="AH139" i="1" l="1"/>
  <c r="D235" i="1"/>
  <c r="G139" i="1"/>
  <c r="L139" i="1"/>
  <c r="AN139" i="1"/>
  <c r="V139" i="1"/>
  <c r="BR139" i="1"/>
  <c r="Y139" i="1"/>
  <c r="BY139" i="1"/>
  <c r="W139" i="1"/>
  <c r="T139" i="1"/>
  <c r="O139" i="1"/>
  <c r="CB140" i="1"/>
  <c r="U140" i="1"/>
  <c r="N139" i="1"/>
  <c r="X139" i="1"/>
  <c r="BO140" i="1"/>
  <c r="I140" i="1"/>
  <c r="H139" i="1"/>
  <c r="BZ134" i="1"/>
  <c r="Y134" i="1"/>
  <c r="X134" i="1"/>
  <c r="W134" i="1"/>
  <c r="O134" i="1"/>
  <c r="BZ133" i="1"/>
  <c r="BU133" i="1"/>
  <c r="AR133" i="1"/>
  <c r="AJ133" i="1"/>
  <c r="AC133" i="1"/>
  <c r="Y133" i="1"/>
  <c r="W133" i="1"/>
  <c r="L133" i="1"/>
  <c r="K133" i="1"/>
  <c r="BZ132" i="1"/>
  <c r="BU132" i="1"/>
  <c r="AR132" i="1"/>
  <c r="AC132" i="1"/>
  <c r="Z132" i="1"/>
  <c r="N132" i="1"/>
  <c r="AZ129" i="1"/>
  <c r="AZ127" i="1"/>
  <c r="AZ126" i="1"/>
  <c r="BE124" i="1"/>
  <c r="X118" i="1"/>
  <c r="W118" i="1"/>
  <c r="N118" i="1"/>
  <c r="AG103" i="1"/>
  <c r="AG98" i="1"/>
  <c r="CE95" i="1"/>
  <c r="AK95" i="1"/>
  <c r="X95" i="1"/>
  <c r="N95" i="1"/>
  <c r="Y94" i="1"/>
  <c r="X94" i="1"/>
  <c r="W94" i="1"/>
  <c r="CA140" i="1" l="1"/>
  <c r="BA140" i="1"/>
  <c r="F140" i="1"/>
  <c r="AZ91" i="1"/>
  <c r="AR91" i="1"/>
  <c r="AQ91" i="1"/>
  <c r="AO91" i="1"/>
  <c r="AN91" i="1"/>
  <c r="AL91" i="1"/>
  <c r="AC91" i="1"/>
  <c r="Y91" i="1"/>
  <c r="V91" i="1"/>
  <c r="O91" i="1"/>
  <c r="E140" i="1" l="1"/>
  <c r="N91" i="1"/>
  <c r="K91" i="1"/>
  <c r="CE89" i="1"/>
  <c r="BY89" i="1"/>
  <c r="BM89" i="1"/>
  <c r="AZ89" i="1"/>
  <c r="AY89" i="1"/>
  <c r="AX89" i="1"/>
  <c r="D140" i="1" l="1"/>
  <c r="AS89" i="1"/>
  <c r="AN89" i="1"/>
  <c r="AM89" i="1"/>
  <c r="AK89" i="1"/>
  <c r="AI89" i="1"/>
  <c r="AH89" i="1"/>
  <c r="AC89" i="1"/>
  <c r="AA89" i="1"/>
  <c r="Y89" i="1"/>
  <c r="X89" i="1"/>
  <c r="W89" i="1"/>
  <c r="T89" i="1"/>
  <c r="S89" i="1"/>
  <c r="Q89" i="1"/>
  <c r="O89" i="1"/>
  <c r="N89" i="1"/>
  <c r="K89" i="1"/>
  <c r="J89" i="1"/>
  <c r="CE87" i="1"/>
  <c r="BY87" i="1"/>
  <c r="AR87" i="1"/>
  <c r="AO87" i="1"/>
  <c r="AI87" i="1"/>
  <c r="Y87" i="1"/>
  <c r="X87" i="1"/>
  <c r="W87" i="1"/>
  <c r="O87" i="1"/>
  <c r="N87" i="1"/>
  <c r="CE85" i="1"/>
  <c r="BY85" i="1"/>
  <c r="AZ85" i="1"/>
  <c r="AN85" i="1"/>
  <c r="AI85" i="1"/>
  <c r="AC85" i="1"/>
  <c r="Y85" i="1"/>
  <c r="W85" i="1"/>
  <c r="N85" i="1"/>
  <c r="K85" i="1"/>
  <c r="X83" i="1"/>
  <c r="CE83" i="1"/>
  <c r="AZ83" i="1"/>
  <c r="AR83" i="1"/>
  <c r="Y83" i="1"/>
  <c r="W83" i="1"/>
  <c r="T83" i="1"/>
  <c r="O83" i="1"/>
  <c r="K83" i="1"/>
  <c r="N83" i="1"/>
  <c r="CE81" i="1"/>
  <c r="BZ81" i="1"/>
  <c r="AZ81" i="1"/>
  <c r="AW81" i="1"/>
  <c r="AQ81" i="1"/>
  <c r="AP81" i="1"/>
  <c r="AN81" i="1"/>
  <c r="AM81" i="1"/>
  <c r="AL81" i="1"/>
  <c r="AK81" i="1"/>
  <c r="AI81" i="1"/>
  <c r="AC81" i="1"/>
  <c r="Y81" i="1"/>
  <c r="X81" i="1"/>
  <c r="W81" i="1"/>
  <c r="T81" i="1"/>
  <c r="O81" i="1"/>
  <c r="L81" i="1"/>
  <c r="K81" i="1"/>
  <c r="CE79" i="1"/>
  <c r="AZ79" i="1"/>
  <c r="AX79" i="1"/>
  <c r="AW79" i="1"/>
  <c r="AR79" i="1"/>
  <c r="AN79" i="1"/>
  <c r="AC79" i="1"/>
  <c r="Z79" i="1"/>
  <c r="Y79" i="1"/>
  <c r="X79" i="1"/>
  <c r="W79" i="1"/>
  <c r="V79" i="1"/>
  <c r="T79" i="1"/>
  <c r="O79" i="1"/>
  <c r="N79" i="1"/>
  <c r="K79" i="1"/>
  <c r="G79" i="1"/>
  <c r="AC78" i="1"/>
  <c r="Y78" i="1"/>
  <c r="W78" i="1"/>
  <c r="K78" i="1" l="1"/>
  <c r="CN76" i="1"/>
  <c r="CE76" i="1"/>
  <c r="BZ76" i="1"/>
  <c r="AX76" i="1"/>
  <c r="AW76" i="1"/>
  <c r="AR76" i="1"/>
  <c r="AQ76" i="1"/>
  <c r="AP76" i="1"/>
  <c r="AI76" i="1"/>
  <c r="O76" i="1"/>
  <c r="N76" i="1"/>
  <c r="L76" i="1"/>
  <c r="K76" i="1"/>
  <c r="G76" i="1"/>
  <c r="CM71" i="1"/>
  <c r="BZ71" i="1"/>
  <c r="BY71" i="1"/>
  <c r="AR71" i="1"/>
  <c r="AP71" i="1"/>
  <c r="AN71" i="1"/>
  <c r="AK71" i="1"/>
  <c r="AI71" i="1"/>
  <c r="AC71" i="1"/>
  <c r="X71" i="1"/>
  <c r="W71" i="1"/>
  <c r="O71" i="1"/>
  <c r="N71" i="1"/>
  <c r="L71" i="1"/>
  <c r="K71" i="1"/>
  <c r="CE68" i="1"/>
  <c r="AK68" i="1"/>
  <c r="AA68" i="1"/>
  <c r="O68" i="1"/>
  <c r="N68" i="1"/>
  <c r="AZ65" i="1"/>
  <c r="AT65" i="1"/>
  <c r="CE63" i="1"/>
  <c r="BY63" i="1"/>
  <c r="AZ63" i="1"/>
  <c r="AR63" i="1"/>
  <c r="AM63" i="1"/>
  <c r="AK63" i="1"/>
  <c r="AI63" i="1"/>
  <c r="AC63" i="1"/>
  <c r="Y63" i="1"/>
  <c r="X63" i="1"/>
  <c r="T63" i="1"/>
  <c r="O63" i="1"/>
  <c r="N63" i="1"/>
  <c r="CE61" i="1"/>
  <c r="AZ61" i="1"/>
  <c r="AR61" i="1"/>
  <c r="AN61" i="1"/>
  <c r="AM61" i="1"/>
  <c r="AK61" i="1"/>
  <c r="AI61" i="1"/>
  <c r="AC61" i="1"/>
  <c r="Z61" i="1"/>
  <c r="Y61" i="1"/>
  <c r="X61" i="1"/>
  <c r="W61" i="1"/>
  <c r="T61" i="1"/>
  <c r="O61" i="1"/>
  <c r="N61" i="1"/>
  <c r="CE59" i="1"/>
  <c r="AZ59" i="1"/>
  <c r="AR59" i="1"/>
  <c r="AN59" i="1"/>
  <c r="AM59" i="1"/>
  <c r="AI59" i="1"/>
  <c r="Y59" i="1"/>
  <c r="W59" i="1"/>
  <c r="Q59" i="1"/>
  <c r="O59" i="1"/>
  <c r="N59" i="1"/>
  <c r="CE57" i="1"/>
  <c r="BY57" i="1"/>
  <c r="AZ57" i="1"/>
  <c r="AS57" i="1"/>
  <c r="AR57" i="1"/>
  <c r="AN57" i="1"/>
  <c r="AM57" i="1"/>
  <c r="AH57" i="1"/>
  <c r="AC57" i="1"/>
  <c r="Y57" i="1"/>
  <c r="X57" i="1"/>
  <c r="O57" i="1"/>
  <c r="N57" i="1"/>
  <c r="H57" i="1"/>
  <c r="CE54" i="1"/>
  <c r="BY54" i="1"/>
  <c r="AZ54" i="1"/>
  <c r="AX54" i="1"/>
  <c r="AL54" i="1"/>
  <c r="AK54" i="1"/>
  <c r="AI54" i="1"/>
  <c r="Y54" i="1"/>
  <c r="X54" i="1"/>
  <c r="W54" i="1"/>
  <c r="T54" i="1"/>
  <c r="O54" i="1"/>
  <c r="N54" i="1"/>
  <c r="CE52" i="1"/>
  <c r="AI52" i="1"/>
  <c r="AH52" i="1"/>
  <c r="AA52" i="1"/>
  <c r="Y52" i="1"/>
  <c r="W52" i="1"/>
  <c r="T52" i="1"/>
  <c r="O52" i="1"/>
  <c r="CE50" i="1"/>
  <c r="AZ50" i="1"/>
  <c r="AR50" i="1"/>
  <c r="AK50" i="1"/>
  <c r="AC50" i="1"/>
  <c r="Y50" i="1"/>
  <c r="X50" i="1"/>
  <c r="W50" i="1"/>
  <c r="O50" i="1"/>
  <c r="N50" i="1"/>
  <c r="AI49" i="1"/>
  <c r="BY49" i="1"/>
  <c r="AZ49" i="1"/>
  <c r="AR49" i="1"/>
  <c r="AP49" i="1"/>
  <c r="AN49" i="1"/>
  <c r="AL49" i="1"/>
  <c r="AK49" i="1"/>
  <c r="AC49" i="1"/>
  <c r="AA49" i="1"/>
  <c r="Y49" i="1"/>
  <c r="W49" i="1"/>
  <c r="O49" i="1"/>
  <c r="H49" i="1"/>
  <c r="G49" i="1"/>
  <c r="CE48" i="1"/>
  <c r="AZ48" i="1"/>
  <c r="AH48" i="1"/>
  <c r="X48" i="1"/>
  <c r="W48" i="1"/>
  <c r="O48" i="1"/>
  <c r="N48" i="1"/>
  <c r="H48" i="1"/>
  <c r="G48" i="1"/>
  <c r="AZ47" i="1"/>
  <c r="O47" i="1"/>
  <c r="N47" i="1"/>
  <c r="CE45" i="1"/>
  <c r="BY45" i="1"/>
  <c r="AW45" i="1"/>
  <c r="AR45" i="1"/>
  <c r="AM45" i="1"/>
  <c r="AL45" i="1"/>
  <c r="AK45" i="1"/>
  <c r="AI45" i="1"/>
  <c r="AC45" i="1"/>
  <c r="Y45" i="1"/>
  <c r="X45" i="1"/>
  <c r="W45" i="1"/>
  <c r="O45" i="1"/>
  <c r="N45" i="1"/>
  <c r="G45" i="1"/>
  <c r="AZ43" i="1"/>
  <c r="AK43" i="1"/>
  <c r="AI43" i="1"/>
  <c r="N43" i="1"/>
  <c r="CE42" i="1"/>
  <c r="BY42" i="1"/>
  <c r="AZ42" i="1"/>
  <c r="AR42" i="1"/>
  <c r="Y42" i="1"/>
  <c r="X42" i="1"/>
  <c r="W42" i="1"/>
  <c r="O42" i="1"/>
  <c r="CE41" i="1"/>
  <c r="AZ41" i="1"/>
  <c r="AR41" i="1"/>
  <c r="Y41" i="1"/>
  <c r="X41" i="1"/>
  <c r="W41" i="1"/>
  <c r="O41" i="1"/>
  <c r="N41" i="1"/>
  <c r="BY40" i="1"/>
  <c r="AR40" i="1"/>
  <c r="AN40" i="1"/>
  <c r="AM40" i="1"/>
  <c r="AK40" i="1"/>
  <c r="Y40" i="1"/>
  <c r="X40" i="1"/>
  <c r="W40" i="1"/>
  <c r="V40" i="1"/>
  <c r="O40" i="1"/>
  <c r="N40" i="1"/>
  <c r="AS39" i="1"/>
  <c r="Y39" i="1"/>
  <c r="X39" i="1"/>
  <c r="W39" i="1"/>
  <c r="O39" i="1"/>
  <c r="N39" i="1"/>
  <c r="CE38" i="1"/>
  <c r="AZ38" i="1"/>
  <c r="Y38" i="1"/>
  <c r="X38" i="1"/>
  <c r="W38" i="1"/>
  <c r="O38" i="1"/>
  <c r="N38" i="1"/>
  <c r="AZ37" i="1"/>
  <c r="AK37" i="1"/>
  <c r="AI37" i="1"/>
  <c r="AA37" i="1"/>
  <c r="Y37" i="1"/>
  <c r="X37" i="1"/>
  <c r="W37" i="1"/>
  <c r="O37" i="1"/>
  <c r="N37" i="1"/>
  <c r="CE36" i="1"/>
  <c r="BY36" i="1"/>
  <c r="AZ36" i="1"/>
  <c r="AO36" i="1"/>
  <c r="AN36" i="1"/>
  <c r="AM36" i="1"/>
  <c r="AL36" i="1"/>
  <c r="AI36" i="1"/>
  <c r="AC36" i="1"/>
  <c r="Y36" i="1"/>
  <c r="O36" i="1"/>
  <c r="N36" i="1"/>
  <c r="K36" i="1"/>
  <c r="CE35" i="1"/>
  <c r="BY35" i="1"/>
  <c r="AZ35" i="1"/>
  <c r="AK35" i="1"/>
  <c r="AI35" i="1"/>
  <c r="AC35" i="1"/>
  <c r="Y35" i="1"/>
  <c r="W35" i="1"/>
  <c r="O35" i="1"/>
  <c r="N35" i="1"/>
  <c r="K35" i="1"/>
  <c r="BY34" i="1"/>
  <c r="AR34" i="1"/>
  <c r="Y34" i="1"/>
  <c r="X34" i="1"/>
  <c r="W34" i="1"/>
  <c r="O34" i="1"/>
  <c r="N34" i="1"/>
  <c r="AD33" i="1"/>
  <c r="O33" i="1"/>
  <c r="AZ32" i="1"/>
  <c r="AR32" i="1"/>
  <c r="AN32" i="1"/>
  <c r="AK32" i="1"/>
  <c r="AI32" i="1"/>
  <c r="AC32" i="1"/>
  <c r="W32" i="1"/>
  <c r="T32" i="1"/>
  <c r="O32" i="1"/>
  <c r="N32" i="1"/>
  <c r="CE31" i="1"/>
  <c r="AZ31" i="1"/>
  <c r="AR31" i="1"/>
  <c r="AK46" i="1" l="1"/>
  <c r="AN31" i="1"/>
  <c r="AM31" i="1"/>
  <c r="AK31" i="1"/>
  <c r="AI31" i="1"/>
  <c r="AC31" i="1"/>
  <c r="AA31" i="1"/>
  <c r="Y31" i="1"/>
  <c r="X31" i="1"/>
  <c r="W31" i="1"/>
  <c r="O31" i="1"/>
  <c r="N31" i="1"/>
  <c r="CE29" i="1"/>
  <c r="BY29" i="1"/>
  <c r="AZ29" i="1"/>
  <c r="AN29" i="1"/>
  <c r="AI29" i="1"/>
  <c r="Y29" i="1"/>
  <c r="X29" i="1"/>
  <c r="W29" i="1"/>
  <c r="O29" i="1"/>
  <c r="CE28" i="1"/>
  <c r="AZ28" i="1"/>
  <c r="AR28" i="1"/>
  <c r="AO28" i="1"/>
  <c r="AM28" i="1"/>
  <c r="AL28" i="1"/>
  <c r="AK28" i="1"/>
  <c r="AI28" i="1"/>
  <c r="AC28" i="1"/>
  <c r="Y28" i="1"/>
  <c r="X28" i="1"/>
  <c r="W28" i="1"/>
  <c r="O28" i="1"/>
  <c r="N28" i="1"/>
  <c r="CE27" i="1"/>
  <c r="BY27" i="1"/>
  <c r="AZ27" i="1"/>
  <c r="AR27" i="1"/>
  <c r="AO27" i="1"/>
  <c r="AN27" i="1" l="1"/>
  <c r="AM27" i="1"/>
  <c r="AK27" i="1"/>
  <c r="AI27" i="1"/>
  <c r="AF27" i="1"/>
  <c r="AC27" i="1"/>
  <c r="Y27" i="1"/>
  <c r="X27" i="1"/>
  <c r="W27" i="1"/>
  <c r="O27" i="1"/>
  <c r="N27" i="1"/>
  <c r="CM25" i="1"/>
  <c r="CE25" i="1"/>
  <c r="BY25" i="1"/>
  <c r="AZ25" i="1"/>
  <c r="AP25" i="1"/>
  <c r="AN25" i="1"/>
  <c r="AM25" i="1"/>
  <c r="AL25" i="1"/>
  <c r="AK25" i="1"/>
  <c r="AI25" i="1"/>
  <c r="AC25" i="1"/>
  <c r="Y25" i="1"/>
  <c r="X25" i="1"/>
  <c r="W25" i="1"/>
  <c r="O25" i="1"/>
  <c r="N25" i="1"/>
  <c r="K25" i="1"/>
  <c r="N177" i="1" l="1"/>
  <c r="AZ177" i="1"/>
  <c r="BH106" i="1" l="1"/>
  <c r="BF187" i="1"/>
  <c r="BF185" i="1"/>
  <c r="BF183" i="1"/>
  <c r="BF182" i="1"/>
  <c r="BF180" i="1"/>
  <c r="BF179" i="1"/>
  <c r="BF177" i="1"/>
  <c r="BF174" i="1"/>
  <c r="BF172" i="1"/>
  <c r="BF171" i="1"/>
  <c r="BF169" i="1"/>
  <c r="BF168" i="1"/>
  <c r="BF165" i="1"/>
  <c r="BF164" i="1"/>
  <c r="BF163" i="1"/>
  <c r="BF162" i="1"/>
  <c r="BF161" i="1"/>
  <c r="BF159" i="1"/>
  <c r="BF158" i="1"/>
  <c r="BF156" i="1"/>
  <c r="BF155" i="1"/>
  <c r="BF154" i="1"/>
  <c r="BF150" i="1"/>
  <c r="BF149" i="1"/>
  <c r="BF147" i="1"/>
  <c r="BF145" i="1"/>
  <c r="BF143" i="1"/>
  <c r="BF142" i="1"/>
  <c r="BF141" i="1"/>
  <c r="BF138" i="1"/>
  <c r="BF137" i="1"/>
  <c r="BF136" i="1"/>
  <c r="BF134" i="1"/>
  <c r="BF133" i="1"/>
  <c r="BF132" i="1"/>
  <c r="BF129" i="1"/>
  <c r="BF127" i="1"/>
  <c r="BF126" i="1"/>
  <c r="BF124" i="1"/>
  <c r="BF122" i="1"/>
  <c r="BF121" i="1"/>
  <c r="BF118" i="1"/>
  <c r="BF116" i="1"/>
  <c r="BF114" i="1"/>
  <c r="BF111" i="1"/>
  <c r="BF108" i="1"/>
  <c r="BF103" i="1"/>
  <c r="BF102" i="1"/>
  <c r="BF101" i="1"/>
  <c r="BF100" i="1"/>
  <c r="BF99" i="1"/>
  <c r="BF98" i="1"/>
  <c r="BF97" i="1"/>
  <c r="BF95" i="1"/>
  <c r="BF94" i="1"/>
  <c r="BF91" i="1"/>
  <c r="BF89" i="1"/>
  <c r="BF87" i="1"/>
  <c r="BF85" i="1"/>
  <c r="BF83" i="1"/>
  <c r="BF81" i="1"/>
  <c r="BF79" i="1"/>
  <c r="BF78" i="1"/>
  <c r="BF76" i="1"/>
  <c r="BF73" i="1"/>
  <c r="BF71" i="1"/>
  <c r="BF68" i="1"/>
  <c r="BF65" i="1"/>
  <c r="BF63" i="1"/>
  <c r="BF61" i="1"/>
  <c r="BF59" i="1"/>
  <c r="BF57" i="1"/>
  <c r="BF52" i="1"/>
  <c r="BF50" i="1"/>
  <c r="BF49" i="1"/>
  <c r="BF48" i="1"/>
  <c r="BF47" i="1"/>
  <c r="BF45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29" i="1"/>
  <c r="BF28" i="1"/>
  <c r="BF27" i="1"/>
  <c r="BF25" i="1"/>
  <c r="BH317" i="1"/>
  <c r="BH315" i="1"/>
  <c r="BH313" i="1"/>
  <c r="BH311" i="1"/>
  <c r="BH309" i="1"/>
  <c r="BH306" i="1"/>
  <c r="BH304" i="1"/>
  <c r="BH291" i="1"/>
  <c r="BH288" i="1"/>
  <c r="BH286" i="1"/>
  <c r="BH272" i="1"/>
  <c r="BH247" i="1"/>
  <c r="BH229" i="1"/>
  <c r="BH227" i="1"/>
  <c r="BH223" i="1"/>
  <c r="BH211" i="1"/>
  <c r="BH203" i="1"/>
  <c r="BH201" i="1"/>
  <c r="BH199" i="1"/>
  <c r="BH197" i="1"/>
  <c r="BH195" i="1"/>
  <c r="BH191" i="1"/>
  <c r="BH186" i="1"/>
  <c r="BH184" i="1"/>
  <c r="BH181" i="1"/>
  <c r="BH178" i="1"/>
  <c r="BH176" i="1"/>
  <c r="BH173" i="1"/>
  <c r="BH170" i="1"/>
  <c r="BH167" i="1"/>
  <c r="BH160" i="1"/>
  <c r="BH157" i="1"/>
  <c r="BH153" i="1"/>
  <c r="BH148" i="1"/>
  <c r="BH146" i="1"/>
  <c r="BH144" i="1"/>
  <c r="BH135" i="1"/>
  <c r="BH131" i="1"/>
  <c r="BH128" i="1"/>
  <c r="BH125" i="1"/>
  <c r="BH123" i="1"/>
  <c r="BH120" i="1"/>
  <c r="BH117" i="1"/>
  <c r="BH115" i="1"/>
  <c r="BH113" i="1"/>
  <c r="BH110" i="1"/>
  <c r="BH107" i="1"/>
  <c r="BH96" i="1"/>
  <c r="BH93" i="1"/>
  <c r="BH90" i="1"/>
  <c r="BH88" i="1"/>
  <c r="BH86" i="1"/>
  <c r="BH84" i="1"/>
  <c r="BH82" i="1"/>
  <c r="BH80" i="1"/>
  <c r="BH77" i="1"/>
  <c r="BH75" i="1"/>
  <c r="BH72" i="1"/>
  <c r="BH70" i="1"/>
  <c r="BH67" i="1"/>
  <c r="BH64" i="1"/>
  <c r="BH62" i="1"/>
  <c r="BH60" i="1"/>
  <c r="BH58" i="1"/>
  <c r="BH56" i="1"/>
  <c r="BH53" i="1"/>
  <c r="BH51" i="1"/>
  <c r="BH46" i="1"/>
  <c r="BH44" i="1"/>
  <c r="BH30" i="1"/>
  <c r="BH26" i="1"/>
  <c r="BH24" i="1"/>
  <c r="CQ104" i="1"/>
  <c r="CP104" i="1"/>
  <c r="CO104" i="1"/>
  <c r="AY104" i="1"/>
  <c r="AU104" i="1"/>
  <c r="AT104" i="1"/>
  <c r="CK106" i="1"/>
  <c r="CF106" i="1"/>
  <c r="CC106" i="1"/>
  <c r="BO106" i="1"/>
  <c r="BL106" i="1"/>
  <c r="BC105" i="1"/>
  <c r="AE106" i="1"/>
  <c r="U106" i="1"/>
  <c r="P106" i="1"/>
  <c r="I106" i="1"/>
  <c r="CN105" i="1"/>
  <c r="CM105" i="1"/>
  <c r="CL105" i="1"/>
  <c r="CJ105" i="1"/>
  <c r="CI105" i="1"/>
  <c r="CH105" i="1"/>
  <c r="CG105" i="1"/>
  <c r="CE105" i="1"/>
  <c r="CD105" i="1"/>
  <c r="BZ105" i="1"/>
  <c r="BY105" i="1"/>
  <c r="BX105" i="1"/>
  <c r="BW105" i="1"/>
  <c r="BV105" i="1"/>
  <c r="BU105" i="1"/>
  <c r="BT105" i="1"/>
  <c r="BS105" i="1"/>
  <c r="BR105" i="1"/>
  <c r="BQ105" i="1"/>
  <c r="BP105" i="1"/>
  <c r="BN105" i="1"/>
  <c r="BM105" i="1"/>
  <c r="BK105" i="1"/>
  <c r="BJ105" i="1"/>
  <c r="BI105" i="1"/>
  <c r="BG105" i="1"/>
  <c r="BE105" i="1"/>
  <c r="BD105" i="1"/>
  <c r="AZ105" i="1"/>
  <c r="AX105" i="1"/>
  <c r="AW105" i="1"/>
  <c r="AV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D105" i="1"/>
  <c r="AC105" i="1"/>
  <c r="AB105" i="1"/>
  <c r="AA105" i="1"/>
  <c r="Z105" i="1"/>
  <c r="Y105" i="1"/>
  <c r="X105" i="1"/>
  <c r="W105" i="1"/>
  <c r="V105" i="1"/>
  <c r="T105" i="1"/>
  <c r="S105" i="1"/>
  <c r="R105" i="1"/>
  <c r="Q105" i="1"/>
  <c r="O105" i="1"/>
  <c r="N105" i="1"/>
  <c r="M105" i="1"/>
  <c r="L105" i="1"/>
  <c r="K105" i="1"/>
  <c r="J105" i="1"/>
  <c r="H105" i="1"/>
  <c r="G105" i="1"/>
  <c r="CM89" i="1"/>
  <c r="CH89" i="1"/>
  <c r="P105" i="1" l="1"/>
  <c r="CF105" i="1"/>
  <c r="BH222" i="1"/>
  <c r="BH109" i="1"/>
  <c r="BL105" i="1"/>
  <c r="BO105" i="1"/>
  <c r="BH66" i="1"/>
  <c r="BH232" i="1"/>
  <c r="CC105" i="1"/>
  <c r="BH69" i="1"/>
  <c r="I105" i="1"/>
  <c r="CK105" i="1"/>
  <c r="U105" i="1"/>
  <c r="BH105" i="1"/>
  <c r="BF139" i="1"/>
  <c r="BH92" i="1"/>
  <c r="BH119" i="1"/>
  <c r="BH166" i="1"/>
  <c r="BH175" i="1"/>
  <c r="BH152" i="1"/>
  <c r="F106" i="1"/>
  <c r="BH23" i="1"/>
  <c r="CB106" i="1"/>
  <c r="AE105" i="1"/>
  <c r="BH188" i="1"/>
  <c r="BH290" i="1"/>
  <c r="BH130" i="1"/>
  <c r="BH112" i="1"/>
  <c r="BH74" i="1"/>
  <c r="BH55" i="1"/>
  <c r="BF106" i="1"/>
  <c r="BB106" i="1"/>
  <c r="CN280" i="1"/>
  <c r="K180" i="1"/>
  <c r="K177" i="1"/>
  <c r="CE33" i="1"/>
  <c r="AX33" i="1"/>
  <c r="R33" i="1"/>
  <c r="BH226" i="1" l="1"/>
  <c r="BH104" i="1"/>
  <c r="BH319" i="1"/>
  <c r="F105" i="1"/>
  <c r="BF105" i="1"/>
  <c r="CB105" i="1"/>
  <c r="CA106" i="1"/>
  <c r="BA106" i="1"/>
  <c r="BB105" i="1"/>
  <c r="BC318" i="1"/>
  <c r="AZ318" i="1"/>
  <c r="CA105" i="1" l="1"/>
  <c r="BA105" i="1"/>
  <c r="E106" i="1"/>
  <c r="CI308" i="1"/>
  <c r="AC262" i="1"/>
  <c r="Z262" i="1"/>
  <c r="Y262" i="1"/>
  <c r="W262" i="1"/>
  <c r="BJ307" i="1"/>
  <c r="D106" i="1" l="1"/>
  <c r="E105" i="1"/>
  <c r="CQ306" i="1"/>
  <c r="CP306" i="1"/>
  <c r="CO306" i="1"/>
  <c r="CN306" i="1"/>
  <c r="CM306" i="1"/>
  <c r="CL306" i="1"/>
  <c r="CJ306" i="1"/>
  <c r="CI306" i="1"/>
  <c r="CH306" i="1"/>
  <c r="CG306" i="1"/>
  <c r="CE306" i="1"/>
  <c r="CD306" i="1"/>
  <c r="BZ306" i="1"/>
  <c r="BY306" i="1"/>
  <c r="BX306" i="1"/>
  <c r="BW306" i="1"/>
  <c r="BV306" i="1"/>
  <c r="BU306" i="1"/>
  <c r="BT306" i="1"/>
  <c r="BS306" i="1"/>
  <c r="BR306" i="1"/>
  <c r="BQ306" i="1"/>
  <c r="BP306" i="1"/>
  <c r="BN306" i="1"/>
  <c r="BM306" i="1"/>
  <c r="BK306" i="1"/>
  <c r="BJ306" i="1"/>
  <c r="BI306" i="1"/>
  <c r="BG306" i="1"/>
  <c r="BE306" i="1"/>
  <c r="BD306" i="1"/>
  <c r="BC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O306" i="1"/>
  <c r="N306" i="1"/>
  <c r="M306" i="1"/>
  <c r="L306" i="1"/>
  <c r="K306" i="1"/>
  <c r="J306" i="1"/>
  <c r="H306" i="1"/>
  <c r="G306" i="1"/>
  <c r="CK308" i="1"/>
  <c r="CF308" i="1"/>
  <c r="CC308" i="1"/>
  <c r="BO308" i="1"/>
  <c r="BL308" i="1"/>
  <c r="BF308" i="1"/>
  <c r="BB308" i="1"/>
  <c r="AE308" i="1"/>
  <c r="U308" i="1"/>
  <c r="P308" i="1"/>
  <c r="I308" i="1"/>
  <c r="D105" i="1" l="1"/>
  <c r="F308" i="1"/>
  <c r="CB308" i="1"/>
  <c r="BA308" i="1"/>
  <c r="CA308" i="1" l="1"/>
  <c r="E308" i="1"/>
  <c r="D308" i="1" l="1"/>
  <c r="CM264" i="1"/>
  <c r="AH264" i="1"/>
  <c r="O264" i="1"/>
  <c r="CE260" i="1" l="1"/>
  <c r="AZ254" i="1"/>
  <c r="W271" i="1"/>
  <c r="AC266" i="1"/>
  <c r="Z266" i="1"/>
  <c r="Y266" i="1"/>
  <c r="V264" i="1"/>
  <c r="AA257" i="1"/>
  <c r="Z256" i="1"/>
  <c r="V256" i="1"/>
  <c r="T256" i="1"/>
  <c r="V254" i="1"/>
  <c r="T254" i="1"/>
  <c r="Z252" i="1"/>
  <c r="V252" i="1"/>
  <c r="Z250" i="1"/>
  <c r="X250" i="1"/>
  <c r="W250" i="1"/>
  <c r="V250" i="1"/>
  <c r="V249" i="1"/>
  <c r="H268" i="1"/>
  <c r="G268" i="1"/>
  <c r="H266" i="1"/>
  <c r="G266" i="1"/>
  <c r="J265" i="1"/>
  <c r="J264" i="1"/>
  <c r="G263" i="1"/>
  <c r="H258" i="1"/>
  <c r="G258" i="1"/>
  <c r="H257" i="1"/>
  <c r="G257" i="1"/>
  <c r="H256" i="1"/>
  <c r="L254" i="1"/>
  <c r="H254" i="1"/>
  <c r="G254" i="1"/>
  <c r="L250" i="1"/>
  <c r="K250" i="1"/>
  <c r="H250" i="1"/>
  <c r="G250" i="1"/>
  <c r="G249" i="1"/>
  <c r="H248" i="1"/>
  <c r="G248" i="1"/>
  <c r="AZ313" i="1" l="1"/>
  <c r="BF305" i="1" l="1"/>
  <c r="AZ303" i="1"/>
  <c r="BJ297" i="1"/>
  <c r="BJ295" i="1"/>
  <c r="BJ294" i="1"/>
  <c r="BJ293" i="1"/>
  <c r="CK298" i="1"/>
  <c r="CF298" i="1"/>
  <c r="CC298" i="1"/>
  <c r="BO298" i="1"/>
  <c r="BL298" i="1"/>
  <c r="BF298" i="1"/>
  <c r="BB298" i="1"/>
  <c r="AE298" i="1"/>
  <c r="U298" i="1"/>
  <c r="P298" i="1"/>
  <c r="I298" i="1"/>
  <c r="CK297" i="1"/>
  <c r="CF297" i="1"/>
  <c r="CC297" i="1"/>
  <c r="BO297" i="1"/>
  <c r="BL297" i="1"/>
  <c r="BF297" i="1"/>
  <c r="BB297" i="1"/>
  <c r="AE297" i="1"/>
  <c r="U297" i="1"/>
  <c r="P297" i="1"/>
  <c r="I297" i="1"/>
  <c r="CK296" i="1"/>
  <c r="CF296" i="1"/>
  <c r="CC296" i="1"/>
  <c r="BO296" i="1"/>
  <c r="BL296" i="1"/>
  <c r="BF296" i="1"/>
  <c r="BB296" i="1"/>
  <c r="AE296" i="1"/>
  <c r="U296" i="1"/>
  <c r="P296" i="1"/>
  <c r="I296" i="1"/>
  <c r="CK295" i="1"/>
  <c r="CF295" i="1"/>
  <c r="CC295" i="1"/>
  <c r="BO295" i="1"/>
  <c r="BL295" i="1"/>
  <c r="BF295" i="1"/>
  <c r="BB295" i="1"/>
  <c r="AE295" i="1"/>
  <c r="U295" i="1"/>
  <c r="P295" i="1"/>
  <c r="I295" i="1"/>
  <c r="CK294" i="1"/>
  <c r="CF294" i="1"/>
  <c r="CC294" i="1"/>
  <c r="BO294" i="1"/>
  <c r="BL294" i="1"/>
  <c r="BF294" i="1"/>
  <c r="BB294" i="1"/>
  <c r="AE294" i="1"/>
  <c r="U294" i="1"/>
  <c r="P294" i="1"/>
  <c r="I294" i="1"/>
  <c r="CK293" i="1"/>
  <c r="CF293" i="1"/>
  <c r="CC293" i="1"/>
  <c r="BO293" i="1"/>
  <c r="BL293" i="1"/>
  <c r="BF293" i="1"/>
  <c r="BB293" i="1"/>
  <c r="AE293" i="1"/>
  <c r="U293" i="1"/>
  <c r="P293" i="1"/>
  <c r="I293" i="1"/>
  <c r="AZ292" i="1"/>
  <c r="BJ291" i="1" l="1"/>
  <c r="CB297" i="1"/>
  <c r="BA298" i="1"/>
  <c r="F297" i="1"/>
  <c r="F296" i="1"/>
  <c r="F298" i="1"/>
  <c r="CB294" i="1"/>
  <c r="CB296" i="1"/>
  <c r="BA297" i="1"/>
  <c r="F294" i="1"/>
  <c r="CB293" i="1"/>
  <c r="CB295" i="1"/>
  <c r="CB298" i="1"/>
  <c r="F295" i="1"/>
  <c r="BA293" i="1"/>
  <c r="F293" i="1"/>
  <c r="BA295" i="1"/>
  <c r="BA296" i="1"/>
  <c r="BA294" i="1"/>
  <c r="CA296" i="1" l="1"/>
  <c r="CA294" i="1"/>
  <c r="CA298" i="1"/>
  <c r="CA293" i="1"/>
  <c r="E298" i="1"/>
  <c r="CA295" i="1"/>
  <c r="E293" i="1"/>
  <c r="E296" i="1"/>
  <c r="E297" i="1"/>
  <c r="CA297" i="1"/>
  <c r="E294" i="1"/>
  <c r="E295" i="1"/>
  <c r="CN284" i="1"/>
  <c r="CK284" i="1"/>
  <c r="CF284" i="1"/>
  <c r="CC284" i="1"/>
  <c r="BO284" i="1"/>
  <c r="BL284" i="1"/>
  <c r="BF284" i="1"/>
  <c r="BB284" i="1"/>
  <c r="AE284" i="1"/>
  <c r="U284" i="1"/>
  <c r="P284" i="1"/>
  <c r="I284" i="1"/>
  <c r="CN282" i="1"/>
  <c r="CN274" i="1"/>
  <c r="D296" i="1" l="1"/>
  <c r="D293" i="1"/>
  <c r="D298" i="1"/>
  <c r="D294" i="1"/>
  <c r="D295" i="1"/>
  <c r="D297" i="1"/>
  <c r="F284" i="1"/>
  <c r="CB284" i="1"/>
  <c r="BA284" i="1"/>
  <c r="CN272" i="1"/>
  <c r="CA284" i="1" l="1"/>
  <c r="E284" i="1"/>
  <c r="D284" i="1" l="1"/>
  <c r="CK274" i="1"/>
  <c r="CF274" i="1"/>
  <c r="CC274" i="1"/>
  <c r="BO274" i="1"/>
  <c r="BL274" i="1"/>
  <c r="BF274" i="1"/>
  <c r="BB274" i="1"/>
  <c r="AE274" i="1"/>
  <c r="U274" i="1"/>
  <c r="P274" i="1"/>
  <c r="I274" i="1"/>
  <c r="AZ273" i="1"/>
  <c r="BJ244" i="1"/>
  <c r="CK244" i="1"/>
  <c r="CF244" i="1"/>
  <c r="CC244" i="1"/>
  <c r="BO244" i="1"/>
  <c r="BL244" i="1"/>
  <c r="BF244" i="1"/>
  <c r="BB244" i="1"/>
  <c r="AE244" i="1"/>
  <c r="U244" i="1"/>
  <c r="P244" i="1"/>
  <c r="O244" i="1"/>
  <c r="CE238" i="1"/>
  <c r="AZ238" i="1"/>
  <c r="AH238" i="1"/>
  <c r="BC224" i="1"/>
  <c r="AB212" i="1"/>
  <c r="I244" i="1" l="1"/>
  <c r="CB274" i="1"/>
  <c r="CB244" i="1"/>
  <c r="BA244" i="1"/>
  <c r="F274" i="1"/>
  <c r="BA274" i="1"/>
  <c r="F244" i="1"/>
  <c r="E244" i="1" l="1"/>
  <c r="CA244" i="1"/>
  <c r="CA274" i="1"/>
  <c r="E274" i="1"/>
  <c r="D274" i="1" l="1"/>
  <c r="D244" i="1"/>
  <c r="M91" i="1"/>
  <c r="BY81" i="1"/>
  <c r="CO290" i="1" l="1"/>
  <c r="CP290" i="1"/>
  <c r="CQ290" i="1"/>
  <c r="CO222" i="1"/>
  <c r="CP222" i="1"/>
  <c r="CQ222" i="1"/>
  <c r="CO188" i="1"/>
  <c r="CP188" i="1"/>
  <c r="CQ188" i="1"/>
  <c r="CO175" i="1"/>
  <c r="CP175" i="1"/>
  <c r="CQ175" i="1"/>
  <c r="CO166" i="1"/>
  <c r="CP166" i="1"/>
  <c r="CQ166" i="1"/>
  <c r="CO152" i="1"/>
  <c r="CP152" i="1"/>
  <c r="CQ152" i="1"/>
  <c r="CO130" i="1"/>
  <c r="CP130" i="1"/>
  <c r="CQ130" i="1"/>
  <c r="CO119" i="1"/>
  <c r="CP119" i="1"/>
  <c r="CQ119" i="1"/>
  <c r="CO112" i="1"/>
  <c r="CP112" i="1"/>
  <c r="CQ112" i="1"/>
  <c r="CO109" i="1"/>
  <c r="CP109" i="1"/>
  <c r="CQ109" i="1"/>
  <c r="CO92" i="1"/>
  <c r="CP92" i="1"/>
  <c r="CQ92" i="1"/>
  <c r="CO74" i="1"/>
  <c r="CP74" i="1"/>
  <c r="CQ74" i="1"/>
  <c r="CO69" i="1"/>
  <c r="CP69" i="1"/>
  <c r="CQ69" i="1"/>
  <c r="CO66" i="1"/>
  <c r="CP66" i="1"/>
  <c r="CQ66" i="1"/>
  <c r="CO55" i="1"/>
  <c r="CP55" i="1"/>
  <c r="CQ55" i="1"/>
  <c r="CO23" i="1"/>
  <c r="CP23" i="1"/>
  <c r="CQ23" i="1"/>
  <c r="CQ232" i="1"/>
  <c r="CP236" i="1"/>
  <c r="CO236" i="1" l="1"/>
  <c r="CQ226" i="1"/>
  <c r="CP232" i="1"/>
  <c r="CQ319" i="1" l="1"/>
  <c r="CP226" i="1"/>
  <c r="CO232" i="1"/>
  <c r="CN291" i="1"/>
  <c r="CM291" i="1"/>
  <c r="CL291" i="1"/>
  <c r="CJ291" i="1"/>
  <c r="CI291" i="1"/>
  <c r="CH291" i="1"/>
  <c r="CG291" i="1"/>
  <c r="CE291" i="1"/>
  <c r="CD291" i="1"/>
  <c r="BZ291" i="1"/>
  <c r="BY291" i="1"/>
  <c r="BX291" i="1"/>
  <c r="BW291" i="1"/>
  <c r="BV291" i="1"/>
  <c r="BU291" i="1"/>
  <c r="BT291" i="1"/>
  <c r="BS291" i="1"/>
  <c r="BR291" i="1"/>
  <c r="BQ291" i="1"/>
  <c r="BP291" i="1"/>
  <c r="BN291" i="1"/>
  <c r="BM291" i="1"/>
  <c r="BK291" i="1"/>
  <c r="BI291" i="1"/>
  <c r="BG291" i="1"/>
  <c r="BE291" i="1"/>
  <c r="BD291" i="1"/>
  <c r="BC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O291" i="1"/>
  <c r="N291" i="1"/>
  <c r="M291" i="1"/>
  <c r="L291" i="1"/>
  <c r="K291" i="1"/>
  <c r="J291" i="1"/>
  <c r="H291" i="1"/>
  <c r="G291" i="1"/>
  <c r="CK303" i="1"/>
  <c r="CF303" i="1"/>
  <c r="CC303" i="1"/>
  <c r="BO303" i="1"/>
  <c r="BL303" i="1"/>
  <c r="BF303" i="1"/>
  <c r="BB303" i="1"/>
  <c r="AE303" i="1"/>
  <c r="U303" i="1"/>
  <c r="P303" i="1"/>
  <c r="I303" i="1"/>
  <c r="T28" i="1"/>
  <c r="V28" i="1"/>
  <c r="CP319" i="1" l="1"/>
  <c r="CO226" i="1"/>
  <c r="BA303" i="1"/>
  <c r="CB303" i="1"/>
  <c r="F303" i="1"/>
  <c r="G63" i="1"/>
  <c r="AH32" i="1"/>
  <c r="Z32" i="1"/>
  <c r="CO319" i="1" l="1"/>
  <c r="CA303" i="1"/>
  <c r="E303" i="1"/>
  <c r="V32" i="1"/>
  <c r="D303" i="1" l="1"/>
  <c r="H39" i="1"/>
  <c r="G39" i="1"/>
  <c r="CN229" i="1" l="1"/>
  <c r="CM229" i="1"/>
  <c r="CL229" i="1"/>
  <c r="CJ229" i="1"/>
  <c r="CI229" i="1"/>
  <c r="CH229" i="1"/>
  <c r="CG229" i="1"/>
  <c r="CE229" i="1"/>
  <c r="CD229" i="1"/>
  <c r="BZ229" i="1"/>
  <c r="BY229" i="1"/>
  <c r="BX229" i="1"/>
  <c r="BW229" i="1"/>
  <c r="BV229" i="1"/>
  <c r="BU229" i="1"/>
  <c r="BT229" i="1"/>
  <c r="BS229" i="1"/>
  <c r="BR229" i="1"/>
  <c r="BQ229" i="1"/>
  <c r="BP229" i="1"/>
  <c r="BN229" i="1"/>
  <c r="BM229" i="1"/>
  <c r="BK229" i="1"/>
  <c r="BJ229" i="1"/>
  <c r="BI229" i="1"/>
  <c r="BG229" i="1"/>
  <c r="BE229" i="1"/>
  <c r="BD229" i="1"/>
  <c r="BC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D229" i="1"/>
  <c r="AC229" i="1"/>
  <c r="AB229" i="1"/>
  <c r="AA229" i="1"/>
  <c r="Z229" i="1"/>
  <c r="Y229" i="1"/>
  <c r="X229" i="1"/>
  <c r="W229" i="1"/>
  <c r="V229" i="1"/>
  <c r="T229" i="1"/>
  <c r="S229" i="1"/>
  <c r="R229" i="1"/>
  <c r="Q229" i="1"/>
  <c r="O229" i="1"/>
  <c r="N229" i="1"/>
  <c r="M229" i="1"/>
  <c r="L229" i="1"/>
  <c r="K229" i="1"/>
  <c r="J229" i="1"/>
  <c r="H229" i="1"/>
  <c r="G229" i="1"/>
  <c r="AE318" i="1"/>
  <c r="BO54" i="1"/>
  <c r="BO49" i="1"/>
  <c r="BO45" i="1"/>
  <c r="BO25" i="1"/>
  <c r="BO27" i="1"/>
  <c r="BQ201" i="1"/>
  <c r="BL121" i="1"/>
  <c r="AE231" i="1"/>
  <c r="I231" i="1"/>
  <c r="F231" i="1" l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38" i="1"/>
  <c r="E231" i="1" l="1"/>
  <c r="T170" i="1"/>
  <c r="O170" i="1"/>
  <c r="N170" i="1"/>
  <c r="K90" i="1"/>
  <c r="L90" i="1"/>
  <c r="M90" i="1"/>
  <c r="N90" i="1"/>
  <c r="O90" i="1"/>
  <c r="J90" i="1"/>
  <c r="D231" i="1" l="1"/>
  <c r="AN170" i="1"/>
  <c r="BJ242" i="1"/>
  <c r="BO85" i="1"/>
  <c r="O86" i="1"/>
  <c r="N86" i="1"/>
  <c r="G170" i="1"/>
  <c r="H170" i="1"/>
  <c r="BO28" i="1"/>
  <c r="BO29" i="1"/>
  <c r="I25" i="1"/>
  <c r="BO26" i="1" l="1"/>
  <c r="BF301" i="1" l="1"/>
  <c r="BF318" i="1"/>
  <c r="BK317" i="1" l="1"/>
  <c r="BK315" i="1"/>
  <c r="BK313" i="1"/>
  <c r="BK311" i="1"/>
  <c r="BK309" i="1"/>
  <c r="BK304" i="1"/>
  <c r="BK288" i="1"/>
  <c r="BK286" i="1"/>
  <c r="BK272" i="1"/>
  <c r="BK247" i="1"/>
  <c r="BK227" i="1"/>
  <c r="BK223" i="1"/>
  <c r="BK211" i="1"/>
  <c r="BK203" i="1"/>
  <c r="BK201" i="1"/>
  <c r="BK199" i="1"/>
  <c r="BK197" i="1"/>
  <c r="BK195" i="1"/>
  <c r="BK191" i="1"/>
  <c r="BK186" i="1"/>
  <c r="BK184" i="1"/>
  <c r="BK181" i="1"/>
  <c r="BK178" i="1"/>
  <c r="BK176" i="1"/>
  <c r="BK173" i="1"/>
  <c r="BK170" i="1"/>
  <c r="BK167" i="1"/>
  <c r="BK160" i="1"/>
  <c r="BK157" i="1"/>
  <c r="BK153" i="1"/>
  <c r="BK148" i="1"/>
  <c r="BK146" i="1"/>
  <c r="BK144" i="1"/>
  <c r="BK135" i="1"/>
  <c r="BK131" i="1"/>
  <c r="BK128" i="1"/>
  <c r="BK125" i="1"/>
  <c r="BK123" i="1"/>
  <c r="BK120" i="1"/>
  <c r="BK117" i="1"/>
  <c r="BK115" i="1"/>
  <c r="BK113" i="1"/>
  <c r="BK110" i="1"/>
  <c r="BK107" i="1"/>
  <c r="BK96" i="1"/>
  <c r="BK93" i="1"/>
  <c r="BK90" i="1"/>
  <c r="BK88" i="1"/>
  <c r="BK86" i="1"/>
  <c r="BK84" i="1"/>
  <c r="BK82" i="1"/>
  <c r="BK80" i="1"/>
  <c r="BK77" i="1"/>
  <c r="BK75" i="1"/>
  <c r="BK72" i="1"/>
  <c r="BK70" i="1"/>
  <c r="BK67" i="1"/>
  <c r="BK64" i="1"/>
  <c r="BK62" i="1"/>
  <c r="BK60" i="1"/>
  <c r="BK58" i="1"/>
  <c r="BK56" i="1"/>
  <c r="BK53" i="1"/>
  <c r="BK51" i="1"/>
  <c r="BK46" i="1"/>
  <c r="BK44" i="1"/>
  <c r="BK30" i="1"/>
  <c r="BK26" i="1"/>
  <c r="BK24" i="1"/>
  <c r="I71" i="1"/>
  <c r="I73" i="1"/>
  <c r="BK104" i="1" l="1"/>
  <c r="BK109" i="1"/>
  <c r="BK222" i="1"/>
  <c r="BK66" i="1"/>
  <c r="BK232" i="1"/>
  <c r="BK69" i="1"/>
  <c r="BK188" i="1"/>
  <c r="BK112" i="1"/>
  <c r="BK166" i="1"/>
  <c r="BK290" i="1"/>
  <c r="BK152" i="1"/>
  <c r="BK23" i="1"/>
  <c r="BK55" i="1"/>
  <c r="BK74" i="1"/>
  <c r="BK92" i="1"/>
  <c r="BK119" i="1"/>
  <c r="BK130" i="1"/>
  <c r="BK175" i="1"/>
  <c r="BK226" i="1" l="1"/>
  <c r="CK174" i="1"/>
  <c r="CF174" i="1"/>
  <c r="CC174" i="1"/>
  <c r="BO174" i="1"/>
  <c r="BL174" i="1"/>
  <c r="BB174" i="1"/>
  <c r="AE174" i="1"/>
  <c r="U174" i="1"/>
  <c r="P174" i="1"/>
  <c r="O174" i="1"/>
  <c r="CN173" i="1"/>
  <c r="CM173" i="1"/>
  <c r="CL173" i="1"/>
  <c r="CJ173" i="1"/>
  <c r="CI173" i="1"/>
  <c r="CH173" i="1"/>
  <c r="CG173" i="1"/>
  <c r="CE173" i="1"/>
  <c r="CD173" i="1"/>
  <c r="BZ173" i="1"/>
  <c r="BY173" i="1"/>
  <c r="BX173" i="1"/>
  <c r="BW173" i="1"/>
  <c r="BV173" i="1"/>
  <c r="BU173" i="1"/>
  <c r="BT173" i="1"/>
  <c r="BS173" i="1"/>
  <c r="BR173" i="1"/>
  <c r="BQ173" i="1"/>
  <c r="BP173" i="1"/>
  <c r="BN173" i="1"/>
  <c r="BM173" i="1"/>
  <c r="BJ173" i="1"/>
  <c r="BI173" i="1"/>
  <c r="BG173" i="1"/>
  <c r="BE173" i="1"/>
  <c r="BD173" i="1"/>
  <c r="BC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D173" i="1"/>
  <c r="AC173" i="1"/>
  <c r="AB173" i="1"/>
  <c r="AA173" i="1"/>
  <c r="Z173" i="1"/>
  <c r="Y173" i="1"/>
  <c r="X173" i="1"/>
  <c r="W173" i="1"/>
  <c r="V173" i="1"/>
  <c r="T173" i="1"/>
  <c r="S173" i="1"/>
  <c r="R173" i="1"/>
  <c r="Q173" i="1"/>
  <c r="N173" i="1"/>
  <c r="M173" i="1"/>
  <c r="L173" i="1"/>
  <c r="K173" i="1"/>
  <c r="J173" i="1"/>
  <c r="H173" i="1"/>
  <c r="G173" i="1"/>
  <c r="H24" i="1"/>
  <c r="G24" i="1"/>
  <c r="CK301" i="1"/>
  <c r="CF301" i="1"/>
  <c r="CC301" i="1"/>
  <c r="BO301" i="1"/>
  <c r="BL301" i="1"/>
  <c r="BB301" i="1"/>
  <c r="AE301" i="1"/>
  <c r="U301" i="1"/>
  <c r="P301" i="1"/>
  <c r="I301" i="1"/>
  <c r="BK319" i="1" l="1"/>
  <c r="AU166" i="1"/>
  <c r="BF173" i="1"/>
  <c r="BL173" i="1"/>
  <c r="BO173" i="1"/>
  <c r="AY166" i="1"/>
  <c r="I174" i="1"/>
  <c r="P173" i="1"/>
  <c r="CF173" i="1"/>
  <c r="U173" i="1"/>
  <c r="CK173" i="1"/>
  <c r="AT166" i="1"/>
  <c r="AE173" i="1"/>
  <c r="BA174" i="1"/>
  <c r="CB174" i="1"/>
  <c r="O173" i="1"/>
  <c r="CC173" i="1"/>
  <c r="BB173" i="1"/>
  <c r="BA301" i="1"/>
  <c r="CB301" i="1"/>
  <c r="F301" i="1"/>
  <c r="CK116" i="1"/>
  <c r="CF116" i="1"/>
  <c r="CC116" i="1"/>
  <c r="BO116" i="1"/>
  <c r="BL116" i="1"/>
  <c r="BB116" i="1"/>
  <c r="AE116" i="1"/>
  <c r="U116" i="1"/>
  <c r="P116" i="1"/>
  <c r="I116" i="1"/>
  <c r="CN115" i="1"/>
  <c r="CM115" i="1"/>
  <c r="CL115" i="1"/>
  <c r="CJ115" i="1"/>
  <c r="CI115" i="1"/>
  <c r="CH115" i="1"/>
  <c r="CG115" i="1"/>
  <c r="CE115" i="1"/>
  <c r="CD115" i="1"/>
  <c r="BZ115" i="1"/>
  <c r="BY115" i="1"/>
  <c r="BX115" i="1"/>
  <c r="BW115" i="1"/>
  <c r="BV115" i="1"/>
  <c r="BU115" i="1"/>
  <c r="BT115" i="1"/>
  <c r="BS115" i="1"/>
  <c r="BR115" i="1"/>
  <c r="BQ115" i="1"/>
  <c r="BP115" i="1"/>
  <c r="BN115" i="1"/>
  <c r="BM115" i="1"/>
  <c r="BJ115" i="1"/>
  <c r="BI115" i="1"/>
  <c r="BG115" i="1"/>
  <c r="BE115" i="1"/>
  <c r="BD115" i="1"/>
  <c r="BC115" i="1"/>
  <c r="AZ115" i="1"/>
  <c r="AX115" i="1"/>
  <c r="AW115" i="1"/>
  <c r="AV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D115" i="1"/>
  <c r="AC115" i="1"/>
  <c r="AB115" i="1"/>
  <c r="AA115" i="1"/>
  <c r="Z115" i="1"/>
  <c r="Y115" i="1"/>
  <c r="X115" i="1"/>
  <c r="W115" i="1"/>
  <c r="V115" i="1"/>
  <c r="T115" i="1"/>
  <c r="S115" i="1"/>
  <c r="R115" i="1"/>
  <c r="Q115" i="1"/>
  <c r="O115" i="1"/>
  <c r="N115" i="1"/>
  <c r="M115" i="1"/>
  <c r="L115" i="1"/>
  <c r="K115" i="1"/>
  <c r="J115" i="1"/>
  <c r="H115" i="1"/>
  <c r="G115" i="1"/>
  <c r="G96" i="1"/>
  <c r="CB173" i="1" l="1"/>
  <c r="I115" i="1"/>
  <c r="CC115" i="1"/>
  <c r="P115" i="1"/>
  <c r="CF115" i="1"/>
  <c r="U115" i="1"/>
  <c r="CK115" i="1"/>
  <c r="AE115" i="1"/>
  <c r="BB115" i="1"/>
  <c r="CA301" i="1"/>
  <c r="CA174" i="1"/>
  <c r="BF115" i="1"/>
  <c r="BA173" i="1"/>
  <c r="BL115" i="1"/>
  <c r="I173" i="1"/>
  <c r="BO115" i="1"/>
  <c r="F174" i="1"/>
  <c r="E301" i="1"/>
  <c r="BA116" i="1"/>
  <c r="F116" i="1"/>
  <c r="CB116" i="1"/>
  <c r="D301" i="1" l="1"/>
  <c r="F173" i="1"/>
  <c r="CB115" i="1"/>
  <c r="CA173" i="1"/>
  <c r="BA115" i="1"/>
  <c r="F115" i="1"/>
  <c r="E174" i="1"/>
  <c r="E116" i="1"/>
  <c r="CA116" i="1"/>
  <c r="D174" i="1" l="1"/>
  <c r="D116" i="1"/>
  <c r="E173" i="1"/>
  <c r="CA115" i="1"/>
  <c r="E115" i="1"/>
  <c r="D173" i="1"/>
  <c r="CN96" i="1"/>
  <c r="CM96" i="1"/>
  <c r="CL96" i="1"/>
  <c r="CJ96" i="1"/>
  <c r="CI96" i="1"/>
  <c r="CH96" i="1"/>
  <c r="CG96" i="1"/>
  <c r="CE96" i="1"/>
  <c r="CD96" i="1"/>
  <c r="BZ96" i="1"/>
  <c r="BY96" i="1"/>
  <c r="BX96" i="1"/>
  <c r="BW96" i="1"/>
  <c r="BV96" i="1"/>
  <c r="BU96" i="1"/>
  <c r="BT96" i="1"/>
  <c r="BS96" i="1"/>
  <c r="BR96" i="1"/>
  <c r="BQ96" i="1"/>
  <c r="BP96" i="1"/>
  <c r="BN96" i="1"/>
  <c r="BM96" i="1"/>
  <c r="BJ96" i="1"/>
  <c r="BI96" i="1"/>
  <c r="BG96" i="1"/>
  <c r="BE96" i="1"/>
  <c r="BD96" i="1"/>
  <c r="BC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D96" i="1"/>
  <c r="AC96" i="1"/>
  <c r="AB96" i="1"/>
  <c r="AA96" i="1"/>
  <c r="Z96" i="1"/>
  <c r="Y96" i="1"/>
  <c r="X96" i="1"/>
  <c r="W96" i="1"/>
  <c r="V96" i="1"/>
  <c r="T96" i="1"/>
  <c r="S96" i="1"/>
  <c r="R96" i="1"/>
  <c r="Q96" i="1"/>
  <c r="O96" i="1"/>
  <c r="N96" i="1"/>
  <c r="M96" i="1"/>
  <c r="L96" i="1"/>
  <c r="K96" i="1"/>
  <c r="J96" i="1"/>
  <c r="H96" i="1"/>
  <c r="D115" i="1" l="1"/>
  <c r="CF318" i="1"/>
  <c r="CF316" i="1"/>
  <c r="CF314" i="1"/>
  <c r="CF312" i="1"/>
  <c r="CF310" i="1"/>
  <c r="CF307" i="1"/>
  <c r="CF305" i="1"/>
  <c r="CF302" i="1"/>
  <c r="CF300" i="1"/>
  <c r="CF292" i="1"/>
  <c r="CF289" i="1"/>
  <c r="CF287" i="1"/>
  <c r="CF285" i="1"/>
  <c r="CF283" i="1"/>
  <c r="CF282" i="1"/>
  <c r="CF281" i="1"/>
  <c r="CF280" i="1"/>
  <c r="CF277" i="1"/>
  <c r="CF278" i="1"/>
  <c r="CF279" i="1"/>
  <c r="CF276" i="1"/>
  <c r="CF275" i="1"/>
  <c r="CF273" i="1"/>
  <c r="CF271" i="1"/>
  <c r="CF270" i="1"/>
  <c r="CF269" i="1"/>
  <c r="CF268" i="1"/>
  <c r="CF267" i="1"/>
  <c r="CF266" i="1"/>
  <c r="CF265" i="1"/>
  <c r="CF264" i="1"/>
  <c r="CF263" i="1"/>
  <c r="CF262" i="1"/>
  <c r="CF261" i="1"/>
  <c r="CF260" i="1"/>
  <c r="CF259" i="1"/>
  <c r="CF258" i="1"/>
  <c r="CF257" i="1"/>
  <c r="CF256" i="1"/>
  <c r="CF255" i="1"/>
  <c r="CF254" i="1"/>
  <c r="CF253" i="1"/>
  <c r="CF252" i="1"/>
  <c r="CF251" i="1"/>
  <c r="CF250" i="1"/>
  <c r="CF249" i="1"/>
  <c r="CF248" i="1"/>
  <c r="CF246" i="1"/>
  <c r="CF243" i="1"/>
  <c r="CF242" i="1"/>
  <c r="CF239" i="1"/>
  <c r="CF238" i="1"/>
  <c r="CF237" i="1"/>
  <c r="CF236" i="1"/>
  <c r="CF234" i="1"/>
  <c r="CF233" i="1"/>
  <c r="CF230" i="1"/>
  <c r="CF228" i="1"/>
  <c r="CF225" i="1"/>
  <c r="CF224" i="1"/>
  <c r="CF221" i="1"/>
  <c r="CF220" i="1"/>
  <c r="CF219" i="1"/>
  <c r="CF218" i="1"/>
  <c r="CF217" i="1"/>
  <c r="CF216" i="1"/>
  <c r="CF215" i="1"/>
  <c r="CF214" i="1"/>
  <c r="CF213" i="1"/>
  <c r="CF212" i="1"/>
  <c r="CF210" i="1"/>
  <c r="CF207" i="1"/>
  <c r="CF209" i="1"/>
  <c r="CF208" i="1"/>
  <c r="CF206" i="1"/>
  <c r="CF205" i="1"/>
  <c r="CF204" i="1"/>
  <c r="CF202" i="1"/>
  <c r="CF200" i="1"/>
  <c r="CF198" i="1"/>
  <c r="CF196" i="1"/>
  <c r="CF194" i="1"/>
  <c r="CF193" i="1"/>
  <c r="CF192" i="1"/>
  <c r="CF190" i="1"/>
  <c r="CF189" i="1"/>
  <c r="CF187" i="1"/>
  <c r="CF185" i="1"/>
  <c r="CF183" i="1"/>
  <c r="CF182" i="1"/>
  <c r="CF180" i="1"/>
  <c r="CF179" i="1"/>
  <c r="CF177" i="1"/>
  <c r="CF172" i="1"/>
  <c r="CF171" i="1"/>
  <c r="CF169" i="1"/>
  <c r="CF168" i="1"/>
  <c r="CF165" i="1"/>
  <c r="CF164" i="1"/>
  <c r="CF163" i="1"/>
  <c r="CF162" i="1"/>
  <c r="CF161" i="1"/>
  <c r="CF159" i="1"/>
  <c r="CF158" i="1"/>
  <c r="CF156" i="1"/>
  <c r="CF154" i="1"/>
  <c r="CF155" i="1"/>
  <c r="CF151" i="1"/>
  <c r="CF150" i="1"/>
  <c r="CF149" i="1"/>
  <c r="CF147" i="1"/>
  <c r="CF145" i="1"/>
  <c r="CF143" i="1"/>
  <c r="CF142" i="1"/>
  <c r="CF141" i="1"/>
  <c r="CF138" i="1"/>
  <c r="CF137" i="1"/>
  <c r="CF136" i="1"/>
  <c r="CF134" i="1"/>
  <c r="CF133" i="1"/>
  <c r="CF132" i="1"/>
  <c r="CF129" i="1"/>
  <c r="CF127" i="1"/>
  <c r="CF126" i="1"/>
  <c r="CF124" i="1"/>
  <c r="CF122" i="1"/>
  <c r="CF121" i="1"/>
  <c r="CF118" i="1"/>
  <c r="CF114" i="1"/>
  <c r="CF111" i="1"/>
  <c r="CF108" i="1"/>
  <c r="CF103" i="1"/>
  <c r="CF102" i="1"/>
  <c r="CF101" i="1"/>
  <c r="CF100" i="1"/>
  <c r="CF99" i="1"/>
  <c r="CF98" i="1"/>
  <c r="CF97" i="1"/>
  <c r="CF95" i="1"/>
  <c r="CF94" i="1"/>
  <c r="CF91" i="1"/>
  <c r="CF89" i="1"/>
  <c r="CF87" i="1"/>
  <c r="CF85" i="1"/>
  <c r="CF83" i="1"/>
  <c r="CF81" i="1"/>
  <c r="CF79" i="1"/>
  <c r="CF78" i="1"/>
  <c r="CF76" i="1"/>
  <c r="CF73" i="1"/>
  <c r="CF71" i="1"/>
  <c r="CF68" i="1"/>
  <c r="CF65" i="1"/>
  <c r="CF63" i="1"/>
  <c r="CF61" i="1"/>
  <c r="CF59" i="1"/>
  <c r="CF57" i="1"/>
  <c r="CF54" i="1"/>
  <c r="CF52" i="1"/>
  <c r="CF50" i="1"/>
  <c r="CF49" i="1"/>
  <c r="CF48" i="1"/>
  <c r="CF47" i="1"/>
  <c r="CF45" i="1"/>
  <c r="CF43" i="1"/>
  <c r="CF42" i="1"/>
  <c r="CF41" i="1"/>
  <c r="CF40" i="1"/>
  <c r="CF39" i="1"/>
  <c r="CF38" i="1"/>
  <c r="CF37" i="1"/>
  <c r="CF36" i="1"/>
  <c r="CF35" i="1"/>
  <c r="CF34" i="1"/>
  <c r="CF33" i="1"/>
  <c r="CF32" i="1"/>
  <c r="CF31" i="1"/>
  <c r="CF29" i="1"/>
  <c r="CF28" i="1"/>
  <c r="CF27" i="1"/>
  <c r="CF139" i="1" l="1"/>
  <c r="CF306" i="1"/>
  <c r="CF229" i="1"/>
  <c r="CF291" i="1"/>
  <c r="CF96" i="1"/>
  <c r="AY176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V84" i="1"/>
  <c r="AW84" i="1"/>
  <c r="AX84" i="1"/>
  <c r="AZ84" i="1"/>
  <c r="V80" i="1"/>
  <c r="W80" i="1"/>
  <c r="X80" i="1"/>
  <c r="Y80" i="1"/>
  <c r="Z80" i="1"/>
  <c r="AA80" i="1"/>
  <c r="AB80" i="1"/>
  <c r="AC80" i="1"/>
  <c r="AD80" i="1"/>
  <c r="V82" i="1"/>
  <c r="W82" i="1"/>
  <c r="X82" i="1"/>
  <c r="Y82" i="1"/>
  <c r="Z82" i="1"/>
  <c r="AA82" i="1"/>
  <c r="AB82" i="1"/>
  <c r="AC82" i="1"/>
  <c r="AD82" i="1"/>
  <c r="J60" i="1"/>
  <c r="K60" i="1"/>
  <c r="L60" i="1"/>
  <c r="M60" i="1"/>
  <c r="N60" i="1"/>
  <c r="O60" i="1"/>
  <c r="AY175" i="1" l="1"/>
  <c r="CF25" i="1"/>
  <c r="CJ317" i="1"/>
  <c r="CJ315" i="1"/>
  <c r="CJ313" i="1"/>
  <c r="CJ311" i="1"/>
  <c r="CJ309" i="1"/>
  <c r="CJ304" i="1"/>
  <c r="CJ288" i="1"/>
  <c r="CJ286" i="1"/>
  <c r="CJ272" i="1"/>
  <c r="CJ247" i="1"/>
  <c r="CJ227" i="1"/>
  <c r="CJ223" i="1"/>
  <c r="CJ211" i="1"/>
  <c r="CJ203" i="1"/>
  <c r="CJ201" i="1"/>
  <c r="CJ199" i="1"/>
  <c r="CJ197" i="1"/>
  <c r="CJ195" i="1"/>
  <c r="CJ191" i="1"/>
  <c r="CJ186" i="1"/>
  <c r="CJ184" i="1"/>
  <c r="CJ181" i="1"/>
  <c r="CJ178" i="1"/>
  <c r="CJ176" i="1"/>
  <c r="CJ170" i="1"/>
  <c r="CJ167" i="1"/>
  <c r="CJ160" i="1"/>
  <c r="CJ157" i="1"/>
  <c r="CJ153" i="1"/>
  <c r="CJ148" i="1"/>
  <c r="CJ146" i="1"/>
  <c r="CJ144" i="1"/>
  <c r="CJ135" i="1"/>
  <c r="CJ131" i="1"/>
  <c r="CJ128" i="1"/>
  <c r="CJ125" i="1"/>
  <c r="CJ123" i="1"/>
  <c r="CJ120" i="1"/>
  <c r="CJ117" i="1"/>
  <c r="CJ113" i="1"/>
  <c r="CJ110" i="1"/>
  <c r="CJ107" i="1"/>
  <c r="CJ93" i="1"/>
  <c r="CJ90" i="1"/>
  <c r="CJ88" i="1"/>
  <c r="CJ86" i="1"/>
  <c r="CJ84" i="1"/>
  <c r="CJ82" i="1"/>
  <c r="CJ80" i="1"/>
  <c r="CJ77" i="1"/>
  <c r="CJ75" i="1"/>
  <c r="CJ72" i="1"/>
  <c r="CJ70" i="1"/>
  <c r="CJ67" i="1"/>
  <c r="CJ64" i="1"/>
  <c r="CJ62" i="1"/>
  <c r="CJ60" i="1"/>
  <c r="CJ58" i="1"/>
  <c r="CJ56" i="1"/>
  <c r="CJ53" i="1"/>
  <c r="CJ51" i="1"/>
  <c r="CJ46" i="1"/>
  <c r="CJ44" i="1"/>
  <c r="CJ30" i="1"/>
  <c r="CJ26" i="1"/>
  <c r="CJ24" i="1"/>
  <c r="AY66" i="1"/>
  <c r="AU66" i="1"/>
  <c r="AT66" i="1"/>
  <c r="CJ104" i="1" l="1"/>
  <c r="CJ166" i="1"/>
  <c r="CJ112" i="1"/>
  <c r="CJ66" i="1"/>
  <c r="CJ222" i="1"/>
  <c r="CJ109" i="1"/>
  <c r="CJ232" i="1"/>
  <c r="CJ55" i="1"/>
  <c r="CJ69" i="1"/>
  <c r="CJ119" i="1"/>
  <c r="CJ130" i="1"/>
  <c r="CJ175" i="1"/>
  <c r="CJ188" i="1"/>
  <c r="CJ290" i="1"/>
  <c r="CJ74" i="1"/>
  <c r="CJ23" i="1"/>
  <c r="CJ92" i="1"/>
  <c r="CJ152" i="1"/>
  <c r="CJ226" i="1" l="1"/>
  <c r="AY75" i="1"/>
  <c r="CJ319" i="1" l="1"/>
  <c r="CE282" i="1"/>
  <c r="CN125" i="1"/>
  <c r="CM125" i="1"/>
  <c r="CL125" i="1"/>
  <c r="CI125" i="1"/>
  <c r="CH125" i="1"/>
  <c r="CG125" i="1"/>
  <c r="CE125" i="1"/>
  <c r="CD125" i="1"/>
  <c r="BZ125" i="1"/>
  <c r="BY125" i="1"/>
  <c r="BX125" i="1"/>
  <c r="BW125" i="1"/>
  <c r="BV125" i="1"/>
  <c r="BU125" i="1"/>
  <c r="BT125" i="1"/>
  <c r="BS125" i="1"/>
  <c r="BR125" i="1"/>
  <c r="BQ125" i="1"/>
  <c r="BP125" i="1"/>
  <c r="BN125" i="1"/>
  <c r="BM125" i="1"/>
  <c r="BJ125" i="1"/>
  <c r="BI125" i="1"/>
  <c r="BG125" i="1"/>
  <c r="BE125" i="1"/>
  <c r="BD125" i="1"/>
  <c r="BC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D125" i="1"/>
  <c r="AC125" i="1"/>
  <c r="AB125" i="1"/>
  <c r="AA125" i="1"/>
  <c r="Z125" i="1"/>
  <c r="Y125" i="1"/>
  <c r="X125" i="1"/>
  <c r="W125" i="1"/>
  <c r="V125" i="1"/>
  <c r="T125" i="1"/>
  <c r="S125" i="1"/>
  <c r="R125" i="1"/>
  <c r="Q125" i="1"/>
  <c r="O125" i="1"/>
  <c r="N125" i="1"/>
  <c r="M125" i="1"/>
  <c r="L125" i="1"/>
  <c r="K125" i="1"/>
  <c r="J125" i="1"/>
  <c r="H125" i="1"/>
  <c r="G125" i="1"/>
  <c r="AZ125" i="1" l="1"/>
  <c r="CK127" i="1" l="1"/>
  <c r="CC127" i="1"/>
  <c r="BO127" i="1"/>
  <c r="BL127" i="1"/>
  <c r="BB127" i="1"/>
  <c r="AE127" i="1"/>
  <c r="U127" i="1"/>
  <c r="P127" i="1"/>
  <c r="I127" i="1"/>
  <c r="CK126" i="1"/>
  <c r="CC126" i="1"/>
  <c r="BO126" i="1"/>
  <c r="BL126" i="1"/>
  <c r="BB126" i="1"/>
  <c r="AE126" i="1"/>
  <c r="U126" i="1"/>
  <c r="P126" i="1"/>
  <c r="I126" i="1"/>
  <c r="CN113" i="1"/>
  <c r="CM113" i="1"/>
  <c r="CL113" i="1"/>
  <c r="CI113" i="1"/>
  <c r="CH113" i="1"/>
  <c r="CG113" i="1"/>
  <c r="CE113" i="1"/>
  <c r="CD113" i="1"/>
  <c r="BZ113" i="1"/>
  <c r="BY113" i="1"/>
  <c r="BX113" i="1"/>
  <c r="BW113" i="1"/>
  <c r="BV113" i="1"/>
  <c r="BU113" i="1"/>
  <c r="BT113" i="1"/>
  <c r="BS113" i="1"/>
  <c r="BR113" i="1"/>
  <c r="BQ113" i="1"/>
  <c r="BP113" i="1"/>
  <c r="BN113" i="1"/>
  <c r="BM113" i="1"/>
  <c r="BJ113" i="1"/>
  <c r="BI113" i="1"/>
  <c r="BG113" i="1"/>
  <c r="BE113" i="1"/>
  <c r="BD113" i="1"/>
  <c r="BC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D113" i="1"/>
  <c r="AC113" i="1"/>
  <c r="AB113" i="1"/>
  <c r="AA113" i="1"/>
  <c r="Z113" i="1"/>
  <c r="Y113" i="1"/>
  <c r="X113" i="1"/>
  <c r="W113" i="1"/>
  <c r="V113" i="1"/>
  <c r="T113" i="1"/>
  <c r="S113" i="1"/>
  <c r="R113" i="1"/>
  <c r="Q113" i="1"/>
  <c r="O113" i="1"/>
  <c r="N113" i="1"/>
  <c r="M113" i="1"/>
  <c r="L113" i="1"/>
  <c r="K113" i="1"/>
  <c r="J113" i="1"/>
  <c r="H113" i="1"/>
  <c r="G113" i="1"/>
  <c r="CK114" i="1"/>
  <c r="CC114" i="1"/>
  <c r="BO114" i="1"/>
  <c r="BL114" i="1"/>
  <c r="BB114" i="1"/>
  <c r="AE114" i="1"/>
  <c r="U114" i="1"/>
  <c r="P114" i="1"/>
  <c r="I114" i="1"/>
  <c r="AT112" i="1" l="1"/>
  <c r="AU112" i="1"/>
  <c r="AY112" i="1"/>
  <c r="AZ113" i="1"/>
  <c r="BA114" i="1"/>
  <c r="CB114" i="1"/>
  <c r="BA126" i="1"/>
  <c r="CB126" i="1"/>
  <c r="BA127" i="1"/>
  <c r="F127" i="1"/>
  <c r="F114" i="1"/>
  <c r="F126" i="1"/>
  <c r="CB127" i="1"/>
  <c r="CA114" i="1" l="1"/>
  <c r="E114" i="1"/>
  <c r="E126" i="1"/>
  <c r="E127" i="1"/>
  <c r="CA126" i="1"/>
  <c r="CA127" i="1"/>
  <c r="D114" i="1" l="1"/>
  <c r="D126" i="1"/>
  <c r="D127" i="1"/>
  <c r="CK300" i="1"/>
  <c r="CC300" i="1"/>
  <c r="BO300" i="1"/>
  <c r="BL300" i="1"/>
  <c r="BF300" i="1"/>
  <c r="BB300" i="1"/>
  <c r="AE300" i="1"/>
  <c r="U300" i="1"/>
  <c r="P300" i="1"/>
  <c r="I300" i="1"/>
  <c r="BA300" i="1" l="1"/>
  <c r="F300" i="1"/>
  <c r="CB300" i="1"/>
  <c r="BF113" i="1" l="1"/>
  <c r="CA300" i="1"/>
  <c r="E300" i="1"/>
  <c r="D300" i="1" l="1"/>
  <c r="CN309" i="1"/>
  <c r="CL317" i="1" l="1"/>
  <c r="CL315" i="1"/>
  <c r="CL313" i="1"/>
  <c r="CL311" i="1"/>
  <c r="CL309" i="1"/>
  <c r="CL304" i="1"/>
  <c r="CL288" i="1"/>
  <c r="CL286" i="1"/>
  <c r="CL272" i="1"/>
  <c r="CL247" i="1"/>
  <c r="CL227" i="1"/>
  <c r="CL223" i="1"/>
  <c r="CL211" i="1"/>
  <c r="CL203" i="1"/>
  <c r="CL201" i="1"/>
  <c r="CL199" i="1"/>
  <c r="CL197" i="1"/>
  <c r="CL195" i="1"/>
  <c r="CL191" i="1"/>
  <c r="CL186" i="1"/>
  <c r="CL184" i="1"/>
  <c r="CL181" i="1"/>
  <c r="CL178" i="1"/>
  <c r="CL176" i="1"/>
  <c r="CL170" i="1"/>
  <c r="CL167" i="1"/>
  <c r="CL160" i="1"/>
  <c r="CL157" i="1"/>
  <c r="CL153" i="1"/>
  <c r="CL148" i="1"/>
  <c r="CL146" i="1"/>
  <c r="CL144" i="1"/>
  <c r="CL135" i="1"/>
  <c r="CL131" i="1"/>
  <c r="CL128" i="1"/>
  <c r="CL123" i="1"/>
  <c r="CL120" i="1"/>
  <c r="CL117" i="1"/>
  <c r="CL110" i="1"/>
  <c r="CL107" i="1"/>
  <c r="CL93" i="1"/>
  <c r="CL90" i="1"/>
  <c r="CL88" i="1"/>
  <c r="CL86" i="1"/>
  <c r="CL84" i="1"/>
  <c r="CL82" i="1"/>
  <c r="CL80" i="1"/>
  <c r="CL77" i="1"/>
  <c r="CL75" i="1"/>
  <c r="CL72" i="1"/>
  <c r="CL70" i="1"/>
  <c r="CL67" i="1"/>
  <c r="CL64" i="1"/>
  <c r="CL62" i="1"/>
  <c r="CL60" i="1"/>
  <c r="CL58" i="1"/>
  <c r="CL56" i="1"/>
  <c r="CL53" i="1"/>
  <c r="CL51" i="1"/>
  <c r="CL46" i="1"/>
  <c r="CL44" i="1"/>
  <c r="CL30" i="1"/>
  <c r="CL26" i="1"/>
  <c r="CL24" i="1"/>
  <c r="CH317" i="1"/>
  <c r="CH315" i="1"/>
  <c r="CH313" i="1"/>
  <c r="CH311" i="1"/>
  <c r="CH309" i="1"/>
  <c r="CH304" i="1"/>
  <c r="CH288" i="1"/>
  <c r="CH286" i="1"/>
  <c r="CH272" i="1"/>
  <c r="CH247" i="1"/>
  <c r="CH227" i="1"/>
  <c r="CH223" i="1"/>
  <c r="CH211" i="1"/>
  <c r="CH203" i="1"/>
  <c r="CH201" i="1"/>
  <c r="CH199" i="1"/>
  <c r="CH197" i="1"/>
  <c r="CH195" i="1"/>
  <c r="CH191" i="1"/>
  <c r="CH186" i="1"/>
  <c r="CH184" i="1"/>
  <c r="CH181" i="1"/>
  <c r="CH178" i="1"/>
  <c r="CH176" i="1"/>
  <c r="CH170" i="1"/>
  <c r="CH167" i="1"/>
  <c r="CH160" i="1"/>
  <c r="CH157" i="1"/>
  <c r="CH153" i="1"/>
  <c r="CH148" i="1"/>
  <c r="CH146" i="1"/>
  <c r="CH144" i="1"/>
  <c r="CH135" i="1"/>
  <c r="CH131" i="1"/>
  <c r="CH128" i="1"/>
  <c r="CH123" i="1"/>
  <c r="CH120" i="1"/>
  <c r="CH117" i="1"/>
  <c r="CH110" i="1"/>
  <c r="CH107" i="1"/>
  <c r="CH93" i="1"/>
  <c r="CH90" i="1"/>
  <c r="CH88" i="1"/>
  <c r="CH86" i="1"/>
  <c r="CH84" i="1"/>
  <c r="CH82" i="1"/>
  <c r="CH80" i="1"/>
  <c r="CH77" i="1"/>
  <c r="CH75" i="1"/>
  <c r="CH72" i="1"/>
  <c r="CH70" i="1"/>
  <c r="CH67" i="1"/>
  <c r="CH64" i="1"/>
  <c r="CH62" i="1"/>
  <c r="CH60" i="1"/>
  <c r="CH58" i="1"/>
  <c r="CH56" i="1"/>
  <c r="CH53" i="1"/>
  <c r="CH51" i="1"/>
  <c r="CH46" i="1"/>
  <c r="CH44" i="1"/>
  <c r="CH30" i="1"/>
  <c r="CH26" i="1"/>
  <c r="CH24" i="1"/>
  <c r="CG317" i="1"/>
  <c r="CG315" i="1"/>
  <c r="CG313" i="1"/>
  <c r="CG311" i="1"/>
  <c r="CG309" i="1"/>
  <c r="CG304" i="1"/>
  <c r="CG288" i="1"/>
  <c r="CG286" i="1"/>
  <c r="CG272" i="1"/>
  <c r="CG247" i="1"/>
  <c r="CG227" i="1"/>
  <c r="CG223" i="1"/>
  <c r="CG211" i="1"/>
  <c r="CG203" i="1"/>
  <c r="CG201" i="1"/>
  <c r="CG199" i="1"/>
  <c r="CG197" i="1"/>
  <c r="CG195" i="1"/>
  <c r="CG191" i="1"/>
  <c r="CG186" i="1"/>
  <c r="CG184" i="1"/>
  <c r="CG181" i="1"/>
  <c r="CG178" i="1"/>
  <c r="CG176" i="1"/>
  <c r="CG170" i="1"/>
  <c r="CG167" i="1"/>
  <c r="CG160" i="1"/>
  <c r="CG157" i="1"/>
  <c r="CG153" i="1"/>
  <c r="CG148" i="1"/>
  <c r="CG146" i="1"/>
  <c r="CG144" i="1"/>
  <c r="CG135" i="1"/>
  <c r="CG131" i="1"/>
  <c r="CG128" i="1"/>
  <c r="CG123" i="1"/>
  <c r="CG120" i="1"/>
  <c r="CG117" i="1"/>
  <c r="CG110" i="1"/>
  <c r="CG107" i="1"/>
  <c r="CG93" i="1"/>
  <c r="CG90" i="1"/>
  <c r="CG88" i="1"/>
  <c r="CG86" i="1"/>
  <c r="CG84" i="1"/>
  <c r="CG82" i="1"/>
  <c r="CG80" i="1"/>
  <c r="CG77" i="1"/>
  <c r="CG75" i="1"/>
  <c r="CG72" i="1"/>
  <c r="CG70" i="1"/>
  <c r="CG67" i="1"/>
  <c r="CG64" i="1"/>
  <c r="CG62" i="1"/>
  <c r="CG60" i="1"/>
  <c r="CG58" i="1"/>
  <c r="CG56" i="1"/>
  <c r="CG53" i="1"/>
  <c r="CG51" i="1"/>
  <c r="CG46" i="1"/>
  <c r="CG44" i="1"/>
  <c r="CG30" i="1"/>
  <c r="CG26" i="1"/>
  <c r="CG24" i="1"/>
  <c r="CK273" i="1"/>
  <c r="CC273" i="1"/>
  <c r="BO273" i="1"/>
  <c r="BL273" i="1"/>
  <c r="BF273" i="1"/>
  <c r="BB273" i="1"/>
  <c r="AE273" i="1"/>
  <c r="U273" i="1"/>
  <c r="P273" i="1"/>
  <c r="I273" i="1"/>
  <c r="CK234" i="1"/>
  <c r="CC234" i="1"/>
  <c r="BO234" i="1"/>
  <c r="BL234" i="1"/>
  <c r="BF234" i="1"/>
  <c r="BB234" i="1"/>
  <c r="AE234" i="1"/>
  <c r="U234" i="1"/>
  <c r="P234" i="1"/>
  <c r="O234" i="1"/>
  <c r="CK238" i="1"/>
  <c r="CC238" i="1"/>
  <c r="BO238" i="1"/>
  <c r="BL238" i="1"/>
  <c r="BF238" i="1"/>
  <c r="BB238" i="1"/>
  <c r="AE238" i="1"/>
  <c r="P238" i="1"/>
  <c r="I238" i="1"/>
  <c r="AE210" i="1"/>
  <c r="AE207" i="1"/>
  <c r="AE209" i="1"/>
  <c r="AE208" i="1"/>
  <c r="AE206" i="1"/>
  <c r="AE205" i="1"/>
  <c r="AE204" i="1"/>
  <c r="AE202" i="1"/>
  <c r="BO61" i="1"/>
  <c r="CG104" i="1" l="1"/>
  <c r="CH104" i="1"/>
  <c r="CL104" i="1"/>
  <c r="CG112" i="1"/>
  <c r="CL112" i="1"/>
  <c r="CH112" i="1"/>
  <c r="CL166" i="1"/>
  <c r="CG166" i="1"/>
  <c r="CH166" i="1"/>
  <c r="CG66" i="1"/>
  <c r="CL66" i="1"/>
  <c r="CH66" i="1"/>
  <c r="BO60" i="1"/>
  <c r="CG109" i="1"/>
  <c r="CG232" i="1"/>
  <c r="CH109" i="1"/>
  <c r="CH232" i="1"/>
  <c r="CL109" i="1"/>
  <c r="CL232" i="1"/>
  <c r="I234" i="1"/>
  <c r="CG222" i="1"/>
  <c r="CH222" i="1"/>
  <c r="CL222" i="1"/>
  <c r="CL175" i="1"/>
  <c r="BA273" i="1"/>
  <c r="CH130" i="1"/>
  <c r="CH188" i="1"/>
  <c r="BA238" i="1"/>
  <c r="CG130" i="1"/>
  <c r="CG188" i="1"/>
  <c r="CH175" i="1"/>
  <c r="CH290" i="1"/>
  <c r="CL23" i="1"/>
  <c r="CL69" i="1"/>
  <c r="CL74" i="1"/>
  <c r="CL130" i="1"/>
  <c r="CL152" i="1"/>
  <c r="CL188" i="1"/>
  <c r="CL290" i="1"/>
  <c r="CG55" i="1"/>
  <c r="CG175" i="1"/>
  <c r="CG290" i="1"/>
  <c r="CH23" i="1"/>
  <c r="CH69" i="1"/>
  <c r="CH74" i="1"/>
  <c r="CH92" i="1"/>
  <c r="CH119" i="1"/>
  <c r="CL55" i="1"/>
  <c r="CL119" i="1"/>
  <c r="CG74" i="1"/>
  <c r="CG119" i="1"/>
  <c r="CH55" i="1"/>
  <c r="CL92" i="1"/>
  <c r="CG23" i="1"/>
  <c r="CG69" i="1"/>
  <c r="CG152" i="1"/>
  <c r="CH152" i="1"/>
  <c r="CB273" i="1"/>
  <c r="CG92" i="1"/>
  <c r="CB234" i="1"/>
  <c r="F273" i="1"/>
  <c r="CB238" i="1"/>
  <c r="F238" i="1"/>
  <c r="AY88" i="1"/>
  <c r="AY247" i="1"/>
  <c r="AX53" i="1"/>
  <c r="AY53" i="1"/>
  <c r="AZ53" i="1"/>
  <c r="AY30" i="1"/>
  <c r="AE185" i="1"/>
  <c r="CL226" i="1" l="1"/>
  <c r="CH226" i="1"/>
  <c r="F234" i="1"/>
  <c r="CG226" i="1"/>
  <c r="AY232" i="1"/>
  <c r="E238" i="1"/>
  <c r="CA238" i="1"/>
  <c r="CA234" i="1"/>
  <c r="CA273" i="1"/>
  <c r="AY74" i="1"/>
  <c r="E273" i="1"/>
  <c r="AY23" i="1"/>
  <c r="CG319" i="1" l="1"/>
  <c r="CH319" i="1"/>
  <c r="CL319" i="1"/>
  <c r="D273" i="1"/>
  <c r="D238" i="1"/>
  <c r="E234" i="1"/>
  <c r="AY226" i="1"/>
  <c r="CK283" i="1"/>
  <c r="CC283" i="1"/>
  <c r="BO283" i="1"/>
  <c r="BL283" i="1"/>
  <c r="BF283" i="1"/>
  <c r="BB283" i="1"/>
  <c r="AE283" i="1"/>
  <c r="U283" i="1"/>
  <c r="P283" i="1"/>
  <c r="I283" i="1"/>
  <c r="CK282" i="1"/>
  <c r="CC282" i="1"/>
  <c r="BO282" i="1"/>
  <c r="BL282" i="1"/>
  <c r="BF282" i="1"/>
  <c r="BB282" i="1"/>
  <c r="AE282" i="1"/>
  <c r="U282" i="1"/>
  <c r="P282" i="1"/>
  <c r="I282" i="1"/>
  <c r="CK277" i="1"/>
  <c r="CC277" i="1"/>
  <c r="BO277" i="1"/>
  <c r="BL277" i="1"/>
  <c r="BF277" i="1"/>
  <c r="BB277" i="1"/>
  <c r="AE277" i="1"/>
  <c r="U277" i="1"/>
  <c r="P277" i="1"/>
  <c r="I277" i="1"/>
  <c r="CK246" i="1"/>
  <c r="CC246" i="1"/>
  <c r="BO246" i="1"/>
  <c r="BL246" i="1"/>
  <c r="BF246" i="1"/>
  <c r="BB246" i="1"/>
  <c r="AE246" i="1"/>
  <c r="U246" i="1"/>
  <c r="P246" i="1"/>
  <c r="I246" i="1"/>
  <c r="CK239" i="1"/>
  <c r="CC239" i="1"/>
  <c r="BO239" i="1"/>
  <c r="BL239" i="1"/>
  <c r="BF239" i="1"/>
  <c r="BB239" i="1"/>
  <c r="AE239" i="1"/>
  <c r="U239" i="1"/>
  <c r="P239" i="1"/>
  <c r="I239" i="1"/>
  <c r="CK237" i="1"/>
  <c r="CC237" i="1"/>
  <c r="BO237" i="1"/>
  <c r="BL237" i="1"/>
  <c r="BF237" i="1"/>
  <c r="BB237" i="1"/>
  <c r="AE237" i="1"/>
  <c r="U237" i="1"/>
  <c r="P237" i="1"/>
  <c r="I237" i="1"/>
  <c r="CK103" i="1"/>
  <c r="CC103" i="1"/>
  <c r="BO103" i="1"/>
  <c r="BL103" i="1"/>
  <c r="BB103" i="1"/>
  <c r="AE103" i="1"/>
  <c r="U103" i="1"/>
  <c r="P103" i="1"/>
  <c r="I103" i="1"/>
  <c r="CK100" i="1"/>
  <c r="CC100" i="1"/>
  <c r="BO100" i="1"/>
  <c r="BL100" i="1"/>
  <c r="BB100" i="1"/>
  <c r="AE100" i="1"/>
  <c r="U100" i="1"/>
  <c r="P100" i="1"/>
  <c r="I100" i="1"/>
  <c r="AY319" i="1" l="1"/>
  <c r="D234" i="1"/>
  <c r="BA246" i="1"/>
  <c r="CB103" i="1"/>
  <c r="BA100" i="1"/>
  <c r="CB277" i="1"/>
  <c r="BA283" i="1"/>
  <c r="BA237" i="1"/>
  <c r="CB237" i="1"/>
  <c r="BA239" i="1"/>
  <c r="CB239" i="1"/>
  <c r="F246" i="1"/>
  <c r="BA282" i="1"/>
  <c r="CB282" i="1"/>
  <c r="F283" i="1"/>
  <c r="F100" i="1"/>
  <c r="CB100" i="1"/>
  <c r="F103" i="1"/>
  <c r="BA103" i="1"/>
  <c r="F237" i="1"/>
  <c r="F239" i="1"/>
  <c r="CB246" i="1"/>
  <c r="F277" i="1"/>
  <c r="BA277" i="1"/>
  <c r="F282" i="1"/>
  <c r="CB283" i="1"/>
  <c r="CA277" i="1" l="1"/>
  <c r="CA103" i="1"/>
  <c r="E239" i="1"/>
  <c r="E277" i="1"/>
  <c r="E237" i="1"/>
  <c r="CA283" i="1"/>
  <c r="E103" i="1"/>
  <c r="CA100" i="1"/>
  <c r="E100" i="1"/>
  <c r="E283" i="1"/>
  <c r="CA282" i="1"/>
  <c r="E246" i="1"/>
  <c r="CA239" i="1"/>
  <c r="CA237" i="1"/>
  <c r="E282" i="1"/>
  <c r="CA246" i="1"/>
  <c r="D277" i="1" l="1"/>
  <c r="D103" i="1"/>
  <c r="D282" i="1"/>
  <c r="D239" i="1"/>
  <c r="D237" i="1"/>
  <c r="D246" i="1"/>
  <c r="D283" i="1"/>
  <c r="D100" i="1"/>
  <c r="CC52" i="1"/>
  <c r="AZ51" i="1"/>
  <c r="AM51" i="1"/>
  <c r="AK51" i="1"/>
  <c r="AI51" i="1"/>
  <c r="AH51" i="1"/>
  <c r="AA51" i="1"/>
  <c r="Z51" i="1"/>
  <c r="Y51" i="1"/>
  <c r="X51" i="1"/>
  <c r="W51" i="1"/>
  <c r="V51" i="1"/>
  <c r="T51" i="1"/>
  <c r="O51" i="1"/>
  <c r="H51" i="1"/>
  <c r="G51" i="1"/>
  <c r="CN51" i="1"/>
  <c r="CM51" i="1"/>
  <c r="CI51" i="1"/>
  <c r="CD51" i="1"/>
  <c r="BZ51" i="1"/>
  <c r="BY51" i="1"/>
  <c r="BX51" i="1"/>
  <c r="BW51" i="1"/>
  <c r="BV51" i="1"/>
  <c r="BU51" i="1"/>
  <c r="BT51" i="1"/>
  <c r="BS51" i="1"/>
  <c r="BR51" i="1"/>
  <c r="BQ51" i="1"/>
  <c r="BP51" i="1"/>
  <c r="BN51" i="1"/>
  <c r="BM51" i="1"/>
  <c r="BJ51" i="1"/>
  <c r="BI51" i="1"/>
  <c r="BG51" i="1"/>
  <c r="BE51" i="1"/>
  <c r="BD51" i="1"/>
  <c r="BC51" i="1"/>
  <c r="AX51" i="1"/>
  <c r="AW51" i="1"/>
  <c r="AV51" i="1"/>
  <c r="AU51" i="1"/>
  <c r="AT51" i="1"/>
  <c r="AS51" i="1"/>
  <c r="AR51" i="1"/>
  <c r="AQ51" i="1"/>
  <c r="AP51" i="1"/>
  <c r="AO51" i="1"/>
  <c r="AN51" i="1"/>
  <c r="AL51" i="1"/>
  <c r="AJ51" i="1"/>
  <c r="AG51" i="1"/>
  <c r="AF51" i="1"/>
  <c r="AD51" i="1"/>
  <c r="AC51" i="1"/>
  <c r="AB51" i="1"/>
  <c r="S51" i="1"/>
  <c r="R51" i="1"/>
  <c r="Q51" i="1"/>
  <c r="N51" i="1"/>
  <c r="M51" i="1"/>
  <c r="L51" i="1"/>
  <c r="K51" i="1"/>
  <c r="J51" i="1"/>
  <c r="CK52" i="1"/>
  <c r="BO52" i="1"/>
  <c r="BL52" i="1"/>
  <c r="BB52" i="1"/>
  <c r="P52" i="1"/>
  <c r="BA52" i="1" l="1"/>
  <c r="AU23" i="1"/>
  <c r="AT23" i="1"/>
  <c r="BO71" i="1"/>
  <c r="CE51" i="1"/>
  <c r="I52" i="1"/>
  <c r="U52" i="1"/>
  <c r="AE52" i="1"/>
  <c r="CB52" i="1"/>
  <c r="F52" i="1" l="1"/>
  <c r="CA52" i="1"/>
  <c r="E52" i="1" l="1"/>
  <c r="D52" i="1" l="1"/>
  <c r="CK292" i="1"/>
  <c r="CC292" i="1"/>
  <c r="BO292" i="1"/>
  <c r="BL292" i="1"/>
  <c r="BF292" i="1"/>
  <c r="BB292" i="1"/>
  <c r="AE292" i="1"/>
  <c r="U292" i="1"/>
  <c r="P292" i="1"/>
  <c r="I292" i="1"/>
  <c r="F292" i="1" l="1"/>
  <c r="CB292" i="1"/>
  <c r="BA292" i="1"/>
  <c r="CA292" i="1" l="1"/>
  <c r="E292" i="1"/>
  <c r="D292" i="1" l="1"/>
  <c r="BL122" i="1"/>
  <c r="BN317" i="1" l="1"/>
  <c r="BN315" i="1"/>
  <c r="BN313" i="1"/>
  <c r="BN311" i="1"/>
  <c r="BN309" i="1"/>
  <c r="BN304" i="1"/>
  <c r="BN288" i="1"/>
  <c r="BN286" i="1"/>
  <c r="BN272" i="1"/>
  <c r="BN247" i="1"/>
  <c r="BN227" i="1"/>
  <c r="BN223" i="1"/>
  <c r="BN211" i="1"/>
  <c r="BN203" i="1"/>
  <c r="BN201" i="1"/>
  <c r="BN199" i="1"/>
  <c r="BN197" i="1"/>
  <c r="BN195" i="1"/>
  <c r="BN191" i="1"/>
  <c r="BN186" i="1"/>
  <c r="BN184" i="1"/>
  <c r="BN181" i="1"/>
  <c r="BN178" i="1"/>
  <c r="BN176" i="1"/>
  <c r="BN170" i="1"/>
  <c r="BN167" i="1"/>
  <c r="BN160" i="1"/>
  <c r="BN157" i="1"/>
  <c r="BN153" i="1"/>
  <c r="BN148" i="1"/>
  <c r="BN146" i="1"/>
  <c r="BN144" i="1"/>
  <c r="BN135" i="1"/>
  <c r="BN131" i="1"/>
  <c r="BN128" i="1"/>
  <c r="BN123" i="1"/>
  <c r="BN120" i="1"/>
  <c r="BN117" i="1"/>
  <c r="BN110" i="1"/>
  <c r="BN107" i="1"/>
  <c r="BN93" i="1"/>
  <c r="BN90" i="1"/>
  <c r="BN88" i="1"/>
  <c r="BN86" i="1"/>
  <c r="BN84" i="1"/>
  <c r="BN82" i="1"/>
  <c r="BN80" i="1"/>
  <c r="BN77" i="1"/>
  <c r="BN75" i="1"/>
  <c r="BN72" i="1"/>
  <c r="BN70" i="1"/>
  <c r="BN67" i="1"/>
  <c r="BN64" i="1"/>
  <c r="BN62" i="1"/>
  <c r="BN60" i="1"/>
  <c r="BN58" i="1"/>
  <c r="BN56" i="1"/>
  <c r="BN53" i="1"/>
  <c r="BN46" i="1"/>
  <c r="BN44" i="1"/>
  <c r="BN30" i="1"/>
  <c r="BN26" i="1"/>
  <c r="BN24" i="1"/>
  <c r="CN120" i="1"/>
  <c r="CM120" i="1"/>
  <c r="CI120" i="1"/>
  <c r="CE120" i="1"/>
  <c r="CD120" i="1"/>
  <c r="BZ120" i="1"/>
  <c r="BY120" i="1"/>
  <c r="BX120" i="1"/>
  <c r="BW120" i="1"/>
  <c r="BV120" i="1"/>
  <c r="BU120" i="1"/>
  <c r="BT120" i="1"/>
  <c r="BS120" i="1"/>
  <c r="BR120" i="1"/>
  <c r="BQ120" i="1"/>
  <c r="BP120" i="1"/>
  <c r="BM120" i="1"/>
  <c r="BJ120" i="1"/>
  <c r="BI120" i="1"/>
  <c r="BG120" i="1"/>
  <c r="BE120" i="1"/>
  <c r="BC120" i="1"/>
  <c r="AZ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D120" i="1"/>
  <c r="AC120" i="1"/>
  <c r="AB120" i="1"/>
  <c r="AA120" i="1"/>
  <c r="Z120" i="1"/>
  <c r="Y120" i="1"/>
  <c r="X120" i="1"/>
  <c r="W120" i="1"/>
  <c r="V120" i="1"/>
  <c r="T120" i="1"/>
  <c r="S120" i="1"/>
  <c r="R120" i="1"/>
  <c r="Q120" i="1"/>
  <c r="O120" i="1"/>
  <c r="N120" i="1"/>
  <c r="M120" i="1"/>
  <c r="L120" i="1"/>
  <c r="K120" i="1"/>
  <c r="J120" i="1"/>
  <c r="H120" i="1"/>
  <c r="G120" i="1"/>
  <c r="CK122" i="1"/>
  <c r="CC122" i="1"/>
  <c r="BO122" i="1"/>
  <c r="BB122" i="1"/>
  <c r="AE122" i="1"/>
  <c r="U122" i="1"/>
  <c r="P122" i="1"/>
  <c r="I122" i="1"/>
  <c r="BN104" i="1" l="1"/>
  <c r="BN112" i="1"/>
  <c r="BN166" i="1"/>
  <c r="BN66" i="1"/>
  <c r="BN130" i="1"/>
  <c r="BN175" i="1"/>
  <c r="BN222" i="1"/>
  <c r="BA122" i="1"/>
  <c r="CB122" i="1"/>
  <c r="BN188" i="1"/>
  <c r="BN290" i="1"/>
  <c r="BN119" i="1"/>
  <c r="BN232" i="1"/>
  <c r="BD120" i="1"/>
  <c r="BN109" i="1"/>
  <c r="F122" i="1"/>
  <c r="BN55" i="1"/>
  <c r="BN23" i="1"/>
  <c r="BN69" i="1"/>
  <c r="BN92" i="1"/>
  <c r="BN152" i="1"/>
  <c r="BN74" i="1"/>
  <c r="CA122" i="1" l="1"/>
  <c r="E122" i="1"/>
  <c r="BN226" i="1"/>
  <c r="BN319" i="1" l="1"/>
  <c r="D122" i="1"/>
  <c r="BO43" i="1"/>
  <c r="G62" i="1"/>
  <c r="G53" i="1"/>
  <c r="U43" i="1"/>
  <c r="H26" i="1"/>
  <c r="CK270" i="1"/>
  <c r="BO270" i="1"/>
  <c r="BL270" i="1"/>
  <c r="BF270" i="1"/>
  <c r="BB270" i="1"/>
  <c r="CK220" i="1"/>
  <c r="CC220" i="1"/>
  <c r="BO220" i="1"/>
  <c r="BL220" i="1"/>
  <c r="BF220" i="1"/>
  <c r="BB220" i="1"/>
  <c r="AE220" i="1"/>
  <c r="U220" i="1"/>
  <c r="P220" i="1"/>
  <c r="I220" i="1"/>
  <c r="CK168" i="1"/>
  <c r="BO168" i="1"/>
  <c r="BL168" i="1"/>
  <c r="BB168" i="1"/>
  <c r="CN128" i="1"/>
  <c r="CM128" i="1"/>
  <c r="CI128" i="1"/>
  <c r="CE128" i="1"/>
  <c r="CD128" i="1"/>
  <c r="BZ128" i="1"/>
  <c r="BY128" i="1"/>
  <c r="BX128" i="1"/>
  <c r="BW128" i="1"/>
  <c r="BV128" i="1"/>
  <c r="BU128" i="1"/>
  <c r="BT128" i="1"/>
  <c r="BS128" i="1"/>
  <c r="BR128" i="1"/>
  <c r="BQ128" i="1"/>
  <c r="BP128" i="1"/>
  <c r="BM128" i="1"/>
  <c r="BJ128" i="1"/>
  <c r="BI128" i="1"/>
  <c r="BG128" i="1"/>
  <c r="BE128" i="1"/>
  <c r="BD128" i="1"/>
  <c r="BC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D128" i="1"/>
  <c r="AC128" i="1"/>
  <c r="AB128" i="1"/>
  <c r="AA128" i="1"/>
  <c r="Z128" i="1"/>
  <c r="Y128" i="1"/>
  <c r="X128" i="1"/>
  <c r="W128" i="1"/>
  <c r="V128" i="1"/>
  <c r="T128" i="1"/>
  <c r="S128" i="1"/>
  <c r="R128" i="1"/>
  <c r="Q128" i="1"/>
  <c r="O128" i="1"/>
  <c r="N128" i="1"/>
  <c r="M128" i="1"/>
  <c r="L128" i="1"/>
  <c r="K128" i="1"/>
  <c r="J128" i="1"/>
  <c r="H128" i="1"/>
  <c r="G128" i="1"/>
  <c r="CN123" i="1"/>
  <c r="CM123" i="1"/>
  <c r="CI123" i="1"/>
  <c r="CE123" i="1"/>
  <c r="CD123" i="1"/>
  <c r="BZ123" i="1"/>
  <c r="BY123" i="1"/>
  <c r="BX123" i="1"/>
  <c r="BW123" i="1"/>
  <c r="BV123" i="1"/>
  <c r="BU123" i="1"/>
  <c r="BT123" i="1"/>
  <c r="BS123" i="1"/>
  <c r="BR123" i="1"/>
  <c r="BQ123" i="1"/>
  <c r="BP123" i="1"/>
  <c r="BM123" i="1"/>
  <c r="BJ123" i="1"/>
  <c r="BI123" i="1"/>
  <c r="BG123" i="1"/>
  <c r="BD123" i="1"/>
  <c r="BC123" i="1"/>
  <c r="AZ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D123" i="1"/>
  <c r="AC123" i="1"/>
  <c r="AB123" i="1"/>
  <c r="AA123" i="1"/>
  <c r="Z123" i="1"/>
  <c r="Y123" i="1"/>
  <c r="X123" i="1"/>
  <c r="W123" i="1"/>
  <c r="V123" i="1"/>
  <c r="T123" i="1"/>
  <c r="S123" i="1"/>
  <c r="R123" i="1"/>
  <c r="Q123" i="1"/>
  <c r="O123" i="1"/>
  <c r="N123" i="1"/>
  <c r="M123" i="1"/>
  <c r="L123" i="1"/>
  <c r="K123" i="1"/>
  <c r="J123" i="1"/>
  <c r="H123" i="1"/>
  <c r="G123" i="1"/>
  <c r="CK124" i="1"/>
  <c r="CC124" i="1"/>
  <c r="BO124" i="1"/>
  <c r="BL124" i="1"/>
  <c r="AE124" i="1"/>
  <c r="U124" i="1"/>
  <c r="P124" i="1"/>
  <c r="I124" i="1"/>
  <c r="CK318" i="1"/>
  <c r="CC318" i="1"/>
  <c r="BO318" i="1"/>
  <c r="BL318" i="1"/>
  <c r="BB318" i="1"/>
  <c r="U318" i="1"/>
  <c r="P318" i="1"/>
  <c r="I318" i="1"/>
  <c r="CN317" i="1"/>
  <c r="CM317" i="1"/>
  <c r="CI317" i="1"/>
  <c r="CE317" i="1"/>
  <c r="CD317" i="1"/>
  <c r="BZ317" i="1"/>
  <c r="BY317" i="1"/>
  <c r="BX317" i="1"/>
  <c r="BW317" i="1"/>
  <c r="BV317" i="1"/>
  <c r="BU317" i="1"/>
  <c r="BT317" i="1"/>
  <c r="BS317" i="1"/>
  <c r="BR317" i="1"/>
  <c r="BQ317" i="1"/>
  <c r="BP317" i="1"/>
  <c r="BM317" i="1"/>
  <c r="BJ317" i="1"/>
  <c r="BI317" i="1"/>
  <c r="BG317" i="1"/>
  <c r="BE317" i="1"/>
  <c r="BD317" i="1"/>
  <c r="BC317" i="1"/>
  <c r="AZ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O317" i="1"/>
  <c r="N317" i="1"/>
  <c r="M317" i="1"/>
  <c r="L317" i="1"/>
  <c r="K317" i="1"/>
  <c r="J317" i="1"/>
  <c r="H317" i="1"/>
  <c r="G317" i="1"/>
  <c r="CK316" i="1"/>
  <c r="CC316" i="1"/>
  <c r="BO316" i="1"/>
  <c r="BL316" i="1"/>
  <c r="BF316" i="1"/>
  <c r="BB316" i="1"/>
  <c r="AE316" i="1"/>
  <c r="U316" i="1"/>
  <c r="P316" i="1"/>
  <c r="I316" i="1"/>
  <c r="CN315" i="1"/>
  <c r="CM315" i="1"/>
  <c r="CI315" i="1"/>
  <c r="CE315" i="1"/>
  <c r="CD315" i="1"/>
  <c r="BZ315" i="1"/>
  <c r="BY315" i="1"/>
  <c r="BX315" i="1"/>
  <c r="BW315" i="1"/>
  <c r="BV315" i="1"/>
  <c r="BU315" i="1"/>
  <c r="BT315" i="1"/>
  <c r="BS315" i="1"/>
  <c r="BR315" i="1"/>
  <c r="BQ315" i="1"/>
  <c r="BP315" i="1"/>
  <c r="BM315" i="1"/>
  <c r="BJ315" i="1"/>
  <c r="BI315" i="1"/>
  <c r="BG315" i="1"/>
  <c r="BE315" i="1"/>
  <c r="BD315" i="1"/>
  <c r="BC315" i="1"/>
  <c r="AZ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H315" i="1"/>
  <c r="AG315" i="1"/>
  <c r="AF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O315" i="1"/>
  <c r="N315" i="1"/>
  <c r="M315" i="1"/>
  <c r="L315" i="1"/>
  <c r="K315" i="1"/>
  <c r="J315" i="1"/>
  <c r="H315" i="1"/>
  <c r="G315" i="1"/>
  <c r="CK314" i="1"/>
  <c r="CC314" i="1"/>
  <c r="BO314" i="1"/>
  <c r="BL314" i="1"/>
  <c r="BF314" i="1"/>
  <c r="BB314" i="1"/>
  <c r="AE314" i="1"/>
  <c r="U314" i="1"/>
  <c r="P314" i="1"/>
  <c r="I314" i="1"/>
  <c r="CN313" i="1"/>
  <c r="CM313" i="1"/>
  <c r="CI313" i="1"/>
  <c r="CE313" i="1"/>
  <c r="CD313" i="1"/>
  <c r="BZ313" i="1"/>
  <c r="BY313" i="1"/>
  <c r="BX313" i="1"/>
  <c r="BW313" i="1"/>
  <c r="BV313" i="1"/>
  <c r="BU313" i="1"/>
  <c r="BT313" i="1"/>
  <c r="BS313" i="1"/>
  <c r="BR313" i="1"/>
  <c r="BQ313" i="1"/>
  <c r="BP313" i="1"/>
  <c r="BM313" i="1"/>
  <c r="BJ313" i="1"/>
  <c r="BI313" i="1"/>
  <c r="BG313" i="1"/>
  <c r="BE313" i="1"/>
  <c r="BD313" i="1"/>
  <c r="BC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O313" i="1"/>
  <c r="N313" i="1"/>
  <c r="M313" i="1"/>
  <c r="L313" i="1"/>
  <c r="K313" i="1"/>
  <c r="J313" i="1"/>
  <c r="H313" i="1"/>
  <c r="G313" i="1"/>
  <c r="CK312" i="1"/>
  <c r="CC312" i="1"/>
  <c r="BO312" i="1"/>
  <c r="BL312" i="1"/>
  <c r="BF312" i="1"/>
  <c r="BB312" i="1"/>
  <c r="AE312" i="1"/>
  <c r="U312" i="1"/>
  <c r="P312" i="1"/>
  <c r="I312" i="1"/>
  <c r="CN311" i="1"/>
  <c r="CM311" i="1"/>
  <c r="CI311" i="1"/>
  <c r="CE311" i="1"/>
  <c r="CD311" i="1"/>
  <c r="BZ311" i="1"/>
  <c r="BY311" i="1"/>
  <c r="BX311" i="1"/>
  <c r="BW311" i="1"/>
  <c r="BV311" i="1"/>
  <c r="BU311" i="1"/>
  <c r="BT311" i="1"/>
  <c r="BS311" i="1"/>
  <c r="BR311" i="1"/>
  <c r="BQ311" i="1"/>
  <c r="BP311" i="1"/>
  <c r="BM311" i="1"/>
  <c r="BJ311" i="1"/>
  <c r="BI311" i="1"/>
  <c r="BG311" i="1"/>
  <c r="BE311" i="1"/>
  <c r="BD311" i="1"/>
  <c r="BC311" i="1"/>
  <c r="AZ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O311" i="1"/>
  <c r="N311" i="1"/>
  <c r="M311" i="1"/>
  <c r="L311" i="1"/>
  <c r="K311" i="1"/>
  <c r="J311" i="1"/>
  <c r="H311" i="1"/>
  <c r="G311" i="1"/>
  <c r="CK310" i="1"/>
  <c r="BO310" i="1"/>
  <c r="BL310" i="1"/>
  <c r="BF310" i="1"/>
  <c r="BB310" i="1"/>
  <c r="AZ309" i="1"/>
  <c r="U310" i="1"/>
  <c r="P310" i="1"/>
  <c r="O309" i="1"/>
  <c r="N309" i="1"/>
  <c r="J310" i="1"/>
  <c r="CM309" i="1"/>
  <c r="CD309" i="1"/>
  <c r="BZ309" i="1"/>
  <c r="BY309" i="1"/>
  <c r="BX309" i="1"/>
  <c r="BW309" i="1"/>
  <c r="BV309" i="1"/>
  <c r="BU309" i="1"/>
  <c r="BT309" i="1"/>
  <c r="BS309" i="1"/>
  <c r="BR309" i="1"/>
  <c r="BQ309" i="1"/>
  <c r="BP309" i="1"/>
  <c r="BM309" i="1"/>
  <c r="BJ309" i="1"/>
  <c r="BI309" i="1"/>
  <c r="BG309" i="1"/>
  <c r="BE309" i="1"/>
  <c r="BD309" i="1"/>
  <c r="BC309" i="1"/>
  <c r="AX309" i="1"/>
  <c r="AW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M309" i="1"/>
  <c r="L309" i="1"/>
  <c r="K309" i="1"/>
  <c r="H309" i="1"/>
  <c r="G309" i="1"/>
  <c r="CK307" i="1"/>
  <c r="CC307" i="1"/>
  <c r="BO307" i="1"/>
  <c r="BL307" i="1"/>
  <c r="BF307" i="1"/>
  <c r="BB307" i="1"/>
  <c r="AE307" i="1"/>
  <c r="U307" i="1"/>
  <c r="P307" i="1"/>
  <c r="I307" i="1"/>
  <c r="CK305" i="1"/>
  <c r="CC305" i="1"/>
  <c r="BO305" i="1"/>
  <c r="BL305" i="1"/>
  <c r="BB305" i="1"/>
  <c r="AE305" i="1"/>
  <c r="U305" i="1"/>
  <c r="P305" i="1"/>
  <c r="I305" i="1"/>
  <c r="CN304" i="1"/>
  <c r="CM304" i="1"/>
  <c r="CI304" i="1"/>
  <c r="CE304" i="1"/>
  <c r="CD304" i="1"/>
  <c r="BZ304" i="1"/>
  <c r="BY304" i="1"/>
  <c r="BX304" i="1"/>
  <c r="BW304" i="1"/>
  <c r="BV304" i="1"/>
  <c r="BU304" i="1"/>
  <c r="BT304" i="1"/>
  <c r="BS304" i="1"/>
  <c r="BR304" i="1"/>
  <c r="BQ304" i="1"/>
  <c r="BP304" i="1"/>
  <c r="BM304" i="1"/>
  <c r="BJ304" i="1"/>
  <c r="BG304" i="1"/>
  <c r="BE304" i="1"/>
  <c r="BD304" i="1"/>
  <c r="BC304" i="1"/>
  <c r="AZ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O304" i="1"/>
  <c r="N304" i="1"/>
  <c r="M304" i="1"/>
  <c r="L304" i="1"/>
  <c r="K304" i="1"/>
  <c r="J304" i="1"/>
  <c r="H304" i="1"/>
  <c r="G304" i="1"/>
  <c r="CK302" i="1"/>
  <c r="CC302" i="1"/>
  <c r="BO302" i="1"/>
  <c r="BL302" i="1"/>
  <c r="BF302" i="1"/>
  <c r="BB302" i="1"/>
  <c r="U302" i="1"/>
  <c r="P302" i="1"/>
  <c r="I302" i="1"/>
  <c r="CK289" i="1"/>
  <c r="CC289" i="1"/>
  <c r="BO289" i="1"/>
  <c r="BL289" i="1"/>
  <c r="BF289" i="1"/>
  <c r="BB289" i="1"/>
  <c r="AE289" i="1"/>
  <c r="U289" i="1"/>
  <c r="P289" i="1"/>
  <c r="I289" i="1"/>
  <c r="CN288" i="1"/>
  <c r="CM288" i="1"/>
  <c r="CI288" i="1"/>
  <c r="CE288" i="1"/>
  <c r="CD288" i="1"/>
  <c r="BZ288" i="1"/>
  <c r="BY288" i="1"/>
  <c r="BX288" i="1"/>
  <c r="BW288" i="1"/>
  <c r="BV288" i="1"/>
  <c r="BU288" i="1"/>
  <c r="BT288" i="1"/>
  <c r="BS288" i="1"/>
  <c r="BR288" i="1"/>
  <c r="BQ288" i="1"/>
  <c r="BP288" i="1"/>
  <c r="BM288" i="1"/>
  <c r="BJ288" i="1"/>
  <c r="BI288" i="1"/>
  <c r="BG288" i="1"/>
  <c r="BE288" i="1"/>
  <c r="BD288" i="1"/>
  <c r="BC288" i="1"/>
  <c r="AZ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O288" i="1"/>
  <c r="N288" i="1"/>
  <c r="M288" i="1"/>
  <c r="L288" i="1"/>
  <c r="K288" i="1"/>
  <c r="J288" i="1"/>
  <c r="H288" i="1"/>
  <c r="G288" i="1"/>
  <c r="CK287" i="1"/>
  <c r="CC287" i="1"/>
  <c r="BO287" i="1"/>
  <c r="BL287" i="1"/>
  <c r="BF287" i="1"/>
  <c r="BB287" i="1"/>
  <c r="AE287" i="1"/>
  <c r="U287" i="1"/>
  <c r="P287" i="1"/>
  <c r="I287" i="1"/>
  <c r="CN286" i="1"/>
  <c r="CM286" i="1"/>
  <c r="CI286" i="1"/>
  <c r="CE286" i="1"/>
  <c r="CD286" i="1"/>
  <c r="BZ286" i="1"/>
  <c r="BY286" i="1"/>
  <c r="BX286" i="1"/>
  <c r="BW286" i="1"/>
  <c r="BV286" i="1"/>
  <c r="BU286" i="1"/>
  <c r="BT286" i="1"/>
  <c r="BS286" i="1"/>
  <c r="BR286" i="1"/>
  <c r="BQ286" i="1"/>
  <c r="BP286" i="1"/>
  <c r="BM286" i="1"/>
  <c r="BJ286" i="1"/>
  <c r="BI286" i="1"/>
  <c r="BG286" i="1"/>
  <c r="BE286" i="1"/>
  <c r="BD286" i="1"/>
  <c r="BC286" i="1"/>
  <c r="AZ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O286" i="1"/>
  <c r="N286" i="1"/>
  <c r="M286" i="1"/>
  <c r="L286" i="1"/>
  <c r="K286" i="1"/>
  <c r="J286" i="1"/>
  <c r="H286" i="1"/>
  <c r="G286" i="1"/>
  <c r="CK285" i="1"/>
  <c r="CC285" i="1"/>
  <c r="BO285" i="1"/>
  <c r="BL285" i="1"/>
  <c r="BF285" i="1"/>
  <c r="BB285" i="1"/>
  <c r="AE285" i="1"/>
  <c r="U285" i="1"/>
  <c r="P285" i="1"/>
  <c r="I285" i="1"/>
  <c r="CK281" i="1"/>
  <c r="CC281" i="1"/>
  <c r="BO281" i="1"/>
  <c r="BL281" i="1"/>
  <c r="BF281" i="1"/>
  <c r="BB281" i="1"/>
  <c r="AE281" i="1"/>
  <c r="U281" i="1"/>
  <c r="P281" i="1"/>
  <c r="I281" i="1"/>
  <c r="CK280" i="1"/>
  <c r="CC280" i="1"/>
  <c r="BO280" i="1"/>
  <c r="BL280" i="1"/>
  <c r="BF280" i="1"/>
  <c r="BB280" i="1"/>
  <c r="AE280" i="1"/>
  <c r="U280" i="1"/>
  <c r="P280" i="1"/>
  <c r="I280" i="1"/>
  <c r="CK279" i="1"/>
  <c r="CC279" i="1"/>
  <c r="BO279" i="1"/>
  <c r="BL279" i="1"/>
  <c r="BF279" i="1"/>
  <c r="BB279" i="1"/>
  <c r="AE279" i="1"/>
  <c r="U279" i="1"/>
  <c r="P279" i="1"/>
  <c r="I279" i="1"/>
  <c r="CK278" i="1"/>
  <c r="CC278" i="1"/>
  <c r="BO278" i="1"/>
  <c r="BL278" i="1"/>
  <c r="BF278" i="1"/>
  <c r="BB278" i="1"/>
  <c r="AE278" i="1"/>
  <c r="U278" i="1"/>
  <c r="P278" i="1"/>
  <c r="I278" i="1"/>
  <c r="CK276" i="1"/>
  <c r="CC276" i="1"/>
  <c r="BO276" i="1"/>
  <c r="BL276" i="1"/>
  <c r="BF276" i="1"/>
  <c r="BB276" i="1"/>
  <c r="AE276" i="1"/>
  <c r="U276" i="1"/>
  <c r="P276" i="1"/>
  <c r="I276" i="1"/>
  <c r="CK275" i="1"/>
  <c r="CC275" i="1"/>
  <c r="BO275" i="1"/>
  <c r="BL275" i="1"/>
  <c r="BF275" i="1"/>
  <c r="BB275" i="1"/>
  <c r="AE275" i="1"/>
  <c r="U275" i="1"/>
  <c r="P275" i="1"/>
  <c r="I275" i="1"/>
  <c r="CM272" i="1"/>
  <c r="CI272" i="1"/>
  <c r="CE272" i="1"/>
  <c r="CD272" i="1"/>
  <c r="BZ272" i="1"/>
  <c r="BY272" i="1"/>
  <c r="BX272" i="1"/>
  <c r="BW272" i="1"/>
  <c r="BV272" i="1"/>
  <c r="BU272" i="1"/>
  <c r="BT272" i="1"/>
  <c r="BS272" i="1"/>
  <c r="BR272" i="1"/>
  <c r="BQ272" i="1"/>
  <c r="BP272" i="1"/>
  <c r="BM272" i="1"/>
  <c r="BJ272" i="1"/>
  <c r="BI272" i="1"/>
  <c r="BG272" i="1"/>
  <c r="BE272" i="1"/>
  <c r="BD272" i="1"/>
  <c r="BC272" i="1"/>
  <c r="AZ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O272" i="1"/>
  <c r="N272" i="1"/>
  <c r="M272" i="1"/>
  <c r="L272" i="1"/>
  <c r="K272" i="1"/>
  <c r="J272" i="1"/>
  <c r="H272" i="1"/>
  <c r="G272" i="1"/>
  <c r="CK271" i="1"/>
  <c r="BO271" i="1"/>
  <c r="BL271" i="1"/>
  <c r="BF271" i="1"/>
  <c r="BB271" i="1"/>
  <c r="P271" i="1"/>
  <c r="CK269" i="1"/>
  <c r="CC269" i="1"/>
  <c r="BO269" i="1"/>
  <c r="BL269" i="1"/>
  <c r="BF269" i="1"/>
  <c r="BB269" i="1"/>
  <c r="AE269" i="1"/>
  <c r="P269" i="1"/>
  <c r="I269" i="1"/>
  <c r="CK268" i="1"/>
  <c r="CC268" i="1"/>
  <c r="BO268" i="1"/>
  <c r="BL268" i="1"/>
  <c r="BF268" i="1"/>
  <c r="BB268" i="1"/>
  <c r="AE268" i="1"/>
  <c r="P268" i="1"/>
  <c r="I268" i="1"/>
  <c r="CK267" i="1"/>
  <c r="CC267" i="1"/>
  <c r="BO267" i="1"/>
  <c r="BL267" i="1"/>
  <c r="BF267" i="1"/>
  <c r="BB267" i="1"/>
  <c r="AE267" i="1"/>
  <c r="P267" i="1"/>
  <c r="I267" i="1"/>
  <c r="CK266" i="1"/>
  <c r="CC266" i="1"/>
  <c r="BO266" i="1"/>
  <c r="BL266" i="1"/>
  <c r="BF266" i="1"/>
  <c r="BB266" i="1"/>
  <c r="AE266" i="1"/>
  <c r="P266" i="1"/>
  <c r="I266" i="1"/>
  <c r="CK265" i="1"/>
  <c r="CC265" i="1"/>
  <c r="BO265" i="1"/>
  <c r="BL265" i="1"/>
  <c r="BF265" i="1"/>
  <c r="BB265" i="1"/>
  <c r="AE265" i="1"/>
  <c r="P265" i="1"/>
  <c r="I265" i="1"/>
  <c r="CK264" i="1"/>
  <c r="CC264" i="1"/>
  <c r="BO264" i="1"/>
  <c r="BL264" i="1"/>
  <c r="BF264" i="1"/>
  <c r="BB264" i="1"/>
  <c r="AE264" i="1"/>
  <c r="P264" i="1"/>
  <c r="I264" i="1"/>
  <c r="CK263" i="1"/>
  <c r="CC263" i="1"/>
  <c r="BO263" i="1"/>
  <c r="BL263" i="1"/>
  <c r="BF263" i="1"/>
  <c r="BB263" i="1"/>
  <c r="AE263" i="1"/>
  <c r="P263" i="1"/>
  <c r="I263" i="1"/>
  <c r="CK262" i="1"/>
  <c r="CC262" i="1"/>
  <c r="BO262" i="1"/>
  <c r="BL262" i="1"/>
  <c r="BF262" i="1"/>
  <c r="BB262" i="1"/>
  <c r="AE262" i="1"/>
  <c r="P262" i="1"/>
  <c r="I262" i="1"/>
  <c r="CK261" i="1"/>
  <c r="CC261" i="1"/>
  <c r="BO261" i="1"/>
  <c r="BL261" i="1"/>
  <c r="BF261" i="1"/>
  <c r="BB261" i="1"/>
  <c r="AE261" i="1"/>
  <c r="P261" i="1"/>
  <c r="I261" i="1"/>
  <c r="CK260" i="1"/>
  <c r="CC260" i="1"/>
  <c r="BO260" i="1"/>
  <c r="BL260" i="1"/>
  <c r="BF260" i="1"/>
  <c r="BB260" i="1"/>
  <c r="AE260" i="1"/>
  <c r="P260" i="1"/>
  <c r="I260" i="1"/>
  <c r="CK259" i="1"/>
  <c r="CC259" i="1"/>
  <c r="BO259" i="1"/>
  <c r="BL259" i="1"/>
  <c r="BF259" i="1"/>
  <c r="BB259" i="1"/>
  <c r="AE259" i="1"/>
  <c r="P259" i="1"/>
  <c r="I259" i="1"/>
  <c r="CK258" i="1"/>
  <c r="CC258" i="1"/>
  <c r="BO258" i="1"/>
  <c r="BL258" i="1"/>
  <c r="BF258" i="1"/>
  <c r="BB258" i="1"/>
  <c r="AE258" i="1"/>
  <c r="P258" i="1"/>
  <c r="I258" i="1"/>
  <c r="CK257" i="1"/>
  <c r="CC257" i="1"/>
  <c r="BO257" i="1"/>
  <c r="BL257" i="1"/>
  <c r="BF257" i="1"/>
  <c r="BB257" i="1"/>
  <c r="AE257" i="1"/>
  <c r="P257" i="1"/>
  <c r="I257" i="1"/>
  <c r="CK256" i="1"/>
  <c r="CC256" i="1"/>
  <c r="BO256" i="1"/>
  <c r="BL256" i="1"/>
  <c r="BF256" i="1"/>
  <c r="BB256" i="1"/>
  <c r="AE256" i="1"/>
  <c r="P256" i="1"/>
  <c r="I256" i="1"/>
  <c r="CK255" i="1"/>
  <c r="CC255" i="1"/>
  <c r="BO255" i="1"/>
  <c r="BL255" i="1"/>
  <c r="BF255" i="1"/>
  <c r="BB255" i="1"/>
  <c r="AE255" i="1"/>
  <c r="P255" i="1"/>
  <c r="I255" i="1"/>
  <c r="CK254" i="1"/>
  <c r="CC254" i="1"/>
  <c r="BO254" i="1"/>
  <c r="BL254" i="1"/>
  <c r="BF254" i="1"/>
  <c r="BB254" i="1"/>
  <c r="AE254" i="1"/>
  <c r="P254" i="1"/>
  <c r="I254" i="1"/>
  <c r="CK253" i="1"/>
  <c r="CC253" i="1"/>
  <c r="BO253" i="1"/>
  <c r="BL253" i="1"/>
  <c r="BF253" i="1"/>
  <c r="BB253" i="1"/>
  <c r="AE253" i="1"/>
  <c r="P253" i="1"/>
  <c r="I253" i="1"/>
  <c r="CK252" i="1"/>
  <c r="CC252" i="1"/>
  <c r="BO252" i="1"/>
  <c r="BL252" i="1"/>
  <c r="BF252" i="1"/>
  <c r="BB252" i="1"/>
  <c r="AE252" i="1"/>
  <c r="P252" i="1"/>
  <c r="I252" i="1"/>
  <c r="CK251" i="1"/>
  <c r="CC251" i="1"/>
  <c r="BO251" i="1"/>
  <c r="BL251" i="1"/>
  <c r="BF251" i="1"/>
  <c r="BB251" i="1"/>
  <c r="AE251" i="1"/>
  <c r="P251" i="1"/>
  <c r="I251" i="1"/>
  <c r="CK250" i="1"/>
  <c r="CC250" i="1"/>
  <c r="BO250" i="1"/>
  <c r="BL250" i="1"/>
  <c r="BF250" i="1"/>
  <c r="BB250" i="1"/>
  <c r="AE250" i="1"/>
  <c r="P250" i="1"/>
  <c r="I250" i="1"/>
  <c r="CK249" i="1"/>
  <c r="CC249" i="1"/>
  <c r="BO249" i="1"/>
  <c r="BL249" i="1"/>
  <c r="BF249" i="1"/>
  <c r="BB249" i="1"/>
  <c r="AE249" i="1"/>
  <c r="P249" i="1"/>
  <c r="I249" i="1"/>
  <c r="CK248" i="1"/>
  <c r="CC248" i="1"/>
  <c r="BO248" i="1"/>
  <c r="BL248" i="1"/>
  <c r="BF248" i="1"/>
  <c r="BB248" i="1"/>
  <c r="AE248" i="1"/>
  <c r="P248" i="1"/>
  <c r="I248" i="1"/>
  <c r="CN247" i="1"/>
  <c r="CM247" i="1"/>
  <c r="CI247" i="1"/>
  <c r="CD247" i="1"/>
  <c r="BZ247" i="1"/>
  <c r="BY247" i="1"/>
  <c r="BX247" i="1"/>
  <c r="BW247" i="1"/>
  <c r="BV247" i="1"/>
  <c r="BU247" i="1"/>
  <c r="BT247" i="1"/>
  <c r="BS247" i="1"/>
  <c r="BR247" i="1"/>
  <c r="BQ247" i="1"/>
  <c r="BP247" i="1"/>
  <c r="BM247" i="1"/>
  <c r="BJ247" i="1"/>
  <c r="BI247" i="1"/>
  <c r="BG247" i="1"/>
  <c r="BE247" i="1"/>
  <c r="BD247" i="1"/>
  <c r="BC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J247" i="1"/>
  <c r="AG247" i="1"/>
  <c r="AF247" i="1"/>
  <c r="AD247" i="1"/>
  <c r="AB247" i="1"/>
  <c r="S247" i="1"/>
  <c r="Q247" i="1"/>
  <c r="M247" i="1"/>
  <c r="L247" i="1"/>
  <c r="K247" i="1"/>
  <c r="H247" i="1"/>
  <c r="G247" i="1"/>
  <c r="CK243" i="1"/>
  <c r="CC243" i="1"/>
  <c r="BO243" i="1"/>
  <c r="BL243" i="1"/>
  <c r="BF243" i="1"/>
  <c r="BB243" i="1"/>
  <c r="AE243" i="1"/>
  <c r="U243" i="1"/>
  <c r="P243" i="1"/>
  <c r="I243" i="1"/>
  <c r="CK242" i="1"/>
  <c r="CC242" i="1"/>
  <c r="BO242" i="1"/>
  <c r="BL242" i="1"/>
  <c r="BF242" i="1"/>
  <c r="BB242" i="1"/>
  <c r="AE242" i="1"/>
  <c r="U242" i="1"/>
  <c r="P242" i="1"/>
  <c r="O242" i="1"/>
  <c r="CK236" i="1"/>
  <c r="CC236" i="1"/>
  <c r="BO236" i="1"/>
  <c r="BL236" i="1"/>
  <c r="BF236" i="1"/>
  <c r="BB236" i="1"/>
  <c r="AE236" i="1"/>
  <c r="U236" i="1"/>
  <c r="P236" i="1"/>
  <c r="I236" i="1"/>
  <c r="CK233" i="1"/>
  <c r="CC233" i="1"/>
  <c r="BO233" i="1"/>
  <c r="BL233" i="1"/>
  <c r="BF233" i="1"/>
  <c r="BB233" i="1"/>
  <c r="AE233" i="1"/>
  <c r="U233" i="1"/>
  <c r="P233" i="1"/>
  <c r="I233" i="1"/>
  <c r="CK230" i="1"/>
  <c r="CC230" i="1"/>
  <c r="BO230" i="1"/>
  <c r="BL230" i="1"/>
  <c r="BF230" i="1"/>
  <c r="BB230" i="1"/>
  <c r="U230" i="1"/>
  <c r="P230" i="1"/>
  <c r="I230" i="1"/>
  <c r="CK228" i="1"/>
  <c r="CC228" i="1"/>
  <c r="BO228" i="1"/>
  <c r="BL228" i="1"/>
  <c r="BF228" i="1"/>
  <c r="BB228" i="1"/>
  <c r="AE228" i="1"/>
  <c r="U228" i="1"/>
  <c r="P228" i="1"/>
  <c r="I228" i="1"/>
  <c r="CN227" i="1"/>
  <c r="CM227" i="1"/>
  <c r="CI227" i="1"/>
  <c r="CE227" i="1"/>
  <c r="CD227" i="1"/>
  <c r="BZ227" i="1"/>
  <c r="BY227" i="1"/>
  <c r="BX227" i="1"/>
  <c r="BW227" i="1"/>
  <c r="BV227" i="1"/>
  <c r="BU227" i="1"/>
  <c r="BT227" i="1"/>
  <c r="BS227" i="1"/>
  <c r="BR227" i="1"/>
  <c r="BQ227" i="1"/>
  <c r="BP227" i="1"/>
  <c r="BM227" i="1"/>
  <c r="BJ227" i="1"/>
  <c r="BI227" i="1"/>
  <c r="BG227" i="1"/>
  <c r="BE227" i="1"/>
  <c r="BD227" i="1"/>
  <c r="BC227" i="1"/>
  <c r="AZ227" i="1"/>
  <c r="AX227" i="1"/>
  <c r="AW227" i="1"/>
  <c r="AV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D227" i="1"/>
  <c r="AC227" i="1"/>
  <c r="AB227" i="1"/>
  <c r="AA227" i="1"/>
  <c r="Z227" i="1"/>
  <c r="Y227" i="1"/>
  <c r="X227" i="1"/>
  <c r="W227" i="1"/>
  <c r="V227" i="1"/>
  <c r="T227" i="1"/>
  <c r="S227" i="1"/>
  <c r="R227" i="1"/>
  <c r="Q227" i="1"/>
  <c r="O227" i="1"/>
  <c r="N227" i="1"/>
  <c r="M227" i="1"/>
  <c r="L227" i="1"/>
  <c r="K227" i="1"/>
  <c r="J227" i="1"/>
  <c r="H227" i="1"/>
  <c r="G227" i="1"/>
  <c r="CK225" i="1"/>
  <c r="CC225" i="1"/>
  <c r="BO225" i="1"/>
  <c r="BL225" i="1"/>
  <c r="BF225" i="1"/>
  <c r="BB225" i="1"/>
  <c r="AE225" i="1"/>
  <c r="U225" i="1"/>
  <c r="P225" i="1"/>
  <c r="I225" i="1"/>
  <c r="CK224" i="1"/>
  <c r="CC224" i="1"/>
  <c r="BO224" i="1"/>
  <c r="BL224" i="1"/>
  <c r="BF224" i="1"/>
  <c r="BB224" i="1"/>
  <c r="AE224" i="1"/>
  <c r="U224" i="1"/>
  <c r="P224" i="1"/>
  <c r="I224" i="1"/>
  <c r="CN223" i="1"/>
  <c r="CM223" i="1"/>
  <c r="CI223" i="1"/>
  <c r="CE223" i="1"/>
  <c r="CD223" i="1"/>
  <c r="BZ223" i="1"/>
  <c r="BY223" i="1"/>
  <c r="BX223" i="1"/>
  <c r="BW223" i="1"/>
  <c r="BV223" i="1"/>
  <c r="BU223" i="1"/>
  <c r="BT223" i="1"/>
  <c r="BS223" i="1"/>
  <c r="BR223" i="1"/>
  <c r="BQ223" i="1"/>
  <c r="BP223" i="1"/>
  <c r="BM223" i="1"/>
  <c r="BJ223" i="1"/>
  <c r="BI223" i="1"/>
  <c r="BG223" i="1"/>
  <c r="BE223" i="1"/>
  <c r="BD223" i="1"/>
  <c r="BC223" i="1"/>
  <c r="AZ223" i="1"/>
  <c r="AX223" i="1"/>
  <c r="AW223" i="1"/>
  <c r="AV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D223" i="1"/>
  <c r="AC223" i="1"/>
  <c r="AB223" i="1"/>
  <c r="AA223" i="1"/>
  <c r="Z223" i="1"/>
  <c r="Y223" i="1"/>
  <c r="X223" i="1"/>
  <c r="W223" i="1"/>
  <c r="V223" i="1"/>
  <c r="T223" i="1"/>
  <c r="S223" i="1"/>
  <c r="R223" i="1"/>
  <c r="Q223" i="1"/>
  <c r="O223" i="1"/>
  <c r="N223" i="1"/>
  <c r="M223" i="1"/>
  <c r="L223" i="1"/>
  <c r="K223" i="1"/>
  <c r="J223" i="1"/>
  <c r="H223" i="1"/>
  <c r="G223" i="1"/>
  <c r="CK221" i="1"/>
  <c r="CC221" i="1"/>
  <c r="BO221" i="1"/>
  <c r="BL221" i="1"/>
  <c r="BF221" i="1"/>
  <c r="BB221" i="1"/>
  <c r="AE221" i="1"/>
  <c r="P221" i="1"/>
  <c r="I221" i="1"/>
  <c r="CK219" i="1"/>
  <c r="CC219" i="1"/>
  <c r="BO219" i="1"/>
  <c r="BL219" i="1"/>
  <c r="BF219" i="1"/>
  <c r="BB219" i="1"/>
  <c r="AE219" i="1"/>
  <c r="U219" i="1"/>
  <c r="P219" i="1"/>
  <c r="I219" i="1"/>
  <c r="CK218" i="1"/>
  <c r="CC218" i="1"/>
  <c r="BO218" i="1"/>
  <c r="BL218" i="1"/>
  <c r="BF218" i="1"/>
  <c r="BB218" i="1"/>
  <c r="AE218" i="1"/>
  <c r="U218" i="1"/>
  <c r="P218" i="1"/>
  <c r="I218" i="1"/>
  <c r="CK217" i="1"/>
  <c r="CC217" i="1"/>
  <c r="BO217" i="1"/>
  <c r="BL217" i="1"/>
  <c r="BF217" i="1"/>
  <c r="BB217" i="1"/>
  <c r="AE217" i="1"/>
  <c r="U217" i="1"/>
  <c r="P217" i="1"/>
  <c r="I217" i="1"/>
  <c r="CK216" i="1"/>
  <c r="CC216" i="1"/>
  <c r="BO216" i="1"/>
  <c r="BL216" i="1"/>
  <c r="BF216" i="1"/>
  <c r="BB216" i="1"/>
  <c r="AE216" i="1"/>
  <c r="U216" i="1"/>
  <c r="P216" i="1"/>
  <c r="I216" i="1"/>
  <c r="CK215" i="1"/>
  <c r="CC215" i="1"/>
  <c r="BO215" i="1"/>
  <c r="BL215" i="1"/>
  <c r="BF215" i="1"/>
  <c r="BB215" i="1"/>
  <c r="AE215" i="1"/>
  <c r="U215" i="1"/>
  <c r="P215" i="1"/>
  <c r="I215" i="1"/>
  <c r="CK214" i="1"/>
  <c r="CC214" i="1"/>
  <c r="BO214" i="1"/>
  <c r="BL214" i="1"/>
  <c r="BF214" i="1"/>
  <c r="BB214" i="1"/>
  <c r="AE214" i="1"/>
  <c r="U214" i="1"/>
  <c r="P214" i="1"/>
  <c r="I214" i="1"/>
  <c r="CK213" i="1"/>
  <c r="CC213" i="1"/>
  <c r="BO213" i="1"/>
  <c r="BL213" i="1"/>
  <c r="BF213" i="1"/>
  <c r="BB213" i="1"/>
  <c r="AE213" i="1"/>
  <c r="U213" i="1"/>
  <c r="P213" i="1"/>
  <c r="I213" i="1"/>
  <c r="CK212" i="1"/>
  <c r="CC212" i="1"/>
  <c r="BO212" i="1"/>
  <c r="BL212" i="1"/>
  <c r="BF212" i="1"/>
  <c r="BB212" i="1"/>
  <c r="AE212" i="1"/>
  <c r="U212" i="1"/>
  <c r="P212" i="1"/>
  <c r="I212" i="1"/>
  <c r="CN211" i="1"/>
  <c r="CM211" i="1"/>
  <c r="CI211" i="1"/>
  <c r="CE211" i="1"/>
  <c r="CD211" i="1"/>
  <c r="BZ211" i="1"/>
  <c r="BY211" i="1"/>
  <c r="BX211" i="1"/>
  <c r="BW211" i="1"/>
  <c r="BV211" i="1"/>
  <c r="BU211" i="1"/>
  <c r="BT211" i="1"/>
  <c r="BS211" i="1"/>
  <c r="BR211" i="1"/>
  <c r="BQ211" i="1"/>
  <c r="BP211" i="1"/>
  <c r="BM211" i="1"/>
  <c r="BJ211" i="1"/>
  <c r="BI211" i="1"/>
  <c r="BG211" i="1"/>
  <c r="BE211" i="1"/>
  <c r="BD211" i="1"/>
  <c r="BC211" i="1"/>
  <c r="AZ211" i="1"/>
  <c r="AX211" i="1"/>
  <c r="AW211" i="1"/>
  <c r="AV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D211" i="1"/>
  <c r="AC211" i="1"/>
  <c r="AA211" i="1"/>
  <c r="Z211" i="1"/>
  <c r="Y211" i="1"/>
  <c r="X211" i="1"/>
  <c r="W211" i="1"/>
  <c r="V211" i="1"/>
  <c r="T211" i="1"/>
  <c r="S211" i="1"/>
  <c r="R211" i="1"/>
  <c r="Q211" i="1"/>
  <c r="O211" i="1"/>
  <c r="N211" i="1"/>
  <c r="M211" i="1"/>
  <c r="L211" i="1"/>
  <c r="K211" i="1"/>
  <c r="J211" i="1"/>
  <c r="H211" i="1"/>
  <c r="G211" i="1"/>
  <c r="CK210" i="1"/>
  <c r="CC210" i="1"/>
  <c r="BO210" i="1"/>
  <c r="BL210" i="1"/>
  <c r="BF210" i="1"/>
  <c r="BB210" i="1"/>
  <c r="U210" i="1"/>
  <c r="P210" i="1"/>
  <c r="I210" i="1"/>
  <c r="CK207" i="1"/>
  <c r="CC207" i="1"/>
  <c r="BO207" i="1"/>
  <c r="BL207" i="1"/>
  <c r="BF207" i="1"/>
  <c r="BB207" i="1"/>
  <c r="U207" i="1"/>
  <c r="P207" i="1"/>
  <c r="I207" i="1"/>
  <c r="CK209" i="1"/>
  <c r="CC209" i="1"/>
  <c r="BL209" i="1"/>
  <c r="BF209" i="1"/>
  <c r="BB209" i="1"/>
  <c r="U209" i="1"/>
  <c r="P209" i="1"/>
  <c r="I209" i="1"/>
  <c r="CK208" i="1"/>
  <c r="CC208" i="1"/>
  <c r="BO208" i="1"/>
  <c r="BL208" i="1"/>
  <c r="BF208" i="1"/>
  <c r="BB208" i="1"/>
  <c r="U208" i="1"/>
  <c r="P208" i="1"/>
  <c r="I208" i="1"/>
  <c r="CK206" i="1"/>
  <c r="CC206" i="1"/>
  <c r="BL206" i="1"/>
  <c r="BF206" i="1"/>
  <c r="BB206" i="1"/>
  <c r="U206" i="1"/>
  <c r="P206" i="1"/>
  <c r="I206" i="1"/>
  <c r="CK205" i="1"/>
  <c r="CC205" i="1"/>
  <c r="BO205" i="1"/>
  <c r="BL205" i="1"/>
  <c r="BF205" i="1"/>
  <c r="BB205" i="1"/>
  <c r="U205" i="1"/>
  <c r="P205" i="1"/>
  <c r="I205" i="1"/>
  <c r="CK204" i="1"/>
  <c r="CC204" i="1"/>
  <c r="BO204" i="1"/>
  <c r="BL204" i="1"/>
  <c r="BF204" i="1"/>
  <c r="BB204" i="1"/>
  <c r="U204" i="1"/>
  <c r="P204" i="1"/>
  <c r="I204" i="1"/>
  <c r="CN203" i="1"/>
  <c r="CM203" i="1"/>
  <c r="CI203" i="1"/>
  <c r="CE203" i="1"/>
  <c r="CD203" i="1"/>
  <c r="BX203" i="1"/>
  <c r="BW203" i="1"/>
  <c r="BV203" i="1"/>
  <c r="BU203" i="1"/>
  <c r="BT203" i="1"/>
  <c r="BS203" i="1"/>
  <c r="BR203" i="1"/>
  <c r="BQ203" i="1"/>
  <c r="BP203" i="1"/>
  <c r="BM203" i="1"/>
  <c r="BJ203" i="1"/>
  <c r="BI203" i="1"/>
  <c r="BG203" i="1"/>
  <c r="BE203" i="1"/>
  <c r="BD203" i="1"/>
  <c r="BC203" i="1"/>
  <c r="AZ203" i="1"/>
  <c r="AX203" i="1"/>
  <c r="AW203" i="1"/>
  <c r="AV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T203" i="1"/>
  <c r="S203" i="1"/>
  <c r="R203" i="1"/>
  <c r="Q203" i="1"/>
  <c r="O203" i="1"/>
  <c r="N203" i="1"/>
  <c r="M203" i="1"/>
  <c r="L203" i="1"/>
  <c r="K203" i="1"/>
  <c r="J203" i="1"/>
  <c r="CK202" i="1"/>
  <c r="CC202" i="1"/>
  <c r="BO202" i="1"/>
  <c r="BL202" i="1"/>
  <c r="BF202" i="1"/>
  <c r="BB202" i="1"/>
  <c r="U202" i="1"/>
  <c r="P202" i="1"/>
  <c r="I202" i="1"/>
  <c r="CN201" i="1"/>
  <c r="CM201" i="1"/>
  <c r="CI201" i="1"/>
  <c r="CE201" i="1"/>
  <c r="CD201" i="1"/>
  <c r="BZ201" i="1"/>
  <c r="BY201" i="1"/>
  <c r="BX201" i="1"/>
  <c r="BW201" i="1"/>
  <c r="BV201" i="1"/>
  <c r="BU201" i="1"/>
  <c r="BT201" i="1"/>
  <c r="BS201" i="1"/>
  <c r="BR201" i="1"/>
  <c r="BP201" i="1"/>
  <c r="BM201" i="1"/>
  <c r="BJ201" i="1"/>
  <c r="BI201" i="1"/>
  <c r="BG201" i="1"/>
  <c r="BE201" i="1"/>
  <c r="BD201" i="1"/>
  <c r="BC201" i="1"/>
  <c r="AZ201" i="1"/>
  <c r="AX201" i="1"/>
  <c r="AW201" i="1"/>
  <c r="AV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D201" i="1"/>
  <c r="AC201" i="1"/>
  <c r="AB201" i="1"/>
  <c r="AA201" i="1"/>
  <c r="Z201" i="1"/>
  <c r="Y201" i="1"/>
  <c r="X201" i="1"/>
  <c r="W201" i="1"/>
  <c r="V201" i="1"/>
  <c r="T201" i="1"/>
  <c r="S201" i="1"/>
  <c r="R201" i="1"/>
  <c r="Q201" i="1"/>
  <c r="O201" i="1"/>
  <c r="N201" i="1"/>
  <c r="M201" i="1"/>
  <c r="L201" i="1"/>
  <c r="K201" i="1"/>
  <c r="J201" i="1"/>
  <c r="H201" i="1"/>
  <c r="G201" i="1"/>
  <c r="CK200" i="1"/>
  <c r="CC200" i="1"/>
  <c r="BO200" i="1"/>
  <c r="BL200" i="1"/>
  <c r="BF200" i="1"/>
  <c r="BB200" i="1"/>
  <c r="AE200" i="1"/>
  <c r="U200" i="1"/>
  <c r="P200" i="1"/>
  <c r="I200" i="1"/>
  <c r="CN199" i="1"/>
  <c r="CM199" i="1"/>
  <c r="CI199" i="1"/>
  <c r="CE199" i="1"/>
  <c r="CD199" i="1"/>
  <c r="BZ199" i="1"/>
  <c r="BY199" i="1"/>
  <c r="BX199" i="1"/>
  <c r="BW199" i="1"/>
  <c r="BV199" i="1"/>
  <c r="BU199" i="1"/>
  <c r="BT199" i="1"/>
  <c r="BS199" i="1"/>
  <c r="BR199" i="1"/>
  <c r="BQ199" i="1"/>
  <c r="BP199" i="1"/>
  <c r="BM199" i="1"/>
  <c r="BJ199" i="1"/>
  <c r="BI199" i="1"/>
  <c r="BG199" i="1"/>
  <c r="BE199" i="1"/>
  <c r="BD199" i="1"/>
  <c r="BC199" i="1"/>
  <c r="AZ199" i="1"/>
  <c r="AX199" i="1"/>
  <c r="AW199" i="1"/>
  <c r="AV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D199" i="1"/>
  <c r="AC199" i="1"/>
  <c r="AB199" i="1"/>
  <c r="AA199" i="1"/>
  <c r="Z199" i="1"/>
  <c r="Y199" i="1"/>
  <c r="X199" i="1"/>
  <c r="W199" i="1"/>
  <c r="V199" i="1"/>
  <c r="T199" i="1"/>
  <c r="S199" i="1"/>
  <c r="R199" i="1"/>
  <c r="Q199" i="1"/>
  <c r="O199" i="1"/>
  <c r="N199" i="1"/>
  <c r="M199" i="1"/>
  <c r="L199" i="1"/>
  <c r="K199" i="1"/>
  <c r="J199" i="1"/>
  <c r="H199" i="1"/>
  <c r="G199" i="1"/>
  <c r="CK198" i="1"/>
  <c r="CC198" i="1"/>
  <c r="BO198" i="1"/>
  <c r="BL198" i="1"/>
  <c r="BF198" i="1"/>
  <c r="BB198" i="1"/>
  <c r="AE198" i="1"/>
  <c r="U198" i="1"/>
  <c r="P198" i="1"/>
  <c r="I198" i="1"/>
  <c r="CN197" i="1"/>
  <c r="CM197" i="1"/>
  <c r="CI197" i="1"/>
  <c r="CE197" i="1"/>
  <c r="CD197" i="1"/>
  <c r="BZ197" i="1"/>
  <c r="BY197" i="1"/>
  <c r="BX197" i="1"/>
  <c r="BW197" i="1"/>
  <c r="BV197" i="1"/>
  <c r="BU197" i="1"/>
  <c r="BT197" i="1"/>
  <c r="BS197" i="1"/>
  <c r="BR197" i="1"/>
  <c r="BQ197" i="1"/>
  <c r="BP197" i="1"/>
  <c r="BM197" i="1"/>
  <c r="BJ197" i="1"/>
  <c r="BI197" i="1"/>
  <c r="BG197" i="1"/>
  <c r="BE197" i="1"/>
  <c r="BD197" i="1"/>
  <c r="BC197" i="1"/>
  <c r="AZ197" i="1"/>
  <c r="AX197" i="1"/>
  <c r="AW197" i="1"/>
  <c r="AV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D197" i="1"/>
  <c r="AC197" i="1"/>
  <c r="AB197" i="1"/>
  <c r="AA197" i="1"/>
  <c r="Z197" i="1"/>
  <c r="Y197" i="1"/>
  <c r="X197" i="1"/>
  <c r="W197" i="1"/>
  <c r="V197" i="1"/>
  <c r="T197" i="1"/>
  <c r="S197" i="1"/>
  <c r="R197" i="1"/>
  <c r="Q197" i="1"/>
  <c r="O197" i="1"/>
  <c r="N197" i="1"/>
  <c r="M197" i="1"/>
  <c r="L197" i="1"/>
  <c r="K197" i="1"/>
  <c r="J197" i="1"/>
  <c r="H197" i="1"/>
  <c r="G197" i="1"/>
  <c r="CK196" i="1"/>
  <c r="CC196" i="1"/>
  <c r="BL196" i="1"/>
  <c r="BF196" i="1"/>
  <c r="BB196" i="1"/>
  <c r="AE196" i="1"/>
  <c r="U196" i="1"/>
  <c r="P196" i="1"/>
  <c r="I196" i="1"/>
  <c r="CN195" i="1"/>
  <c r="CM195" i="1"/>
  <c r="CI195" i="1"/>
  <c r="CE195" i="1"/>
  <c r="CD195" i="1"/>
  <c r="BZ195" i="1"/>
  <c r="BX195" i="1"/>
  <c r="BW195" i="1"/>
  <c r="BV195" i="1"/>
  <c r="BU195" i="1"/>
  <c r="BT195" i="1"/>
  <c r="BS195" i="1"/>
  <c r="BR195" i="1"/>
  <c r="BQ195" i="1"/>
  <c r="BP195" i="1"/>
  <c r="BM195" i="1"/>
  <c r="BJ195" i="1"/>
  <c r="BI195" i="1"/>
  <c r="BG195" i="1"/>
  <c r="BE195" i="1"/>
  <c r="BD195" i="1"/>
  <c r="BC195" i="1"/>
  <c r="AZ195" i="1"/>
  <c r="AX195" i="1"/>
  <c r="AW195" i="1"/>
  <c r="AV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D195" i="1"/>
  <c r="AC195" i="1"/>
  <c r="AB195" i="1"/>
  <c r="AA195" i="1"/>
  <c r="Z195" i="1"/>
  <c r="Y195" i="1"/>
  <c r="X195" i="1"/>
  <c r="W195" i="1"/>
  <c r="V195" i="1"/>
  <c r="T195" i="1"/>
  <c r="S195" i="1"/>
  <c r="R195" i="1"/>
  <c r="Q195" i="1"/>
  <c r="O195" i="1"/>
  <c r="N195" i="1"/>
  <c r="M195" i="1"/>
  <c r="L195" i="1"/>
  <c r="K195" i="1"/>
  <c r="J195" i="1"/>
  <c r="H195" i="1"/>
  <c r="G195" i="1"/>
  <c r="CK194" i="1"/>
  <c r="CC194" i="1"/>
  <c r="BO194" i="1"/>
  <c r="BL194" i="1"/>
  <c r="BF194" i="1"/>
  <c r="BB194" i="1"/>
  <c r="AE194" i="1"/>
  <c r="U194" i="1"/>
  <c r="P194" i="1"/>
  <c r="I194" i="1"/>
  <c r="CK193" i="1"/>
  <c r="CC193" i="1"/>
  <c r="BO193" i="1"/>
  <c r="BL193" i="1"/>
  <c r="BF193" i="1"/>
  <c r="BB193" i="1"/>
  <c r="AE193" i="1"/>
  <c r="U193" i="1"/>
  <c r="P193" i="1"/>
  <c r="I193" i="1"/>
  <c r="CK192" i="1"/>
  <c r="CC192" i="1"/>
  <c r="BO192" i="1"/>
  <c r="BL192" i="1"/>
  <c r="BF192" i="1"/>
  <c r="BB192" i="1"/>
  <c r="AE192" i="1"/>
  <c r="U192" i="1"/>
  <c r="P192" i="1"/>
  <c r="I192" i="1"/>
  <c r="CN191" i="1"/>
  <c r="CM191" i="1"/>
  <c r="CI191" i="1"/>
  <c r="CE191" i="1"/>
  <c r="CD191" i="1"/>
  <c r="BZ191" i="1"/>
  <c r="BY191" i="1"/>
  <c r="BX191" i="1"/>
  <c r="BW191" i="1"/>
  <c r="BV191" i="1"/>
  <c r="BU191" i="1"/>
  <c r="BT191" i="1"/>
  <c r="BS191" i="1"/>
  <c r="BR191" i="1"/>
  <c r="BQ191" i="1"/>
  <c r="BP191" i="1"/>
  <c r="BM191" i="1"/>
  <c r="BJ191" i="1"/>
  <c r="BI191" i="1"/>
  <c r="BG191" i="1"/>
  <c r="BE191" i="1"/>
  <c r="BD191" i="1"/>
  <c r="BC191" i="1"/>
  <c r="AZ191" i="1"/>
  <c r="AX191" i="1"/>
  <c r="AW191" i="1"/>
  <c r="AV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D191" i="1"/>
  <c r="AC191" i="1"/>
  <c r="AB191" i="1"/>
  <c r="AA191" i="1"/>
  <c r="Z191" i="1"/>
  <c r="Y191" i="1"/>
  <c r="X191" i="1"/>
  <c r="W191" i="1"/>
  <c r="V191" i="1"/>
  <c r="T191" i="1"/>
  <c r="S191" i="1"/>
  <c r="R191" i="1"/>
  <c r="Q191" i="1"/>
  <c r="O191" i="1"/>
  <c r="N191" i="1"/>
  <c r="M191" i="1"/>
  <c r="L191" i="1"/>
  <c r="K191" i="1"/>
  <c r="J191" i="1"/>
  <c r="CK190" i="1"/>
  <c r="CC190" i="1"/>
  <c r="BO190" i="1"/>
  <c r="BL190" i="1"/>
  <c r="BF190" i="1"/>
  <c r="BB190" i="1"/>
  <c r="AE190" i="1"/>
  <c r="U190" i="1"/>
  <c r="P190" i="1"/>
  <c r="I190" i="1"/>
  <c r="CK189" i="1"/>
  <c r="CC189" i="1"/>
  <c r="BO189" i="1"/>
  <c r="BL189" i="1"/>
  <c r="BF189" i="1"/>
  <c r="BB189" i="1"/>
  <c r="AE189" i="1"/>
  <c r="U189" i="1"/>
  <c r="P189" i="1"/>
  <c r="I189" i="1"/>
  <c r="CK187" i="1"/>
  <c r="CC187" i="1"/>
  <c r="BO187" i="1"/>
  <c r="BL187" i="1"/>
  <c r="BB187" i="1"/>
  <c r="AE187" i="1"/>
  <c r="U187" i="1"/>
  <c r="P187" i="1"/>
  <c r="I187" i="1"/>
  <c r="CN186" i="1"/>
  <c r="CM186" i="1"/>
  <c r="CI186" i="1"/>
  <c r="CE186" i="1"/>
  <c r="CD186" i="1"/>
  <c r="BZ186" i="1"/>
  <c r="BY186" i="1"/>
  <c r="BX186" i="1"/>
  <c r="BW186" i="1"/>
  <c r="BV186" i="1"/>
  <c r="BU186" i="1"/>
  <c r="BT186" i="1"/>
  <c r="BS186" i="1"/>
  <c r="BR186" i="1"/>
  <c r="BQ186" i="1"/>
  <c r="BP186" i="1"/>
  <c r="BM186" i="1"/>
  <c r="BJ186" i="1"/>
  <c r="BI186" i="1"/>
  <c r="BG186" i="1"/>
  <c r="BE186" i="1"/>
  <c r="BD186" i="1"/>
  <c r="BC186" i="1"/>
  <c r="AZ186" i="1"/>
  <c r="AX186" i="1"/>
  <c r="AW186" i="1"/>
  <c r="AV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D186" i="1"/>
  <c r="AC186" i="1"/>
  <c r="AB186" i="1"/>
  <c r="AA186" i="1"/>
  <c r="Z186" i="1"/>
  <c r="Y186" i="1"/>
  <c r="X186" i="1"/>
  <c r="W186" i="1"/>
  <c r="V186" i="1"/>
  <c r="T186" i="1"/>
  <c r="S186" i="1"/>
  <c r="R186" i="1"/>
  <c r="Q186" i="1"/>
  <c r="O186" i="1"/>
  <c r="N186" i="1"/>
  <c r="M186" i="1"/>
  <c r="L186" i="1"/>
  <c r="K186" i="1"/>
  <c r="J186" i="1"/>
  <c r="H186" i="1"/>
  <c r="CK185" i="1"/>
  <c r="CC185" i="1"/>
  <c r="BO185" i="1"/>
  <c r="BL185" i="1"/>
  <c r="BB185" i="1"/>
  <c r="U185" i="1"/>
  <c r="P185" i="1"/>
  <c r="I185" i="1"/>
  <c r="CN184" i="1"/>
  <c r="CM184" i="1"/>
  <c r="CI184" i="1"/>
  <c r="CE184" i="1"/>
  <c r="CD184" i="1"/>
  <c r="BZ184" i="1"/>
  <c r="BY184" i="1"/>
  <c r="BX184" i="1"/>
  <c r="BW184" i="1"/>
  <c r="BV184" i="1"/>
  <c r="BU184" i="1"/>
  <c r="BT184" i="1"/>
  <c r="BS184" i="1"/>
  <c r="BR184" i="1"/>
  <c r="BQ184" i="1"/>
  <c r="BP184" i="1"/>
  <c r="BM184" i="1"/>
  <c r="BJ184" i="1"/>
  <c r="BI184" i="1"/>
  <c r="BG184" i="1"/>
  <c r="BE184" i="1"/>
  <c r="BD184" i="1"/>
  <c r="BC184" i="1"/>
  <c r="AZ184" i="1"/>
  <c r="AX184" i="1"/>
  <c r="AW184" i="1"/>
  <c r="AV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T184" i="1"/>
  <c r="S184" i="1"/>
  <c r="R184" i="1"/>
  <c r="Q184" i="1"/>
  <c r="O184" i="1"/>
  <c r="N184" i="1"/>
  <c r="M184" i="1"/>
  <c r="L184" i="1"/>
  <c r="K184" i="1"/>
  <c r="J184" i="1"/>
  <c r="H184" i="1"/>
  <c r="G184" i="1"/>
  <c r="CK183" i="1"/>
  <c r="CC183" i="1"/>
  <c r="BO183" i="1"/>
  <c r="BL183" i="1"/>
  <c r="BB183" i="1"/>
  <c r="AE183" i="1"/>
  <c r="U183" i="1"/>
  <c r="P183" i="1"/>
  <c r="I183" i="1"/>
  <c r="CK182" i="1"/>
  <c r="CC182" i="1"/>
  <c r="BO182" i="1"/>
  <c r="BL182" i="1"/>
  <c r="BB182" i="1"/>
  <c r="AE182" i="1"/>
  <c r="U182" i="1"/>
  <c r="P182" i="1"/>
  <c r="I182" i="1"/>
  <c r="CN181" i="1"/>
  <c r="CM181" i="1"/>
  <c r="CI181" i="1"/>
  <c r="CE181" i="1"/>
  <c r="CD181" i="1"/>
  <c r="BZ181" i="1"/>
  <c r="BY181" i="1"/>
  <c r="BX181" i="1"/>
  <c r="BW181" i="1"/>
  <c r="BV181" i="1"/>
  <c r="BU181" i="1"/>
  <c r="BT181" i="1"/>
  <c r="BS181" i="1"/>
  <c r="BR181" i="1"/>
  <c r="BQ181" i="1"/>
  <c r="BP181" i="1"/>
  <c r="BM181" i="1"/>
  <c r="BJ181" i="1"/>
  <c r="BI181" i="1"/>
  <c r="BG181" i="1"/>
  <c r="BE181" i="1"/>
  <c r="BD181" i="1"/>
  <c r="BC181" i="1"/>
  <c r="AZ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D181" i="1"/>
  <c r="AC181" i="1"/>
  <c r="AB181" i="1"/>
  <c r="AA181" i="1"/>
  <c r="Z181" i="1"/>
  <c r="Y181" i="1"/>
  <c r="X181" i="1"/>
  <c r="W181" i="1"/>
  <c r="V181" i="1"/>
  <c r="T181" i="1"/>
  <c r="S181" i="1"/>
  <c r="R181" i="1"/>
  <c r="Q181" i="1"/>
  <c r="O181" i="1"/>
  <c r="N181" i="1"/>
  <c r="M181" i="1"/>
  <c r="L181" i="1"/>
  <c r="K181" i="1"/>
  <c r="J181" i="1"/>
  <c r="G181" i="1"/>
  <c r="CK180" i="1"/>
  <c r="CC180" i="1"/>
  <c r="BO180" i="1"/>
  <c r="BL180" i="1"/>
  <c r="BB180" i="1"/>
  <c r="AE180" i="1"/>
  <c r="U180" i="1"/>
  <c r="P180" i="1"/>
  <c r="I180" i="1"/>
  <c r="CK179" i="1"/>
  <c r="CC179" i="1"/>
  <c r="BO179" i="1"/>
  <c r="BL179" i="1"/>
  <c r="BB179" i="1"/>
  <c r="AE179" i="1"/>
  <c r="U179" i="1"/>
  <c r="P179" i="1"/>
  <c r="CN178" i="1"/>
  <c r="CM178" i="1"/>
  <c r="CI178" i="1"/>
  <c r="CE178" i="1"/>
  <c r="CD178" i="1"/>
  <c r="BZ178" i="1"/>
  <c r="BY178" i="1"/>
  <c r="BX178" i="1"/>
  <c r="BW178" i="1"/>
  <c r="BV178" i="1"/>
  <c r="BU178" i="1"/>
  <c r="BT178" i="1"/>
  <c r="BS178" i="1"/>
  <c r="BR178" i="1"/>
  <c r="BQ178" i="1"/>
  <c r="BP178" i="1"/>
  <c r="BM178" i="1"/>
  <c r="BJ178" i="1"/>
  <c r="BI178" i="1"/>
  <c r="BG178" i="1"/>
  <c r="BE178" i="1"/>
  <c r="BD178" i="1"/>
  <c r="BC178" i="1"/>
  <c r="AZ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D178" i="1"/>
  <c r="AC178" i="1"/>
  <c r="AB178" i="1"/>
  <c r="AA178" i="1"/>
  <c r="Z178" i="1"/>
  <c r="Y178" i="1"/>
  <c r="X178" i="1"/>
  <c r="W178" i="1"/>
  <c r="V178" i="1"/>
  <c r="T178" i="1"/>
  <c r="S178" i="1"/>
  <c r="R178" i="1"/>
  <c r="Q178" i="1"/>
  <c r="N178" i="1"/>
  <c r="M178" i="1"/>
  <c r="L178" i="1"/>
  <c r="K178" i="1"/>
  <c r="J178" i="1"/>
  <c r="H178" i="1"/>
  <c r="G178" i="1"/>
  <c r="CK177" i="1"/>
  <c r="CC177" i="1"/>
  <c r="BO177" i="1"/>
  <c r="BL177" i="1"/>
  <c r="BB177" i="1"/>
  <c r="AE177" i="1"/>
  <c r="U177" i="1"/>
  <c r="P177" i="1"/>
  <c r="O176" i="1"/>
  <c r="L176" i="1"/>
  <c r="K176" i="1"/>
  <c r="CN176" i="1"/>
  <c r="CM176" i="1"/>
  <c r="CI176" i="1"/>
  <c r="CD176" i="1"/>
  <c r="BZ176" i="1"/>
  <c r="BY176" i="1"/>
  <c r="BX176" i="1"/>
  <c r="BW176" i="1"/>
  <c r="BV176" i="1"/>
  <c r="BU176" i="1"/>
  <c r="BT176" i="1"/>
  <c r="BS176" i="1"/>
  <c r="BR176" i="1"/>
  <c r="BQ176" i="1"/>
  <c r="BP176" i="1"/>
  <c r="BM176" i="1"/>
  <c r="BJ176" i="1"/>
  <c r="BI176" i="1"/>
  <c r="BG176" i="1"/>
  <c r="BE176" i="1"/>
  <c r="BD176" i="1"/>
  <c r="BC176" i="1"/>
  <c r="AZ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H176" i="1"/>
  <c r="AG176" i="1"/>
  <c r="AF176" i="1"/>
  <c r="AD176" i="1"/>
  <c r="AC176" i="1"/>
  <c r="AB176" i="1"/>
  <c r="AA176" i="1"/>
  <c r="Z176" i="1"/>
  <c r="Y176" i="1"/>
  <c r="X176" i="1"/>
  <c r="W176" i="1"/>
  <c r="V176" i="1"/>
  <c r="T176" i="1"/>
  <c r="S176" i="1"/>
  <c r="R176" i="1"/>
  <c r="Q176" i="1"/>
  <c r="N176" i="1"/>
  <c r="M176" i="1"/>
  <c r="H176" i="1"/>
  <c r="G176" i="1"/>
  <c r="CC172" i="1"/>
  <c r="BO172" i="1"/>
  <c r="BL172" i="1"/>
  <c r="BB172" i="1"/>
  <c r="P172" i="1"/>
  <c r="CK171" i="1"/>
  <c r="CC171" i="1"/>
  <c r="BO171" i="1"/>
  <c r="BL171" i="1"/>
  <c r="BB171" i="1"/>
  <c r="AE171" i="1"/>
  <c r="U171" i="1"/>
  <c r="P171" i="1"/>
  <c r="I171" i="1"/>
  <c r="CN170" i="1"/>
  <c r="CM170" i="1"/>
  <c r="CI170" i="1"/>
  <c r="CD170" i="1"/>
  <c r="BZ170" i="1"/>
  <c r="BY170" i="1"/>
  <c r="BX170" i="1"/>
  <c r="BW170" i="1"/>
  <c r="BV170" i="1"/>
  <c r="BU170" i="1"/>
  <c r="BT170" i="1"/>
  <c r="BS170" i="1"/>
  <c r="BR170" i="1"/>
  <c r="BQ170" i="1"/>
  <c r="BP170" i="1"/>
  <c r="BM170" i="1"/>
  <c r="BJ170" i="1"/>
  <c r="BI170" i="1"/>
  <c r="BG170" i="1"/>
  <c r="BE170" i="1"/>
  <c r="BD170" i="1"/>
  <c r="BC170" i="1"/>
  <c r="AZ170" i="1"/>
  <c r="AX170" i="1"/>
  <c r="AW170" i="1"/>
  <c r="AV170" i="1"/>
  <c r="AS170" i="1"/>
  <c r="AR170" i="1"/>
  <c r="AQ170" i="1"/>
  <c r="AP170" i="1"/>
  <c r="AO170" i="1"/>
  <c r="AM170" i="1"/>
  <c r="AL170" i="1"/>
  <c r="AK170" i="1"/>
  <c r="AJ170" i="1"/>
  <c r="AG170" i="1"/>
  <c r="AF170" i="1"/>
  <c r="AD170" i="1"/>
  <c r="AC170" i="1"/>
  <c r="AB170" i="1"/>
  <c r="AA170" i="1"/>
  <c r="Z170" i="1"/>
  <c r="Y170" i="1"/>
  <c r="X170" i="1"/>
  <c r="W170" i="1"/>
  <c r="V170" i="1"/>
  <c r="S170" i="1"/>
  <c r="R170" i="1"/>
  <c r="Q170" i="1"/>
  <c r="M170" i="1"/>
  <c r="L170" i="1"/>
  <c r="K170" i="1"/>
  <c r="J170" i="1"/>
  <c r="CK169" i="1"/>
  <c r="CC169" i="1"/>
  <c r="BO169" i="1"/>
  <c r="BL169" i="1"/>
  <c r="BB169" i="1"/>
  <c r="U169" i="1"/>
  <c r="P169" i="1"/>
  <c r="I169" i="1"/>
  <c r="CN167" i="1"/>
  <c r="CM167" i="1"/>
  <c r="CI167" i="1"/>
  <c r="CD167" i="1"/>
  <c r="BZ167" i="1"/>
  <c r="BY167" i="1"/>
  <c r="BX167" i="1"/>
  <c r="BW167" i="1"/>
  <c r="BV167" i="1"/>
  <c r="BU167" i="1"/>
  <c r="BT167" i="1"/>
  <c r="BS167" i="1"/>
  <c r="BR167" i="1"/>
  <c r="BQ167" i="1"/>
  <c r="BP167" i="1"/>
  <c r="BM167" i="1"/>
  <c r="BJ167" i="1"/>
  <c r="BI167" i="1"/>
  <c r="BG167" i="1"/>
  <c r="BE167" i="1"/>
  <c r="BD167" i="1"/>
  <c r="BC167" i="1"/>
  <c r="AX167" i="1"/>
  <c r="AW167" i="1"/>
  <c r="AV167" i="1"/>
  <c r="AS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D167" i="1"/>
  <c r="AC167" i="1"/>
  <c r="AB167" i="1"/>
  <c r="AA167" i="1"/>
  <c r="Z167" i="1"/>
  <c r="Y167" i="1"/>
  <c r="W167" i="1"/>
  <c r="V167" i="1"/>
  <c r="S167" i="1"/>
  <c r="Q167" i="1"/>
  <c r="M167" i="1"/>
  <c r="L167" i="1"/>
  <c r="K167" i="1"/>
  <c r="J167" i="1"/>
  <c r="CK165" i="1"/>
  <c r="CC165" i="1"/>
  <c r="BO165" i="1"/>
  <c r="BL165" i="1"/>
  <c r="BB165" i="1"/>
  <c r="AE165" i="1"/>
  <c r="U165" i="1"/>
  <c r="P165" i="1"/>
  <c r="I165" i="1"/>
  <c r="CK164" i="1"/>
  <c r="CC164" i="1"/>
  <c r="BO164" i="1"/>
  <c r="BL164" i="1"/>
  <c r="BB164" i="1"/>
  <c r="AE164" i="1"/>
  <c r="U164" i="1"/>
  <c r="P164" i="1"/>
  <c r="I164" i="1"/>
  <c r="CK163" i="1"/>
  <c r="CC163" i="1"/>
  <c r="BO163" i="1"/>
  <c r="BL163" i="1"/>
  <c r="BB163" i="1"/>
  <c r="AE163" i="1"/>
  <c r="U163" i="1"/>
  <c r="P163" i="1"/>
  <c r="I163" i="1"/>
  <c r="CK162" i="1"/>
  <c r="CC162" i="1"/>
  <c r="BO162" i="1"/>
  <c r="BL162" i="1"/>
  <c r="BB162" i="1"/>
  <c r="AE162" i="1"/>
  <c r="U162" i="1"/>
  <c r="P162" i="1"/>
  <c r="I162" i="1"/>
  <c r="CK161" i="1"/>
  <c r="BO161" i="1"/>
  <c r="BL161" i="1"/>
  <c r="BB161" i="1"/>
  <c r="U161" i="1"/>
  <c r="P161" i="1"/>
  <c r="CN160" i="1"/>
  <c r="CM160" i="1"/>
  <c r="CI160" i="1"/>
  <c r="CD160" i="1"/>
  <c r="BZ160" i="1"/>
  <c r="BY160" i="1"/>
  <c r="BX160" i="1"/>
  <c r="BW160" i="1"/>
  <c r="BV160" i="1"/>
  <c r="BU160" i="1"/>
  <c r="BT160" i="1"/>
  <c r="BS160" i="1"/>
  <c r="BR160" i="1"/>
  <c r="BQ160" i="1"/>
  <c r="BP160" i="1"/>
  <c r="BM160" i="1"/>
  <c r="BJ160" i="1"/>
  <c r="BI160" i="1"/>
  <c r="BG160" i="1"/>
  <c r="BE160" i="1"/>
  <c r="BD160" i="1"/>
  <c r="BC160" i="1"/>
  <c r="AX160" i="1"/>
  <c r="AW160" i="1"/>
  <c r="AV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D160" i="1"/>
  <c r="AC160" i="1"/>
  <c r="AB160" i="1"/>
  <c r="AA160" i="1"/>
  <c r="Z160" i="1"/>
  <c r="Y160" i="1"/>
  <c r="X160" i="1"/>
  <c r="W160" i="1"/>
  <c r="V160" i="1"/>
  <c r="T160" i="1"/>
  <c r="S160" i="1"/>
  <c r="R160" i="1"/>
  <c r="Q160" i="1"/>
  <c r="M160" i="1"/>
  <c r="L160" i="1"/>
  <c r="K160" i="1"/>
  <c r="G160" i="1"/>
  <c r="CK159" i="1"/>
  <c r="CC159" i="1"/>
  <c r="BO159" i="1"/>
  <c r="BL159" i="1"/>
  <c r="BB159" i="1"/>
  <c r="AE159" i="1"/>
  <c r="U159" i="1"/>
  <c r="P159" i="1"/>
  <c r="I159" i="1"/>
  <c r="CK158" i="1"/>
  <c r="CC158" i="1"/>
  <c r="BO158" i="1"/>
  <c r="BL158" i="1"/>
  <c r="BB158" i="1"/>
  <c r="AE158" i="1"/>
  <c r="U158" i="1"/>
  <c r="P158" i="1"/>
  <c r="I158" i="1"/>
  <c r="CN157" i="1"/>
  <c r="CM157" i="1"/>
  <c r="CI157" i="1"/>
  <c r="CE157" i="1"/>
  <c r="CD157" i="1"/>
  <c r="BZ157" i="1"/>
  <c r="BY157" i="1"/>
  <c r="BX157" i="1"/>
  <c r="BW157" i="1"/>
  <c r="BV157" i="1"/>
  <c r="BU157" i="1"/>
  <c r="BT157" i="1"/>
  <c r="BS157" i="1"/>
  <c r="BR157" i="1"/>
  <c r="BQ157" i="1"/>
  <c r="BP157" i="1"/>
  <c r="BM157" i="1"/>
  <c r="BJ157" i="1"/>
  <c r="BI157" i="1"/>
  <c r="BG157" i="1"/>
  <c r="BE157" i="1"/>
  <c r="BD157" i="1"/>
  <c r="BC157" i="1"/>
  <c r="AZ157" i="1"/>
  <c r="AX157" i="1"/>
  <c r="AW157" i="1"/>
  <c r="AV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D157" i="1"/>
  <c r="AC157" i="1"/>
  <c r="AB157" i="1"/>
  <c r="AA157" i="1"/>
  <c r="Z157" i="1"/>
  <c r="Y157" i="1"/>
  <c r="X157" i="1"/>
  <c r="W157" i="1"/>
  <c r="V157" i="1"/>
  <c r="T157" i="1"/>
  <c r="S157" i="1"/>
  <c r="R157" i="1"/>
  <c r="Q157" i="1"/>
  <c r="O157" i="1"/>
  <c r="N157" i="1"/>
  <c r="M157" i="1"/>
  <c r="L157" i="1"/>
  <c r="K157" i="1"/>
  <c r="J157" i="1"/>
  <c r="H157" i="1"/>
  <c r="G157" i="1"/>
  <c r="CK156" i="1"/>
  <c r="CC156" i="1"/>
  <c r="BO156" i="1"/>
  <c r="BL156" i="1"/>
  <c r="BB156" i="1"/>
  <c r="AE156" i="1"/>
  <c r="U156" i="1"/>
  <c r="P156" i="1"/>
  <c r="I156" i="1"/>
  <c r="CK154" i="1"/>
  <c r="CC154" i="1"/>
  <c r="BO154" i="1"/>
  <c r="BL154" i="1"/>
  <c r="BB154" i="1"/>
  <c r="AE154" i="1"/>
  <c r="U154" i="1"/>
  <c r="P154" i="1"/>
  <c r="I154" i="1"/>
  <c r="CK155" i="1"/>
  <c r="CC155" i="1"/>
  <c r="BO155" i="1"/>
  <c r="BL155" i="1"/>
  <c r="BB155" i="1"/>
  <c r="AE155" i="1"/>
  <c r="U155" i="1"/>
  <c r="P155" i="1"/>
  <c r="I155" i="1"/>
  <c r="CN153" i="1"/>
  <c r="CM153" i="1"/>
  <c r="CI153" i="1"/>
  <c r="CE153" i="1"/>
  <c r="CD153" i="1"/>
  <c r="BZ153" i="1"/>
  <c r="BY153" i="1"/>
  <c r="BX153" i="1"/>
  <c r="BW153" i="1"/>
  <c r="BV153" i="1"/>
  <c r="BU153" i="1"/>
  <c r="BT153" i="1"/>
  <c r="BS153" i="1"/>
  <c r="BR153" i="1"/>
  <c r="BQ153" i="1"/>
  <c r="BP153" i="1"/>
  <c r="BM153" i="1"/>
  <c r="BJ153" i="1"/>
  <c r="BI153" i="1"/>
  <c r="BG153" i="1"/>
  <c r="BE153" i="1"/>
  <c r="BD153" i="1"/>
  <c r="BC153" i="1"/>
  <c r="AZ153" i="1"/>
  <c r="AX153" i="1"/>
  <c r="AW153" i="1"/>
  <c r="AV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D153" i="1"/>
  <c r="AC153" i="1"/>
  <c r="AB153" i="1"/>
  <c r="AA153" i="1"/>
  <c r="Z153" i="1"/>
  <c r="Y153" i="1"/>
  <c r="X153" i="1"/>
  <c r="W153" i="1"/>
  <c r="V153" i="1"/>
  <c r="T153" i="1"/>
  <c r="S153" i="1"/>
  <c r="R153" i="1"/>
  <c r="Q153" i="1"/>
  <c r="O153" i="1"/>
  <c r="N153" i="1"/>
  <c r="M153" i="1"/>
  <c r="L153" i="1"/>
  <c r="K153" i="1"/>
  <c r="J153" i="1"/>
  <c r="CK151" i="1"/>
  <c r="CC151" i="1"/>
  <c r="BO151" i="1"/>
  <c r="BL151" i="1"/>
  <c r="BF151" i="1"/>
  <c r="BB151" i="1"/>
  <c r="AE151" i="1"/>
  <c r="U151" i="1"/>
  <c r="P151" i="1"/>
  <c r="I151" i="1"/>
  <c r="CK150" i="1"/>
  <c r="CC150" i="1"/>
  <c r="BO150" i="1"/>
  <c r="BL150" i="1"/>
  <c r="BB150" i="1"/>
  <c r="AE150" i="1"/>
  <c r="U150" i="1"/>
  <c r="P150" i="1"/>
  <c r="I150" i="1"/>
  <c r="CK149" i="1"/>
  <c r="CC149" i="1"/>
  <c r="BO149" i="1"/>
  <c r="BL149" i="1"/>
  <c r="BB149" i="1"/>
  <c r="AE149" i="1"/>
  <c r="U149" i="1"/>
  <c r="P149" i="1"/>
  <c r="I149" i="1"/>
  <c r="CN148" i="1"/>
  <c r="CM148" i="1"/>
  <c r="CI148" i="1"/>
  <c r="CE148" i="1"/>
  <c r="CD148" i="1"/>
  <c r="BZ148" i="1"/>
  <c r="BY148" i="1"/>
  <c r="BX148" i="1"/>
  <c r="BW148" i="1"/>
  <c r="BV148" i="1"/>
  <c r="BU148" i="1"/>
  <c r="BT148" i="1"/>
  <c r="BS148" i="1"/>
  <c r="BR148" i="1"/>
  <c r="BQ148" i="1"/>
  <c r="BP148" i="1"/>
  <c r="BM148" i="1"/>
  <c r="BJ148" i="1"/>
  <c r="BI148" i="1"/>
  <c r="BG148" i="1"/>
  <c r="BE148" i="1"/>
  <c r="BD148" i="1"/>
  <c r="BC148" i="1"/>
  <c r="AZ148" i="1"/>
  <c r="AX148" i="1"/>
  <c r="AW148" i="1"/>
  <c r="AV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D148" i="1"/>
  <c r="AC148" i="1"/>
  <c r="AB148" i="1"/>
  <c r="AA148" i="1"/>
  <c r="Z148" i="1"/>
  <c r="Y148" i="1"/>
  <c r="X148" i="1"/>
  <c r="W148" i="1"/>
  <c r="V148" i="1"/>
  <c r="T148" i="1"/>
  <c r="S148" i="1"/>
  <c r="R148" i="1"/>
  <c r="Q148" i="1"/>
  <c r="O148" i="1"/>
  <c r="N148" i="1"/>
  <c r="M148" i="1"/>
  <c r="L148" i="1"/>
  <c r="K148" i="1"/>
  <c r="J148" i="1"/>
  <c r="H148" i="1"/>
  <c r="G148" i="1"/>
  <c r="CK147" i="1"/>
  <c r="CC147" i="1"/>
  <c r="BO147" i="1"/>
  <c r="BL147" i="1"/>
  <c r="BB147" i="1"/>
  <c r="AE147" i="1"/>
  <c r="U147" i="1"/>
  <c r="P147" i="1"/>
  <c r="I147" i="1"/>
  <c r="CN146" i="1"/>
  <c r="CM146" i="1"/>
  <c r="CI146" i="1"/>
  <c r="CE146" i="1"/>
  <c r="CD146" i="1"/>
  <c r="BZ146" i="1"/>
  <c r="BY146" i="1"/>
  <c r="BX146" i="1"/>
  <c r="BW146" i="1"/>
  <c r="BV146" i="1"/>
  <c r="BU146" i="1"/>
  <c r="BT146" i="1"/>
  <c r="BS146" i="1"/>
  <c r="BR146" i="1"/>
  <c r="BQ146" i="1"/>
  <c r="BP146" i="1"/>
  <c r="BM146" i="1"/>
  <c r="BJ146" i="1"/>
  <c r="BI146" i="1"/>
  <c r="BG146" i="1"/>
  <c r="BE146" i="1"/>
  <c r="BD146" i="1"/>
  <c r="BC146" i="1"/>
  <c r="AZ146" i="1"/>
  <c r="AX146" i="1"/>
  <c r="AW146" i="1"/>
  <c r="AV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D146" i="1"/>
  <c r="AC146" i="1"/>
  <c r="AB146" i="1"/>
  <c r="AA146" i="1"/>
  <c r="Z146" i="1"/>
  <c r="Y146" i="1"/>
  <c r="X146" i="1"/>
  <c r="W146" i="1"/>
  <c r="V146" i="1"/>
  <c r="T146" i="1"/>
  <c r="S146" i="1"/>
  <c r="R146" i="1"/>
  <c r="Q146" i="1"/>
  <c r="O146" i="1"/>
  <c r="N146" i="1"/>
  <c r="M146" i="1"/>
  <c r="L146" i="1"/>
  <c r="K146" i="1"/>
  <c r="J146" i="1"/>
  <c r="G146" i="1"/>
  <c r="CK145" i="1"/>
  <c r="CC145" i="1"/>
  <c r="BO145" i="1"/>
  <c r="BL145" i="1"/>
  <c r="BB145" i="1"/>
  <c r="AE145" i="1"/>
  <c r="U145" i="1"/>
  <c r="P145" i="1"/>
  <c r="I145" i="1"/>
  <c r="CN144" i="1"/>
  <c r="CM144" i="1"/>
  <c r="CI144" i="1"/>
  <c r="CE144" i="1"/>
  <c r="CD144" i="1"/>
  <c r="BZ144" i="1"/>
  <c r="BY144" i="1"/>
  <c r="BX144" i="1"/>
  <c r="BW144" i="1"/>
  <c r="BV144" i="1"/>
  <c r="BU144" i="1"/>
  <c r="BT144" i="1"/>
  <c r="BS144" i="1"/>
  <c r="BR144" i="1"/>
  <c r="BQ144" i="1"/>
  <c r="BP144" i="1"/>
  <c r="BM144" i="1"/>
  <c r="BJ144" i="1"/>
  <c r="BI144" i="1"/>
  <c r="BG144" i="1"/>
  <c r="BE144" i="1"/>
  <c r="BD144" i="1"/>
  <c r="BC144" i="1"/>
  <c r="AZ144" i="1"/>
  <c r="AX144" i="1"/>
  <c r="AW144" i="1"/>
  <c r="AV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D144" i="1"/>
  <c r="AC144" i="1"/>
  <c r="AB144" i="1"/>
  <c r="AA144" i="1"/>
  <c r="Z144" i="1"/>
  <c r="Y144" i="1"/>
  <c r="X144" i="1"/>
  <c r="W144" i="1"/>
  <c r="V144" i="1"/>
  <c r="T144" i="1"/>
  <c r="S144" i="1"/>
  <c r="R144" i="1"/>
  <c r="Q144" i="1"/>
  <c r="O144" i="1"/>
  <c r="N144" i="1"/>
  <c r="M144" i="1"/>
  <c r="L144" i="1"/>
  <c r="K144" i="1"/>
  <c r="J144" i="1"/>
  <c r="CK143" i="1"/>
  <c r="CC143" i="1"/>
  <c r="BO143" i="1"/>
  <c r="BL143" i="1"/>
  <c r="BB143" i="1"/>
  <c r="U143" i="1"/>
  <c r="P143" i="1"/>
  <c r="I143" i="1"/>
  <c r="CK142" i="1"/>
  <c r="CC142" i="1"/>
  <c r="BO142" i="1"/>
  <c r="BL142" i="1"/>
  <c r="BB142" i="1"/>
  <c r="AE142" i="1"/>
  <c r="U142" i="1"/>
  <c r="P142" i="1"/>
  <c r="I142" i="1"/>
  <c r="CK141" i="1"/>
  <c r="CC141" i="1"/>
  <c r="BO141" i="1"/>
  <c r="BL141" i="1"/>
  <c r="BB141" i="1"/>
  <c r="AE141" i="1"/>
  <c r="U141" i="1"/>
  <c r="P141" i="1"/>
  <c r="I141" i="1"/>
  <c r="CK138" i="1"/>
  <c r="CC138" i="1"/>
  <c r="BO138" i="1"/>
  <c r="BL138" i="1"/>
  <c r="BB138" i="1"/>
  <c r="AE138" i="1"/>
  <c r="U138" i="1"/>
  <c r="P138" i="1"/>
  <c r="I138" i="1"/>
  <c r="CK137" i="1"/>
  <c r="BO137" i="1"/>
  <c r="BL137" i="1"/>
  <c r="BB137" i="1"/>
  <c r="U137" i="1"/>
  <c r="P137" i="1"/>
  <c r="I137" i="1"/>
  <c r="CK136" i="1"/>
  <c r="CC136" i="1"/>
  <c r="BO136" i="1"/>
  <c r="BL136" i="1"/>
  <c r="BB136" i="1"/>
  <c r="AE136" i="1"/>
  <c r="U136" i="1"/>
  <c r="P136" i="1"/>
  <c r="I136" i="1"/>
  <c r="CN135" i="1"/>
  <c r="CM135" i="1"/>
  <c r="CI135" i="1"/>
  <c r="CD135" i="1"/>
  <c r="BZ135" i="1"/>
  <c r="BY135" i="1"/>
  <c r="BX135" i="1"/>
  <c r="BW135" i="1"/>
  <c r="BV135" i="1"/>
  <c r="BU135" i="1"/>
  <c r="BT135" i="1"/>
  <c r="BS135" i="1"/>
  <c r="BR135" i="1"/>
  <c r="BQ135" i="1"/>
  <c r="BP135" i="1"/>
  <c r="BM135" i="1"/>
  <c r="BJ135" i="1"/>
  <c r="BI135" i="1"/>
  <c r="BG135" i="1"/>
  <c r="BE135" i="1"/>
  <c r="BD135" i="1"/>
  <c r="BC135" i="1"/>
  <c r="AZ135" i="1"/>
  <c r="AX135" i="1"/>
  <c r="AW135" i="1"/>
  <c r="AV135" i="1"/>
  <c r="AS135" i="1"/>
  <c r="AR135" i="1"/>
  <c r="AQ135" i="1"/>
  <c r="AP135" i="1"/>
  <c r="AO135" i="1"/>
  <c r="AN135" i="1"/>
  <c r="AL135" i="1"/>
  <c r="AH135" i="1"/>
  <c r="AG135" i="1"/>
  <c r="AF135" i="1"/>
  <c r="AD135" i="1"/>
  <c r="AC135" i="1"/>
  <c r="AB135" i="1"/>
  <c r="AA135" i="1"/>
  <c r="Z135" i="1"/>
  <c r="Y135" i="1"/>
  <c r="X135" i="1"/>
  <c r="W135" i="1"/>
  <c r="V135" i="1"/>
  <c r="T135" i="1"/>
  <c r="S135" i="1"/>
  <c r="R135" i="1"/>
  <c r="Q135" i="1"/>
  <c r="N135" i="1"/>
  <c r="M135" i="1"/>
  <c r="L135" i="1"/>
  <c r="K135" i="1"/>
  <c r="J135" i="1"/>
  <c r="H135" i="1"/>
  <c r="CK134" i="1"/>
  <c r="CC134" i="1"/>
  <c r="BO134" i="1"/>
  <c r="BL134" i="1"/>
  <c r="BB134" i="1"/>
  <c r="AE134" i="1"/>
  <c r="U134" i="1"/>
  <c r="P134" i="1"/>
  <c r="I134" i="1"/>
  <c r="CK133" i="1"/>
  <c r="CC133" i="1"/>
  <c r="BO133" i="1"/>
  <c r="BL133" i="1"/>
  <c r="BB133" i="1"/>
  <c r="AE133" i="1"/>
  <c r="U133" i="1"/>
  <c r="P133" i="1"/>
  <c r="I133" i="1"/>
  <c r="CK132" i="1"/>
  <c r="CC132" i="1"/>
  <c r="BO132" i="1"/>
  <c r="BL132" i="1"/>
  <c r="BB132" i="1"/>
  <c r="AE132" i="1"/>
  <c r="U132" i="1"/>
  <c r="P132" i="1"/>
  <c r="I132" i="1"/>
  <c r="CN131" i="1"/>
  <c r="CM131" i="1"/>
  <c r="CI131" i="1"/>
  <c r="CE131" i="1"/>
  <c r="CD131" i="1"/>
  <c r="BZ131" i="1"/>
  <c r="BY131" i="1"/>
  <c r="BX131" i="1"/>
  <c r="BW131" i="1"/>
  <c r="BV131" i="1"/>
  <c r="BU131" i="1"/>
  <c r="BT131" i="1"/>
  <c r="BS131" i="1"/>
  <c r="BR131" i="1"/>
  <c r="BQ131" i="1"/>
  <c r="BP131" i="1"/>
  <c r="BM131" i="1"/>
  <c r="BJ131" i="1"/>
  <c r="BI131" i="1"/>
  <c r="BG131" i="1"/>
  <c r="BE131" i="1"/>
  <c r="BD131" i="1"/>
  <c r="BC131" i="1"/>
  <c r="AZ131" i="1"/>
  <c r="AX131" i="1"/>
  <c r="AW131" i="1"/>
  <c r="AV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D131" i="1"/>
  <c r="AC131" i="1"/>
  <c r="AB131" i="1"/>
  <c r="AA131" i="1"/>
  <c r="Z131" i="1"/>
  <c r="Y131" i="1"/>
  <c r="X131" i="1"/>
  <c r="W131" i="1"/>
  <c r="V131" i="1"/>
  <c r="T131" i="1"/>
  <c r="S131" i="1"/>
  <c r="R131" i="1"/>
  <c r="Q131" i="1"/>
  <c r="O131" i="1"/>
  <c r="N131" i="1"/>
  <c r="M131" i="1"/>
  <c r="L131" i="1"/>
  <c r="K131" i="1"/>
  <c r="J131" i="1"/>
  <c r="CK129" i="1"/>
  <c r="CC129" i="1"/>
  <c r="BO129" i="1"/>
  <c r="BL129" i="1"/>
  <c r="BB129" i="1"/>
  <c r="U129" i="1"/>
  <c r="P129" i="1"/>
  <c r="I129" i="1"/>
  <c r="CK121" i="1"/>
  <c r="CC121" i="1"/>
  <c r="BO121" i="1"/>
  <c r="BB121" i="1"/>
  <c r="AE121" i="1"/>
  <c r="U121" i="1"/>
  <c r="P121" i="1"/>
  <c r="I121" i="1"/>
  <c r="CK118" i="1"/>
  <c r="CC118" i="1"/>
  <c r="BO118" i="1"/>
  <c r="BL118" i="1"/>
  <c r="BB118" i="1"/>
  <c r="AE118" i="1"/>
  <c r="U118" i="1"/>
  <c r="P118" i="1"/>
  <c r="I118" i="1"/>
  <c r="CN117" i="1"/>
  <c r="CM117" i="1"/>
  <c r="CI117" i="1"/>
  <c r="CE117" i="1"/>
  <c r="CD117" i="1"/>
  <c r="BZ117" i="1"/>
  <c r="BY117" i="1"/>
  <c r="BX117" i="1"/>
  <c r="BW117" i="1"/>
  <c r="BV117" i="1"/>
  <c r="BU117" i="1"/>
  <c r="BT117" i="1"/>
  <c r="BS117" i="1"/>
  <c r="BR117" i="1"/>
  <c r="BQ117" i="1"/>
  <c r="BP117" i="1"/>
  <c r="BM117" i="1"/>
  <c r="BJ117" i="1"/>
  <c r="BI117" i="1"/>
  <c r="BG117" i="1"/>
  <c r="BE117" i="1"/>
  <c r="BD117" i="1"/>
  <c r="BC117" i="1"/>
  <c r="AZ117" i="1"/>
  <c r="AX117" i="1"/>
  <c r="AW117" i="1"/>
  <c r="AV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D117" i="1"/>
  <c r="AC117" i="1"/>
  <c r="AB117" i="1"/>
  <c r="AA117" i="1"/>
  <c r="Z117" i="1"/>
  <c r="Y117" i="1"/>
  <c r="X117" i="1"/>
  <c r="W117" i="1"/>
  <c r="V117" i="1"/>
  <c r="T117" i="1"/>
  <c r="S117" i="1"/>
  <c r="R117" i="1"/>
  <c r="Q117" i="1"/>
  <c r="O117" i="1"/>
  <c r="N117" i="1"/>
  <c r="M117" i="1"/>
  <c r="L117" i="1"/>
  <c r="K117" i="1"/>
  <c r="J117" i="1"/>
  <c r="G117" i="1"/>
  <c r="CK111" i="1"/>
  <c r="CC111" i="1"/>
  <c r="BO111" i="1"/>
  <c r="BL111" i="1"/>
  <c r="BB111" i="1"/>
  <c r="AE111" i="1"/>
  <c r="U111" i="1"/>
  <c r="P111" i="1"/>
  <c r="I111" i="1"/>
  <c r="CN110" i="1"/>
  <c r="CM110" i="1"/>
  <c r="CI110" i="1"/>
  <c r="CE110" i="1"/>
  <c r="CD110" i="1"/>
  <c r="BZ110" i="1"/>
  <c r="BY110" i="1"/>
  <c r="BX110" i="1"/>
  <c r="BW110" i="1"/>
  <c r="BV110" i="1"/>
  <c r="BU110" i="1"/>
  <c r="BT110" i="1"/>
  <c r="BS110" i="1"/>
  <c r="BR110" i="1"/>
  <c r="BQ110" i="1"/>
  <c r="BP110" i="1"/>
  <c r="BM110" i="1"/>
  <c r="BJ110" i="1"/>
  <c r="BI110" i="1"/>
  <c r="BG110" i="1"/>
  <c r="BE110" i="1"/>
  <c r="BD110" i="1"/>
  <c r="BC110" i="1"/>
  <c r="AZ110" i="1"/>
  <c r="AX110" i="1"/>
  <c r="AW110" i="1"/>
  <c r="AV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D110" i="1"/>
  <c r="AC110" i="1"/>
  <c r="AB110" i="1"/>
  <c r="AA110" i="1"/>
  <c r="Z110" i="1"/>
  <c r="Y110" i="1"/>
  <c r="X110" i="1"/>
  <c r="W110" i="1"/>
  <c r="V110" i="1"/>
  <c r="T110" i="1"/>
  <c r="S110" i="1"/>
  <c r="R110" i="1"/>
  <c r="Q110" i="1"/>
  <c r="O110" i="1"/>
  <c r="N110" i="1"/>
  <c r="M110" i="1"/>
  <c r="L110" i="1"/>
  <c r="K110" i="1"/>
  <c r="J110" i="1"/>
  <c r="CK108" i="1"/>
  <c r="CC108" i="1"/>
  <c r="BO108" i="1"/>
  <c r="BL108" i="1"/>
  <c r="BB108" i="1"/>
  <c r="AE108" i="1"/>
  <c r="U108" i="1"/>
  <c r="P108" i="1"/>
  <c r="I108" i="1"/>
  <c r="CN107" i="1"/>
  <c r="CM107" i="1"/>
  <c r="CI107" i="1"/>
  <c r="CE107" i="1"/>
  <c r="CD107" i="1"/>
  <c r="BZ107" i="1"/>
  <c r="BY107" i="1"/>
  <c r="BX107" i="1"/>
  <c r="BW107" i="1"/>
  <c r="BV107" i="1"/>
  <c r="BU107" i="1"/>
  <c r="BT107" i="1"/>
  <c r="BS107" i="1"/>
  <c r="BR107" i="1"/>
  <c r="BQ107" i="1"/>
  <c r="BP107" i="1"/>
  <c r="BM107" i="1"/>
  <c r="BJ107" i="1"/>
  <c r="BI107" i="1"/>
  <c r="BG107" i="1"/>
  <c r="BE107" i="1"/>
  <c r="BD107" i="1"/>
  <c r="BC107" i="1"/>
  <c r="AZ107" i="1"/>
  <c r="AX107" i="1"/>
  <c r="AW107" i="1"/>
  <c r="AV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D107" i="1"/>
  <c r="AC107" i="1"/>
  <c r="AB107" i="1"/>
  <c r="AA107" i="1"/>
  <c r="Z107" i="1"/>
  <c r="Y107" i="1"/>
  <c r="X107" i="1"/>
  <c r="W107" i="1"/>
  <c r="V107" i="1"/>
  <c r="T107" i="1"/>
  <c r="S107" i="1"/>
  <c r="R107" i="1"/>
  <c r="Q107" i="1"/>
  <c r="O107" i="1"/>
  <c r="N107" i="1"/>
  <c r="M107" i="1"/>
  <c r="L107" i="1"/>
  <c r="K107" i="1"/>
  <c r="J107" i="1"/>
  <c r="H107" i="1"/>
  <c r="G107" i="1"/>
  <c r="CK102" i="1"/>
  <c r="CC102" i="1"/>
  <c r="BO102" i="1"/>
  <c r="BL102" i="1"/>
  <c r="BB102" i="1"/>
  <c r="AE102" i="1"/>
  <c r="U102" i="1"/>
  <c r="P102" i="1"/>
  <c r="I102" i="1"/>
  <c r="CK101" i="1"/>
  <c r="CC101" i="1"/>
  <c r="BO101" i="1"/>
  <c r="BL101" i="1"/>
  <c r="BB101" i="1"/>
  <c r="AE101" i="1"/>
  <c r="U101" i="1"/>
  <c r="P101" i="1"/>
  <c r="I101" i="1"/>
  <c r="CK99" i="1"/>
  <c r="CC99" i="1"/>
  <c r="BO99" i="1"/>
  <c r="BL99" i="1"/>
  <c r="BB99" i="1"/>
  <c r="AE99" i="1"/>
  <c r="U99" i="1"/>
  <c r="P99" i="1"/>
  <c r="I99" i="1"/>
  <c r="CK98" i="1"/>
  <c r="CC98" i="1"/>
  <c r="BO98" i="1"/>
  <c r="BL98" i="1"/>
  <c r="BB98" i="1"/>
  <c r="AE98" i="1"/>
  <c r="U98" i="1"/>
  <c r="P98" i="1"/>
  <c r="I98" i="1"/>
  <c r="CK97" i="1"/>
  <c r="CC97" i="1"/>
  <c r="BO97" i="1"/>
  <c r="BL97" i="1"/>
  <c r="BB97" i="1"/>
  <c r="AE97" i="1"/>
  <c r="U97" i="1"/>
  <c r="P97" i="1"/>
  <c r="I97" i="1"/>
  <c r="CK95" i="1"/>
  <c r="CC95" i="1"/>
  <c r="BO95" i="1"/>
  <c r="BL95" i="1"/>
  <c r="BB95" i="1"/>
  <c r="AE95" i="1"/>
  <c r="U95" i="1"/>
  <c r="P95" i="1"/>
  <c r="I95" i="1"/>
  <c r="CK94" i="1"/>
  <c r="CC94" i="1"/>
  <c r="BO94" i="1"/>
  <c r="BL94" i="1"/>
  <c r="BB94" i="1"/>
  <c r="AE94" i="1"/>
  <c r="U94" i="1"/>
  <c r="P94" i="1"/>
  <c r="I94" i="1"/>
  <c r="CN93" i="1"/>
  <c r="CM93" i="1"/>
  <c r="CI93" i="1"/>
  <c r="CE93" i="1"/>
  <c r="CD93" i="1"/>
  <c r="BZ93" i="1"/>
  <c r="BY93" i="1"/>
  <c r="BX93" i="1"/>
  <c r="BW93" i="1"/>
  <c r="BV93" i="1"/>
  <c r="BU93" i="1"/>
  <c r="BT93" i="1"/>
  <c r="BS93" i="1"/>
  <c r="BR93" i="1"/>
  <c r="BQ93" i="1"/>
  <c r="BP93" i="1"/>
  <c r="BM93" i="1"/>
  <c r="BJ93" i="1"/>
  <c r="BI93" i="1"/>
  <c r="BG93" i="1"/>
  <c r="BE93" i="1"/>
  <c r="BD93" i="1"/>
  <c r="BC93" i="1"/>
  <c r="AZ93" i="1"/>
  <c r="AX93" i="1"/>
  <c r="AW93" i="1"/>
  <c r="AV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D93" i="1"/>
  <c r="AC93" i="1"/>
  <c r="AB93" i="1"/>
  <c r="AA93" i="1"/>
  <c r="Z93" i="1"/>
  <c r="Y93" i="1"/>
  <c r="X93" i="1"/>
  <c r="W93" i="1"/>
  <c r="V93" i="1"/>
  <c r="T93" i="1"/>
  <c r="S93" i="1"/>
  <c r="R93" i="1"/>
  <c r="Q93" i="1"/>
  <c r="O93" i="1"/>
  <c r="N93" i="1"/>
  <c r="M93" i="1"/>
  <c r="L93" i="1"/>
  <c r="K93" i="1"/>
  <c r="J93" i="1"/>
  <c r="G93" i="1"/>
  <c r="CK91" i="1"/>
  <c r="CC91" i="1"/>
  <c r="BO91" i="1"/>
  <c r="BL91" i="1"/>
  <c r="BB91" i="1"/>
  <c r="AE91" i="1"/>
  <c r="U91" i="1"/>
  <c r="P91" i="1"/>
  <c r="I91" i="1"/>
  <c r="CN90" i="1"/>
  <c r="CM90" i="1"/>
  <c r="CI90" i="1"/>
  <c r="CE90" i="1"/>
  <c r="CD90" i="1"/>
  <c r="BZ90" i="1"/>
  <c r="BY90" i="1"/>
  <c r="BX90" i="1"/>
  <c r="BW90" i="1"/>
  <c r="BV90" i="1"/>
  <c r="BU90" i="1"/>
  <c r="BT90" i="1"/>
  <c r="BS90" i="1"/>
  <c r="BR90" i="1"/>
  <c r="BQ90" i="1"/>
  <c r="BP90" i="1"/>
  <c r="BM90" i="1"/>
  <c r="BJ90" i="1"/>
  <c r="BI90" i="1"/>
  <c r="BG90" i="1"/>
  <c r="BE90" i="1"/>
  <c r="BD90" i="1"/>
  <c r="BC90" i="1"/>
  <c r="AZ90" i="1"/>
  <c r="AX90" i="1"/>
  <c r="AW90" i="1"/>
  <c r="AV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D90" i="1"/>
  <c r="AC90" i="1"/>
  <c r="AB90" i="1"/>
  <c r="AA90" i="1"/>
  <c r="Z90" i="1"/>
  <c r="Y90" i="1"/>
  <c r="X90" i="1"/>
  <c r="W90" i="1"/>
  <c r="V90" i="1"/>
  <c r="T90" i="1"/>
  <c r="S90" i="1"/>
  <c r="R90" i="1"/>
  <c r="Q90" i="1"/>
  <c r="CK89" i="1"/>
  <c r="CC89" i="1"/>
  <c r="BO89" i="1"/>
  <c r="BL89" i="1"/>
  <c r="BB89" i="1"/>
  <c r="AE89" i="1"/>
  <c r="U89" i="1"/>
  <c r="P89" i="1"/>
  <c r="I89" i="1"/>
  <c r="CN88" i="1"/>
  <c r="CM88" i="1"/>
  <c r="CI88" i="1"/>
  <c r="CE88" i="1"/>
  <c r="CD88" i="1"/>
  <c r="BZ88" i="1"/>
  <c r="BY88" i="1"/>
  <c r="BX88" i="1"/>
  <c r="BW88" i="1"/>
  <c r="BV88" i="1"/>
  <c r="BU88" i="1"/>
  <c r="BT88" i="1"/>
  <c r="BS88" i="1"/>
  <c r="BR88" i="1"/>
  <c r="BQ88" i="1"/>
  <c r="BP88" i="1"/>
  <c r="BM88" i="1"/>
  <c r="BJ88" i="1"/>
  <c r="BI88" i="1"/>
  <c r="BG88" i="1"/>
  <c r="BE88" i="1"/>
  <c r="BD88" i="1"/>
  <c r="BC88" i="1"/>
  <c r="AZ88" i="1"/>
  <c r="AX88" i="1"/>
  <c r="AW88" i="1"/>
  <c r="AV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D88" i="1"/>
  <c r="AC88" i="1"/>
  <c r="AB88" i="1"/>
  <c r="AA88" i="1"/>
  <c r="Z88" i="1"/>
  <c r="Y88" i="1"/>
  <c r="X88" i="1"/>
  <c r="W88" i="1"/>
  <c r="V88" i="1"/>
  <c r="T88" i="1"/>
  <c r="S88" i="1"/>
  <c r="R88" i="1"/>
  <c r="Q88" i="1"/>
  <c r="O88" i="1"/>
  <c r="N88" i="1"/>
  <c r="M88" i="1"/>
  <c r="L88" i="1"/>
  <c r="K88" i="1"/>
  <c r="J88" i="1"/>
  <c r="G88" i="1"/>
  <c r="CK87" i="1"/>
  <c r="CC87" i="1"/>
  <c r="BO87" i="1"/>
  <c r="BL87" i="1"/>
  <c r="BB87" i="1"/>
  <c r="AE87" i="1"/>
  <c r="U87" i="1"/>
  <c r="P87" i="1"/>
  <c r="CN86" i="1"/>
  <c r="CM86" i="1"/>
  <c r="CI86" i="1"/>
  <c r="CE86" i="1"/>
  <c r="CD86" i="1"/>
  <c r="BZ86" i="1"/>
  <c r="BY86" i="1"/>
  <c r="BX86" i="1"/>
  <c r="BW86" i="1"/>
  <c r="BV86" i="1"/>
  <c r="BU86" i="1"/>
  <c r="BT86" i="1"/>
  <c r="BS86" i="1"/>
  <c r="BR86" i="1"/>
  <c r="BQ86" i="1"/>
  <c r="BP86" i="1"/>
  <c r="BM86" i="1"/>
  <c r="BJ86" i="1"/>
  <c r="BI86" i="1"/>
  <c r="BG86" i="1"/>
  <c r="BE86" i="1"/>
  <c r="BD86" i="1"/>
  <c r="BC86" i="1"/>
  <c r="AZ86" i="1"/>
  <c r="AX86" i="1"/>
  <c r="AW86" i="1"/>
  <c r="AV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D86" i="1"/>
  <c r="AC86" i="1"/>
  <c r="AB86" i="1"/>
  <c r="AA86" i="1"/>
  <c r="Z86" i="1"/>
  <c r="Y86" i="1"/>
  <c r="X86" i="1"/>
  <c r="W86" i="1"/>
  <c r="V86" i="1"/>
  <c r="T86" i="1"/>
  <c r="S86" i="1"/>
  <c r="R86" i="1"/>
  <c r="Q86" i="1"/>
  <c r="M86" i="1"/>
  <c r="L86" i="1"/>
  <c r="J86" i="1"/>
  <c r="CK85" i="1"/>
  <c r="BL85" i="1"/>
  <c r="BB85" i="1"/>
  <c r="AE85" i="1"/>
  <c r="U85" i="1"/>
  <c r="P85" i="1"/>
  <c r="I85" i="1"/>
  <c r="CN84" i="1"/>
  <c r="CM84" i="1"/>
  <c r="CI84" i="1"/>
  <c r="CD84" i="1"/>
  <c r="BZ84" i="1"/>
  <c r="BY84" i="1"/>
  <c r="BX84" i="1"/>
  <c r="BW84" i="1"/>
  <c r="BV84" i="1"/>
  <c r="BU84" i="1"/>
  <c r="BT84" i="1"/>
  <c r="BS84" i="1"/>
  <c r="BR84" i="1"/>
  <c r="BQ84" i="1"/>
  <c r="BP84" i="1"/>
  <c r="BM84" i="1"/>
  <c r="BJ84" i="1"/>
  <c r="BI84" i="1"/>
  <c r="BG84" i="1"/>
  <c r="BE84" i="1"/>
  <c r="BD84" i="1"/>
  <c r="BC84" i="1"/>
  <c r="AD84" i="1"/>
  <c r="AC84" i="1"/>
  <c r="AB84" i="1"/>
  <c r="AA84" i="1"/>
  <c r="Z84" i="1"/>
  <c r="Y84" i="1"/>
  <c r="X84" i="1"/>
  <c r="W84" i="1"/>
  <c r="V84" i="1"/>
  <c r="T84" i="1"/>
  <c r="S84" i="1"/>
  <c r="R84" i="1"/>
  <c r="Q84" i="1"/>
  <c r="O84" i="1"/>
  <c r="N84" i="1"/>
  <c r="M84" i="1"/>
  <c r="L84" i="1"/>
  <c r="K84" i="1"/>
  <c r="J84" i="1"/>
  <c r="H84" i="1"/>
  <c r="G84" i="1"/>
  <c r="CK83" i="1"/>
  <c r="CC83" i="1"/>
  <c r="BO83" i="1"/>
  <c r="BL83" i="1"/>
  <c r="BB83" i="1"/>
  <c r="AE83" i="1"/>
  <c r="U83" i="1"/>
  <c r="P83" i="1"/>
  <c r="I83" i="1"/>
  <c r="CN82" i="1"/>
  <c r="CM82" i="1"/>
  <c r="CI82" i="1"/>
  <c r="CE82" i="1"/>
  <c r="CD82" i="1"/>
  <c r="BZ82" i="1"/>
  <c r="BY82" i="1"/>
  <c r="BX82" i="1"/>
  <c r="BW82" i="1"/>
  <c r="BV82" i="1"/>
  <c r="BU82" i="1"/>
  <c r="BT82" i="1"/>
  <c r="BS82" i="1"/>
  <c r="BR82" i="1"/>
  <c r="BQ82" i="1"/>
  <c r="BP82" i="1"/>
  <c r="BM82" i="1"/>
  <c r="BJ82" i="1"/>
  <c r="BI82" i="1"/>
  <c r="BG82" i="1"/>
  <c r="BE82" i="1"/>
  <c r="BD82" i="1"/>
  <c r="BC82" i="1"/>
  <c r="AZ82" i="1"/>
  <c r="AX82" i="1"/>
  <c r="AW82" i="1"/>
  <c r="AV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T82" i="1"/>
  <c r="S82" i="1"/>
  <c r="R82" i="1"/>
  <c r="Q82" i="1"/>
  <c r="O82" i="1"/>
  <c r="N82" i="1"/>
  <c r="M82" i="1"/>
  <c r="L82" i="1"/>
  <c r="K82" i="1"/>
  <c r="J82" i="1"/>
  <c r="G82" i="1"/>
  <c r="CK81" i="1"/>
  <c r="CC81" i="1"/>
  <c r="BO81" i="1"/>
  <c r="BL81" i="1"/>
  <c r="BB81" i="1"/>
  <c r="AE81" i="1"/>
  <c r="U81" i="1"/>
  <c r="P81" i="1"/>
  <c r="I81" i="1"/>
  <c r="CN80" i="1"/>
  <c r="CM80" i="1"/>
  <c r="CI80" i="1"/>
  <c r="CE80" i="1"/>
  <c r="CD80" i="1"/>
  <c r="BZ80" i="1"/>
  <c r="BY80" i="1"/>
  <c r="BX80" i="1"/>
  <c r="BW80" i="1"/>
  <c r="BV80" i="1"/>
  <c r="BU80" i="1"/>
  <c r="BT80" i="1"/>
  <c r="BS80" i="1"/>
  <c r="BR80" i="1"/>
  <c r="BQ80" i="1"/>
  <c r="BP80" i="1"/>
  <c r="BM80" i="1"/>
  <c r="BJ80" i="1"/>
  <c r="BI80" i="1"/>
  <c r="BG80" i="1"/>
  <c r="BE80" i="1"/>
  <c r="BD80" i="1"/>
  <c r="BC80" i="1"/>
  <c r="AZ80" i="1"/>
  <c r="AX80" i="1"/>
  <c r="AW80" i="1"/>
  <c r="AV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T80" i="1"/>
  <c r="S80" i="1"/>
  <c r="R80" i="1"/>
  <c r="Q80" i="1"/>
  <c r="O80" i="1"/>
  <c r="N80" i="1"/>
  <c r="M80" i="1"/>
  <c r="L80" i="1"/>
  <c r="K80" i="1"/>
  <c r="J80" i="1"/>
  <c r="CK79" i="1"/>
  <c r="CC79" i="1"/>
  <c r="BO79" i="1"/>
  <c r="BL79" i="1"/>
  <c r="BB79" i="1"/>
  <c r="AE79" i="1"/>
  <c r="U79" i="1"/>
  <c r="P79" i="1"/>
  <c r="I79" i="1"/>
  <c r="CK78" i="1"/>
  <c r="CC78" i="1"/>
  <c r="BO78" i="1"/>
  <c r="BL78" i="1"/>
  <c r="BB78" i="1"/>
  <c r="AE78" i="1"/>
  <c r="U78" i="1"/>
  <c r="P78" i="1"/>
  <c r="I78" i="1"/>
  <c r="CN77" i="1"/>
  <c r="CM77" i="1"/>
  <c r="CI77" i="1"/>
  <c r="CE77" i="1"/>
  <c r="CD77" i="1"/>
  <c r="BZ77" i="1"/>
  <c r="BY77" i="1"/>
  <c r="BX77" i="1"/>
  <c r="BW77" i="1"/>
  <c r="BV77" i="1"/>
  <c r="BU77" i="1"/>
  <c r="BT77" i="1"/>
  <c r="BS77" i="1"/>
  <c r="BR77" i="1"/>
  <c r="BQ77" i="1"/>
  <c r="BP77" i="1"/>
  <c r="BM77" i="1"/>
  <c r="BJ77" i="1"/>
  <c r="BI77" i="1"/>
  <c r="BG77" i="1"/>
  <c r="BE77" i="1"/>
  <c r="BD77" i="1"/>
  <c r="BC77" i="1"/>
  <c r="AZ77" i="1"/>
  <c r="AX77" i="1"/>
  <c r="AW77" i="1"/>
  <c r="AV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D77" i="1"/>
  <c r="AC77" i="1"/>
  <c r="AB77" i="1"/>
  <c r="AA77" i="1"/>
  <c r="Z77" i="1"/>
  <c r="Y77" i="1"/>
  <c r="X77" i="1"/>
  <c r="W77" i="1"/>
  <c r="V77" i="1"/>
  <c r="T77" i="1"/>
  <c r="S77" i="1"/>
  <c r="R77" i="1"/>
  <c r="Q77" i="1"/>
  <c r="O77" i="1"/>
  <c r="N77" i="1"/>
  <c r="M77" i="1"/>
  <c r="L77" i="1"/>
  <c r="K77" i="1"/>
  <c r="J77" i="1"/>
  <c r="G77" i="1"/>
  <c r="CK76" i="1"/>
  <c r="CC76" i="1"/>
  <c r="BO76" i="1"/>
  <c r="BL76" i="1"/>
  <c r="BB76" i="1"/>
  <c r="P76" i="1"/>
  <c r="I76" i="1"/>
  <c r="CN75" i="1"/>
  <c r="CM75" i="1"/>
  <c r="CI75" i="1"/>
  <c r="CE75" i="1"/>
  <c r="CD75" i="1"/>
  <c r="BZ75" i="1"/>
  <c r="BY75" i="1"/>
  <c r="BX75" i="1"/>
  <c r="BW75" i="1"/>
  <c r="BV75" i="1"/>
  <c r="BU75" i="1"/>
  <c r="BT75" i="1"/>
  <c r="BS75" i="1"/>
  <c r="BR75" i="1"/>
  <c r="BQ75" i="1"/>
  <c r="BP75" i="1"/>
  <c r="BM75" i="1"/>
  <c r="BJ75" i="1"/>
  <c r="BI75" i="1"/>
  <c r="BG75" i="1"/>
  <c r="BE75" i="1"/>
  <c r="BD75" i="1"/>
  <c r="BC75" i="1"/>
  <c r="AZ75" i="1"/>
  <c r="AX75" i="1"/>
  <c r="AW75" i="1"/>
  <c r="AV75" i="1"/>
  <c r="AS75" i="1"/>
  <c r="AR75" i="1"/>
  <c r="AP75" i="1"/>
  <c r="AO75" i="1"/>
  <c r="AN75" i="1"/>
  <c r="AM75" i="1"/>
  <c r="AL75" i="1"/>
  <c r="AK75" i="1"/>
  <c r="AJ75" i="1"/>
  <c r="AI75" i="1"/>
  <c r="AH75" i="1"/>
  <c r="AG75" i="1"/>
  <c r="AF75" i="1"/>
  <c r="AD75" i="1"/>
  <c r="AC75" i="1"/>
  <c r="AB75" i="1"/>
  <c r="Z75" i="1"/>
  <c r="Y75" i="1"/>
  <c r="X75" i="1"/>
  <c r="W75" i="1"/>
  <c r="V75" i="1"/>
  <c r="T75" i="1"/>
  <c r="S75" i="1"/>
  <c r="R75" i="1"/>
  <c r="Q75" i="1"/>
  <c r="O75" i="1"/>
  <c r="N75" i="1"/>
  <c r="M75" i="1"/>
  <c r="L75" i="1"/>
  <c r="J75" i="1"/>
  <c r="G75" i="1"/>
  <c r="CK73" i="1"/>
  <c r="CC73" i="1"/>
  <c r="BO73" i="1"/>
  <c r="BL73" i="1"/>
  <c r="BB73" i="1"/>
  <c r="AE73" i="1"/>
  <c r="U73" i="1"/>
  <c r="P73" i="1"/>
  <c r="CN72" i="1"/>
  <c r="CM72" i="1"/>
  <c r="CI72" i="1"/>
  <c r="CE72" i="1"/>
  <c r="CD72" i="1"/>
  <c r="BZ72" i="1"/>
  <c r="BY72" i="1"/>
  <c r="BX72" i="1"/>
  <c r="BW72" i="1"/>
  <c r="BV72" i="1"/>
  <c r="BU72" i="1"/>
  <c r="BT72" i="1"/>
  <c r="BS72" i="1"/>
  <c r="BR72" i="1"/>
  <c r="BQ72" i="1"/>
  <c r="BP72" i="1"/>
  <c r="BM72" i="1"/>
  <c r="BJ72" i="1"/>
  <c r="BI72" i="1"/>
  <c r="BG72" i="1"/>
  <c r="BE72" i="1"/>
  <c r="BD72" i="1"/>
  <c r="BC72" i="1"/>
  <c r="AZ72" i="1"/>
  <c r="AX72" i="1"/>
  <c r="AW72" i="1"/>
  <c r="AV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D72" i="1"/>
  <c r="AC72" i="1"/>
  <c r="AB72" i="1"/>
  <c r="AA72" i="1"/>
  <c r="Z72" i="1"/>
  <c r="Y72" i="1"/>
  <c r="X72" i="1"/>
  <c r="W72" i="1"/>
  <c r="V72" i="1"/>
  <c r="T72" i="1"/>
  <c r="S72" i="1"/>
  <c r="R72" i="1"/>
  <c r="Q72" i="1"/>
  <c r="O72" i="1"/>
  <c r="N72" i="1"/>
  <c r="M72" i="1"/>
  <c r="L72" i="1"/>
  <c r="K72" i="1"/>
  <c r="J72" i="1"/>
  <c r="CK71" i="1"/>
  <c r="CC71" i="1"/>
  <c r="BL71" i="1"/>
  <c r="BB71" i="1"/>
  <c r="AE71" i="1"/>
  <c r="U71" i="1"/>
  <c r="P71" i="1"/>
  <c r="CN70" i="1"/>
  <c r="CM70" i="1"/>
  <c r="CI70" i="1"/>
  <c r="CE70" i="1"/>
  <c r="CD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M70" i="1"/>
  <c r="BJ70" i="1"/>
  <c r="BI70" i="1"/>
  <c r="BG70" i="1"/>
  <c r="BE70" i="1"/>
  <c r="BD70" i="1"/>
  <c r="BC70" i="1"/>
  <c r="AZ70" i="1"/>
  <c r="AX70" i="1"/>
  <c r="AW70" i="1"/>
  <c r="AV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D70" i="1"/>
  <c r="AC70" i="1"/>
  <c r="AB70" i="1"/>
  <c r="AA70" i="1"/>
  <c r="Z70" i="1"/>
  <c r="Y70" i="1"/>
  <c r="X70" i="1"/>
  <c r="W70" i="1"/>
  <c r="V70" i="1"/>
  <c r="T70" i="1"/>
  <c r="S70" i="1"/>
  <c r="R70" i="1"/>
  <c r="Q70" i="1"/>
  <c r="O70" i="1"/>
  <c r="N70" i="1"/>
  <c r="M70" i="1"/>
  <c r="L70" i="1"/>
  <c r="K70" i="1"/>
  <c r="J70" i="1"/>
  <c r="H70" i="1"/>
  <c r="CK68" i="1"/>
  <c r="CC68" i="1"/>
  <c r="BO68" i="1"/>
  <c r="BL68" i="1"/>
  <c r="BB68" i="1"/>
  <c r="AE68" i="1"/>
  <c r="U68" i="1"/>
  <c r="P68" i="1"/>
  <c r="I68" i="1"/>
  <c r="CN67" i="1"/>
  <c r="CM67" i="1"/>
  <c r="CI67" i="1"/>
  <c r="CE67" i="1"/>
  <c r="CD67" i="1"/>
  <c r="BZ67" i="1"/>
  <c r="BY67" i="1"/>
  <c r="BX67" i="1"/>
  <c r="BW67" i="1"/>
  <c r="BV67" i="1"/>
  <c r="BU67" i="1"/>
  <c r="BT67" i="1"/>
  <c r="BS67" i="1"/>
  <c r="BR67" i="1"/>
  <c r="BQ67" i="1"/>
  <c r="BP67" i="1"/>
  <c r="BM67" i="1"/>
  <c r="BJ67" i="1"/>
  <c r="BI67" i="1"/>
  <c r="BG67" i="1"/>
  <c r="BE67" i="1"/>
  <c r="BD67" i="1"/>
  <c r="BC67" i="1"/>
  <c r="AZ67" i="1"/>
  <c r="AX67" i="1"/>
  <c r="AW67" i="1"/>
  <c r="AV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D67" i="1"/>
  <c r="AC67" i="1"/>
  <c r="AB67" i="1"/>
  <c r="AA67" i="1"/>
  <c r="Z67" i="1"/>
  <c r="Y67" i="1"/>
  <c r="X67" i="1"/>
  <c r="W67" i="1"/>
  <c r="V67" i="1"/>
  <c r="T67" i="1"/>
  <c r="S67" i="1"/>
  <c r="R67" i="1"/>
  <c r="Q67" i="1"/>
  <c r="O67" i="1"/>
  <c r="N67" i="1"/>
  <c r="M67" i="1"/>
  <c r="L67" i="1"/>
  <c r="K67" i="1"/>
  <c r="J67" i="1"/>
  <c r="CK65" i="1"/>
  <c r="CC65" i="1"/>
  <c r="BO65" i="1"/>
  <c r="BL65" i="1"/>
  <c r="BB65" i="1"/>
  <c r="AE65" i="1"/>
  <c r="U65" i="1"/>
  <c r="P65" i="1"/>
  <c r="I65" i="1"/>
  <c r="CN64" i="1"/>
  <c r="CM64" i="1"/>
  <c r="CI64" i="1"/>
  <c r="CE64" i="1"/>
  <c r="CD64" i="1"/>
  <c r="BZ64" i="1"/>
  <c r="BY64" i="1"/>
  <c r="BX64" i="1"/>
  <c r="BW64" i="1"/>
  <c r="BV64" i="1"/>
  <c r="BU64" i="1"/>
  <c r="BT64" i="1"/>
  <c r="BS64" i="1"/>
  <c r="BR64" i="1"/>
  <c r="BQ64" i="1"/>
  <c r="BP64" i="1"/>
  <c r="BM64" i="1"/>
  <c r="BJ64" i="1"/>
  <c r="BI64" i="1"/>
  <c r="BG64" i="1"/>
  <c r="BE64" i="1"/>
  <c r="BD64" i="1"/>
  <c r="BC64" i="1"/>
  <c r="AZ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D64" i="1"/>
  <c r="AC64" i="1"/>
  <c r="AB64" i="1"/>
  <c r="AA64" i="1"/>
  <c r="Z64" i="1"/>
  <c r="Y64" i="1"/>
  <c r="X64" i="1"/>
  <c r="W64" i="1"/>
  <c r="V64" i="1"/>
  <c r="T64" i="1"/>
  <c r="S64" i="1"/>
  <c r="R64" i="1"/>
  <c r="Q64" i="1"/>
  <c r="O64" i="1"/>
  <c r="N64" i="1"/>
  <c r="M64" i="1"/>
  <c r="L64" i="1"/>
  <c r="K64" i="1"/>
  <c r="J64" i="1"/>
  <c r="H64" i="1"/>
  <c r="G64" i="1"/>
  <c r="CK63" i="1"/>
  <c r="CC63" i="1"/>
  <c r="BO63" i="1"/>
  <c r="BL63" i="1"/>
  <c r="BB63" i="1"/>
  <c r="AE63" i="1"/>
  <c r="U63" i="1"/>
  <c r="P63" i="1"/>
  <c r="I63" i="1"/>
  <c r="CN62" i="1"/>
  <c r="CM62" i="1"/>
  <c r="CI62" i="1"/>
  <c r="CE62" i="1"/>
  <c r="CD62" i="1"/>
  <c r="BZ62" i="1"/>
  <c r="BY62" i="1"/>
  <c r="BX62" i="1"/>
  <c r="BW62" i="1"/>
  <c r="BV62" i="1"/>
  <c r="BU62" i="1"/>
  <c r="BT62" i="1"/>
  <c r="BS62" i="1"/>
  <c r="BR62" i="1"/>
  <c r="BQ62" i="1"/>
  <c r="BP62" i="1"/>
  <c r="BM62" i="1"/>
  <c r="BJ62" i="1"/>
  <c r="BI62" i="1"/>
  <c r="BG62" i="1"/>
  <c r="BE62" i="1"/>
  <c r="BD62" i="1"/>
  <c r="BC62" i="1"/>
  <c r="AZ62" i="1"/>
  <c r="AX62" i="1"/>
  <c r="AW62" i="1"/>
  <c r="AV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D62" i="1"/>
  <c r="AC62" i="1"/>
  <c r="AB62" i="1"/>
  <c r="AA62" i="1"/>
  <c r="Z62" i="1"/>
  <c r="Y62" i="1"/>
  <c r="X62" i="1"/>
  <c r="W62" i="1"/>
  <c r="V62" i="1"/>
  <c r="T62" i="1"/>
  <c r="S62" i="1"/>
  <c r="R62" i="1"/>
  <c r="Q62" i="1"/>
  <c r="O62" i="1"/>
  <c r="N62" i="1"/>
  <c r="M62" i="1"/>
  <c r="L62" i="1"/>
  <c r="K62" i="1"/>
  <c r="J62" i="1"/>
  <c r="H62" i="1"/>
  <c r="CK61" i="1"/>
  <c r="CC61" i="1"/>
  <c r="BL61" i="1"/>
  <c r="BB61" i="1"/>
  <c r="AE61" i="1"/>
  <c r="U61" i="1"/>
  <c r="P61" i="1"/>
  <c r="I61" i="1"/>
  <c r="CN60" i="1"/>
  <c r="CM60" i="1"/>
  <c r="CI60" i="1"/>
  <c r="CE60" i="1"/>
  <c r="CD60" i="1"/>
  <c r="BZ60" i="1"/>
  <c r="BY60" i="1"/>
  <c r="BX60" i="1"/>
  <c r="BW60" i="1"/>
  <c r="BV60" i="1"/>
  <c r="BU60" i="1"/>
  <c r="BT60" i="1"/>
  <c r="BS60" i="1"/>
  <c r="BR60" i="1"/>
  <c r="BQ60" i="1"/>
  <c r="BP60" i="1"/>
  <c r="BM60" i="1"/>
  <c r="BJ60" i="1"/>
  <c r="BI60" i="1"/>
  <c r="BG60" i="1"/>
  <c r="BE60" i="1"/>
  <c r="BD60" i="1"/>
  <c r="BC60" i="1"/>
  <c r="AZ60" i="1"/>
  <c r="AX60" i="1"/>
  <c r="AW60" i="1"/>
  <c r="AV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D60" i="1"/>
  <c r="AC60" i="1"/>
  <c r="AB60" i="1"/>
  <c r="AA60" i="1"/>
  <c r="Z60" i="1"/>
  <c r="Y60" i="1"/>
  <c r="X60" i="1"/>
  <c r="W60" i="1"/>
  <c r="V60" i="1"/>
  <c r="T60" i="1"/>
  <c r="S60" i="1"/>
  <c r="R60" i="1"/>
  <c r="Q60" i="1"/>
  <c r="CK59" i="1"/>
  <c r="CC59" i="1"/>
  <c r="BO59" i="1"/>
  <c r="BL59" i="1"/>
  <c r="BB59" i="1"/>
  <c r="AE59" i="1"/>
  <c r="U59" i="1"/>
  <c r="P59" i="1"/>
  <c r="I59" i="1"/>
  <c r="CN58" i="1"/>
  <c r="CM58" i="1"/>
  <c r="CI58" i="1"/>
  <c r="CE58" i="1"/>
  <c r="CD58" i="1"/>
  <c r="BZ58" i="1"/>
  <c r="BY58" i="1"/>
  <c r="BX58" i="1"/>
  <c r="BW58" i="1"/>
  <c r="BV58" i="1"/>
  <c r="BU58" i="1"/>
  <c r="BT58" i="1"/>
  <c r="BS58" i="1"/>
  <c r="BR58" i="1"/>
  <c r="BQ58" i="1"/>
  <c r="BP58" i="1"/>
  <c r="BM58" i="1"/>
  <c r="BJ58" i="1"/>
  <c r="BI58" i="1"/>
  <c r="BG58" i="1"/>
  <c r="BE58" i="1"/>
  <c r="BD58" i="1"/>
  <c r="BC58" i="1"/>
  <c r="AZ58" i="1"/>
  <c r="AX58" i="1"/>
  <c r="AW58" i="1"/>
  <c r="AV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D58" i="1"/>
  <c r="AC58" i="1"/>
  <c r="AB58" i="1"/>
  <c r="AA58" i="1"/>
  <c r="Z58" i="1"/>
  <c r="Y58" i="1"/>
  <c r="X58" i="1"/>
  <c r="W58" i="1"/>
  <c r="V58" i="1"/>
  <c r="T58" i="1"/>
  <c r="S58" i="1"/>
  <c r="R58" i="1"/>
  <c r="Q58" i="1"/>
  <c r="O58" i="1"/>
  <c r="N58" i="1"/>
  <c r="M58" i="1"/>
  <c r="L58" i="1"/>
  <c r="K58" i="1"/>
  <c r="J58" i="1"/>
  <c r="G58" i="1"/>
  <c r="CK57" i="1"/>
  <c r="CC57" i="1"/>
  <c r="BO57" i="1"/>
  <c r="BL57" i="1"/>
  <c r="BB57" i="1"/>
  <c r="AE57" i="1"/>
  <c r="U57" i="1"/>
  <c r="P57" i="1"/>
  <c r="I57" i="1"/>
  <c r="CN56" i="1"/>
  <c r="CM56" i="1"/>
  <c r="CI56" i="1"/>
  <c r="CE56" i="1"/>
  <c r="CD56" i="1"/>
  <c r="BZ56" i="1"/>
  <c r="BY56" i="1"/>
  <c r="BX56" i="1"/>
  <c r="BW56" i="1"/>
  <c r="BV56" i="1"/>
  <c r="BU56" i="1"/>
  <c r="BT56" i="1"/>
  <c r="BS56" i="1"/>
  <c r="BR56" i="1"/>
  <c r="BQ56" i="1"/>
  <c r="BP56" i="1"/>
  <c r="BM56" i="1"/>
  <c r="BJ56" i="1"/>
  <c r="BI56" i="1"/>
  <c r="BG56" i="1"/>
  <c r="BE56" i="1"/>
  <c r="BD56" i="1"/>
  <c r="BC56" i="1"/>
  <c r="AZ56" i="1"/>
  <c r="AX56" i="1"/>
  <c r="AW56" i="1"/>
  <c r="AV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D56" i="1"/>
  <c r="AC56" i="1"/>
  <c r="AB56" i="1"/>
  <c r="AA56" i="1"/>
  <c r="Z56" i="1"/>
  <c r="Y56" i="1"/>
  <c r="X56" i="1"/>
  <c r="W56" i="1"/>
  <c r="V56" i="1"/>
  <c r="T56" i="1"/>
  <c r="S56" i="1"/>
  <c r="R56" i="1"/>
  <c r="Q56" i="1"/>
  <c r="O56" i="1"/>
  <c r="N56" i="1"/>
  <c r="M56" i="1"/>
  <c r="L56" i="1"/>
  <c r="K56" i="1"/>
  <c r="J56" i="1"/>
  <c r="CK54" i="1"/>
  <c r="CC54" i="1"/>
  <c r="BL54" i="1"/>
  <c r="BF54" i="1"/>
  <c r="BB54" i="1"/>
  <c r="AE54" i="1"/>
  <c r="U54" i="1"/>
  <c r="P54" i="1"/>
  <c r="I54" i="1"/>
  <c r="CN53" i="1"/>
  <c r="CM53" i="1"/>
  <c r="CI53" i="1"/>
  <c r="CE53" i="1"/>
  <c r="CD53" i="1"/>
  <c r="BZ53" i="1"/>
  <c r="BY53" i="1"/>
  <c r="BX53" i="1"/>
  <c r="BW53" i="1"/>
  <c r="BV53" i="1"/>
  <c r="BU53" i="1"/>
  <c r="BT53" i="1"/>
  <c r="BS53" i="1"/>
  <c r="BR53" i="1"/>
  <c r="BQ53" i="1"/>
  <c r="BP53" i="1"/>
  <c r="BM53" i="1"/>
  <c r="BJ53" i="1"/>
  <c r="BI53" i="1"/>
  <c r="BG53" i="1"/>
  <c r="BE53" i="1"/>
  <c r="BD53" i="1"/>
  <c r="BC53" i="1"/>
  <c r="AW53" i="1"/>
  <c r="AV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D53" i="1"/>
  <c r="AC53" i="1"/>
  <c r="AB53" i="1"/>
  <c r="AA53" i="1"/>
  <c r="Z53" i="1"/>
  <c r="Y53" i="1"/>
  <c r="X53" i="1"/>
  <c r="W53" i="1"/>
  <c r="V53" i="1"/>
  <c r="T53" i="1"/>
  <c r="S53" i="1"/>
  <c r="R53" i="1"/>
  <c r="Q53" i="1"/>
  <c r="O53" i="1"/>
  <c r="N53" i="1"/>
  <c r="M53" i="1"/>
  <c r="L53" i="1"/>
  <c r="K53" i="1"/>
  <c r="J53" i="1"/>
  <c r="CK50" i="1"/>
  <c r="CC50" i="1"/>
  <c r="BO50" i="1"/>
  <c r="BL50" i="1"/>
  <c r="BB50" i="1"/>
  <c r="Z46" i="1"/>
  <c r="P50" i="1"/>
  <c r="I50" i="1"/>
  <c r="N46" i="1"/>
  <c r="CK49" i="1"/>
  <c r="CC49" i="1"/>
  <c r="BL49" i="1"/>
  <c r="BB49" i="1"/>
  <c r="AE49" i="1"/>
  <c r="U49" i="1"/>
  <c r="P49" i="1"/>
  <c r="CK48" i="1"/>
  <c r="CC48" i="1"/>
  <c r="BO48" i="1"/>
  <c r="BL48" i="1"/>
  <c r="BB48" i="1"/>
  <c r="AE48" i="1"/>
  <c r="U48" i="1"/>
  <c r="P48" i="1"/>
  <c r="I48" i="1"/>
  <c r="R46" i="1"/>
  <c r="CK47" i="1"/>
  <c r="CC47" i="1"/>
  <c r="BO47" i="1"/>
  <c r="BL47" i="1"/>
  <c r="BB47" i="1"/>
  <c r="AE47" i="1"/>
  <c r="U47" i="1"/>
  <c r="P47" i="1"/>
  <c r="I47" i="1"/>
  <c r="CN46" i="1"/>
  <c r="CM46" i="1"/>
  <c r="CI46" i="1"/>
  <c r="CE46" i="1"/>
  <c r="CD46" i="1"/>
  <c r="BZ46" i="1"/>
  <c r="BY46" i="1"/>
  <c r="BX46" i="1"/>
  <c r="BW46" i="1"/>
  <c r="BV46" i="1"/>
  <c r="BU46" i="1"/>
  <c r="BT46" i="1"/>
  <c r="BS46" i="1"/>
  <c r="BR46" i="1"/>
  <c r="BQ46" i="1"/>
  <c r="BP46" i="1"/>
  <c r="BM46" i="1"/>
  <c r="BJ46" i="1"/>
  <c r="BI46" i="1"/>
  <c r="BG46" i="1"/>
  <c r="BE46" i="1"/>
  <c r="BD46" i="1"/>
  <c r="BC46" i="1"/>
  <c r="AX46" i="1"/>
  <c r="AW46" i="1"/>
  <c r="AV46" i="1"/>
  <c r="AS46" i="1"/>
  <c r="AR46" i="1"/>
  <c r="AQ46" i="1"/>
  <c r="AP46" i="1"/>
  <c r="AO46" i="1"/>
  <c r="AN46" i="1"/>
  <c r="AM46" i="1"/>
  <c r="AL46" i="1"/>
  <c r="AJ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Q46" i="1"/>
  <c r="M46" i="1"/>
  <c r="L46" i="1"/>
  <c r="J46" i="1"/>
  <c r="CK45" i="1"/>
  <c r="CC45" i="1"/>
  <c r="BL45" i="1"/>
  <c r="BB45" i="1"/>
  <c r="AE45" i="1"/>
  <c r="U45" i="1"/>
  <c r="P45" i="1"/>
  <c r="I45" i="1"/>
  <c r="CN44" i="1"/>
  <c r="CM44" i="1"/>
  <c r="CI44" i="1"/>
  <c r="CE44" i="1"/>
  <c r="CD44" i="1"/>
  <c r="BZ44" i="1"/>
  <c r="BY44" i="1"/>
  <c r="BX44" i="1"/>
  <c r="BW44" i="1"/>
  <c r="BV44" i="1"/>
  <c r="BU44" i="1"/>
  <c r="BT44" i="1"/>
  <c r="BS44" i="1"/>
  <c r="BR44" i="1"/>
  <c r="BQ44" i="1"/>
  <c r="BP44" i="1"/>
  <c r="BM44" i="1"/>
  <c r="BJ44" i="1"/>
  <c r="BI44" i="1"/>
  <c r="BG44" i="1"/>
  <c r="BE44" i="1"/>
  <c r="BD44" i="1"/>
  <c r="BC44" i="1"/>
  <c r="AZ44" i="1"/>
  <c r="AX44" i="1"/>
  <c r="AW44" i="1"/>
  <c r="AV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D44" i="1"/>
  <c r="AC44" i="1"/>
  <c r="AB44" i="1"/>
  <c r="AA44" i="1"/>
  <c r="Z44" i="1"/>
  <c r="Y44" i="1"/>
  <c r="X44" i="1"/>
  <c r="W44" i="1"/>
  <c r="V44" i="1"/>
  <c r="T44" i="1"/>
  <c r="S44" i="1"/>
  <c r="R44" i="1"/>
  <c r="Q44" i="1"/>
  <c r="O44" i="1"/>
  <c r="N44" i="1"/>
  <c r="M44" i="1"/>
  <c r="L44" i="1"/>
  <c r="K44" i="1"/>
  <c r="J44" i="1"/>
  <c r="H44" i="1"/>
  <c r="CK43" i="1"/>
  <c r="CC43" i="1"/>
  <c r="BL43" i="1"/>
  <c r="BB43" i="1"/>
  <c r="P43" i="1"/>
  <c r="I43" i="1"/>
  <c r="CK42" i="1"/>
  <c r="CC42" i="1"/>
  <c r="BO42" i="1"/>
  <c r="BL42" i="1"/>
  <c r="BB42" i="1"/>
  <c r="AE42" i="1"/>
  <c r="U42" i="1"/>
  <c r="P42" i="1"/>
  <c r="I42" i="1"/>
  <c r="CK41" i="1"/>
  <c r="BO41" i="1"/>
  <c r="BL41" i="1"/>
  <c r="BB41" i="1"/>
  <c r="U41" i="1"/>
  <c r="P41" i="1"/>
  <c r="CK40" i="1"/>
  <c r="CC40" i="1"/>
  <c r="BO40" i="1"/>
  <c r="BL40" i="1"/>
  <c r="BB40" i="1"/>
  <c r="AE40" i="1"/>
  <c r="U40" i="1"/>
  <c r="P40" i="1"/>
  <c r="I40" i="1"/>
  <c r="CK39" i="1"/>
  <c r="CC39" i="1"/>
  <c r="BO39" i="1"/>
  <c r="BL39" i="1"/>
  <c r="BB39" i="1"/>
  <c r="AE39" i="1"/>
  <c r="U39" i="1"/>
  <c r="P39" i="1"/>
  <c r="I39" i="1"/>
  <c r="CK38" i="1"/>
  <c r="CC38" i="1"/>
  <c r="BO38" i="1"/>
  <c r="BL38" i="1"/>
  <c r="BB38" i="1"/>
  <c r="AE38" i="1"/>
  <c r="U38" i="1"/>
  <c r="P38" i="1"/>
  <c r="I38" i="1"/>
  <c r="CK37" i="1"/>
  <c r="BO37" i="1"/>
  <c r="BL37" i="1"/>
  <c r="BB37" i="1"/>
  <c r="AE37" i="1"/>
  <c r="Z30" i="1"/>
  <c r="P37" i="1"/>
  <c r="CK36" i="1"/>
  <c r="CC36" i="1"/>
  <c r="BO36" i="1"/>
  <c r="BL36" i="1"/>
  <c r="BB36" i="1"/>
  <c r="AE36" i="1"/>
  <c r="U36" i="1"/>
  <c r="P36" i="1"/>
  <c r="I36" i="1"/>
  <c r="CK35" i="1"/>
  <c r="CC35" i="1"/>
  <c r="BO35" i="1"/>
  <c r="BL35" i="1"/>
  <c r="BB35" i="1"/>
  <c r="AE35" i="1"/>
  <c r="U35" i="1"/>
  <c r="P35" i="1"/>
  <c r="I35" i="1"/>
  <c r="CK34" i="1"/>
  <c r="CC34" i="1"/>
  <c r="BO34" i="1"/>
  <c r="BL34" i="1"/>
  <c r="BB34" i="1"/>
  <c r="AE34" i="1"/>
  <c r="U34" i="1"/>
  <c r="P34" i="1"/>
  <c r="I34" i="1"/>
  <c r="CK33" i="1"/>
  <c r="CC33" i="1"/>
  <c r="BO33" i="1"/>
  <c r="BL33" i="1"/>
  <c r="BB33" i="1"/>
  <c r="AE33" i="1"/>
  <c r="U33" i="1"/>
  <c r="P33" i="1"/>
  <c r="I33" i="1"/>
  <c r="CK32" i="1"/>
  <c r="CC32" i="1"/>
  <c r="BO32" i="1"/>
  <c r="BL32" i="1"/>
  <c r="BB32" i="1"/>
  <c r="AE32" i="1"/>
  <c r="U32" i="1"/>
  <c r="P32" i="1"/>
  <c r="CK31" i="1"/>
  <c r="CC31" i="1"/>
  <c r="BO31" i="1"/>
  <c r="BL31" i="1"/>
  <c r="BB31" i="1"/>
  <c r="AE31" i="1"/>
  <c r="U31" i="1"/>
  <c r="P31" i="1"/>
  <c r="I31" i="1"/>
  <c r="CN30" i="1"/>
  <c r="CM30" i="1"/>
  <c r="CI30" i="1"/>
  <c r="CD30" i="1"/>
  <c r="BZ30" i="1"/>
  <c r="BX30" i="1"/>
  <c r="BW30" i="1"/>
  <c r="BV30" i="1"/>
  <c r="BU30" i="1"/>
  <c r="BT30" i="1"/>
  <c r="BS30" i="1"/>
  <c r="BR30" i="1"/>
  <c r="BQ30" i="1"/>
  <c r="BP30" i="1"/>
  <c r="BM30" i="1"/>
  <c r="BJ30" i="1"/>
  <c r="BI30" i="1"/>
  <c r="BG30" i="1"/>
  <c r="BE30" i="1"/>
  <c r="BD30" i="1"/>
  <c r="BC30" i="1"/>
  <c r="AX30" i="1"/>
  <c r="AW30" i="1"/>
  <c r="AV30" i="1"/>
  <c r="AS30" i="1"/>
  <c r="AR30" i="1"/>
  <c r="AQ30" i="1"/>
  <c r="AO30" i="1"/>
  <c r="AN30" i="1"/>
  <c r="AL30" i="1"/>
  <c r="AJ30" i="1"/>
  <c r="AG30" i="1"/>
  <c r="AF30" i="1"/>
  <c r="AD30" i="1"/>
  <c r="AC30" i="1"/>
  <c r="AB30" i="1"/>
  <c r="AA30" i="1"/>
  <c r="X30" i="1"/>
  <c r="V30" i="1"/>
  <c r="T30" i="1"/>
  <c r="S30" i="1"/>
  <c r="Q30" i="1"/>
  <c r="M30" i="1"/>
  <c r="L30" i="1"/>
  <c r="K30" i="1"/>
  <c r="J30" i="1"/>
  <c r="CK29" i="1"/>
  <c r="CC29" i="1"/>
  <c r="BL29" i="1"/>
  <c r="BB29" i="1"/>
  <c r="AE29" i="1"/>
  <c r="U29" i="1"/>
  <c r="P29" i="1"/>
  <c r="I29" i="1"/>
  <c r="CK28" i="1"/>
  <c r="CC28" i="1"/>
  <c r="BL28" i="1"/>
  <c r="BB28" i="1"/>
  <c r="U28" i="1"/>
  <c r="P28" i="1"/>
  <c r="I28" i="1"/>
  <c r="CK27" i="1"/>
  <c r="CC27" i="1"/>
  <c r="BY26" i="1"/>
  <c r="BL27" i="1"/>
  <c r="BB27" i="1"/>
  <c r="AE27" i="1"/>
  <c r="W26" i="1"/>
  <c r="P27" i="1"/>
  <c r="I27" i="1"/>
  <c r="CN26" i="1"/>
  <c r="CM26" i="1"/>
  <c r="CI26" i="1"/>
  <c r="CE26" i="1"/>
  <c r="CD26" i="1"/>
  <c r="BZ26" i="1"/>
  <c r="BX26" i="1"/>
  <c r="BW26" i="1"/>
  <c r="BV26" i="1"/>
  <c r="BU26" i="1"/>
  <c r="BT26" i="1"/>
  <c r="BS26" i="1"/>
  <c r="BR26" i="1"/>
  <c r="BQ26" i="1"/>
  <c r="BP26" i="1"/>
  <c r="BM26" i="1"/>
  <c r="BJ26" i="1"/>
  <c r="BI26" i="1"/>
  <c r="BG26" i="1"/>
  <c r="BE26" i="1"/>
  <c r="BD26" i="1"/>
  <c r="BC26" i="1"/>
  <c r="AW26" i="1"/>
  <c r="AV26" i="1"/>
  <c r="AS26" i="1"/>
  <c r="AR26" i="1"/>
  <c r="AQ26" i="1"/>
  <c r="AP26" i="1"/>
  <c r="AO26" i="1"/>
  <c r="AN26" i="1"/>
  <c r="AM26" i="1"/>
  <c r="AL26" i="1"/>
  <c r="AK26" i="1"/>
  <c r="AJ26" i="1"/>
  <c r="AI26" i="1"/>
  <c r="AG26" i="1"/>
  <c r="AF26" i="1"/>
  <c r="AD26" i="1"/>
  <c r="AC26" i="1"/>
  <c r="AB26" i="1"/>
  <c r="AA26" i="1"/>
  <c r="Z26" i="1"/>
  <c r="Y26" i="1"/>
  <c r="X26" i="1"/>
  <c r="V26" i="1"/>
  <c r="T26" i="1"/>
  <c r="S26" i="1"/>
  <c r="R26" i="1"/>
  <c r="Q26" i="1"/>
  <c r="O26" i="1"/>
  <c r="N26" i="1"/>
  <c r="M26" i="1"/>
  <c r="L26" i="1"/>
  <c r="K26" i="1"/>
  <c r="J26" i="1"/>
  <c r="G26" i="1"/>
  <c r="CK25" i="1"/>
  <c r="CC25" i="1"/>
  <c r="BL25" i="1"/>
  <c r="BB25" i="1"/>
  <c r="AE25" i="1"/>
  <c r="U25" i="1"/>
  <c r="P25" i="1"/>
  <c r="CN24" i="1"/>
  <c r="CM24" i="1"/>
  <c r="CI24" i="1"/>
  <c r="CE24" i="1"/>
  <c r="CD24" i="1"/>
  <c r="BZ24" i="1"/>
  <c r="BY24" i="1"/>
  <c r="BX24" i="1"/>
  <c r="BW24" i="1"/>
  <c r="BV24" i="1"/>
  <c r="BU24" i="1"/>
  <c r="BT24" i="1"/>
  <c r="BS24" i="1"/>
  <c r="BR24" i="1"/>
  <c r="BQ24" i="1"/>
  <c r="BP24" i="1"/>
  <c r="BM24" i="1"/>
  <c r="BJ24" i="1"/>
  <c r="BI24" i="1"/>
  <c r="BG24" i="1"/>
  <c r="BE24" i="1"/>
  <c r="BD24" i="1"/>
  <c r="BC24" i="1"/>
  <c r="AZ24" i="1"/>
  <c r="AX24" i="1"/>
  <c r="AW24" i="1"/>
  <c r="AV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D24" i="1"/>
  <c r="AC24" i="1"/>
  <c r="AB24" i="1"/>
  <c r="AA24" i="1"/>
  <c r="Z24" i="1"/>
  <c r="Y24" i="1"/>
  <c r="X24" i="1"/>
  <c r="W24" i="1"/>
  <c r="V24" i="1"/>
  <c r="T24" i="1"/>
  <c r="S24" i="1"/>
  <c r="R24" i="1"/>
  <c r="Q24" i="1"/>
  <c r="O24" i="1"/>
  <c r="N24" i="1"/>
  <c r="M24" i="1"/>
  <c r="L24" i="1"/>
  <c r="K24" i="1"/>
  <c r="J24" i="1"/>
  <c r="K75" i="1"/>
  <c r="AE310" i="1"/>
  <c r="AI176" i="1"/>
  <c r="AV309" i="1"/>
  <c r="O135" i="1"/>
  <c r="AE172" i="1"/>
  <c r="CC310" i="1"/>
  <c r="CE309" i="1"/>
  <c r="G30" i="1"/>
  <c r="CE176" i="1"/>
  <c r="I177" i="1"/>
  <c r="J176" i="1"/>
  <c r="AE230" i="1"/>
  <c r="BI304" i="1"/>
  <c r="O104" i="1" l="1"/>
  <c r="Y104" i="1"/>
  <c r="AH104" i="1"/>
  <c r="AP104" i="1"/>
  <c r="BC104" i="1"/>
  <c r="BQ104" i="1"/>
  <c r="BY104" i="1"/>
  <c r="G104" i="1"/>
  <c r="Q104" i="1"/>
  <c r="Z104" i="1"/>
  <c r="AI104" i="1"/>
  <c r="AQ104" i="1"/>
  <c r="BD104" i="1"/>
  <c r="BR104" i="1"/>
  <c r="BZ104" i="1"/>
  <c r="H104" i="1"/>
  <c r="R104" i="1"/>
  <c r="AA104" i="1"/>
  <c r="AJ104" i="1"/>
  <c r="AR104" i="1"/>
  <c r="BE104" i="1"/>
  <c r="BS104" i="1"/>
  <c r="CD104" i="1"/>
  <c r="J104" i="1"/>
  <c r="S104" i="1"/>
  <c r="AB104" i="1"/>
  <c r="AK104" i="1"/>
  <c r="AS104" i="1"/>
  <c r="BG104" i="1"/>
  <c r="BT104" i="1"/>
  <c r="CE104" i="1"/>
  <c r="K104" i="1"/>
  <c r="T104" i="1"/>
  <c r="AC104" i="1"/>
  <c r="AL104" i="1"/>
  <c r="AV104" i="1"/>
  <c r="BI104" i="1"/>
  <c r="BU104" i="1"/>
  <c r="L104" i="1"/>
  <c r="V104" i="1"/>
  <c r="AD104" i="1"/>
  <c r="AM104" i="1"/>
  <c r="AW104" i="1"/>
  <c r="BJ104" i="1"/>
  <c r="BV104" i="1"/>
  <c r="CI104" i="1"/>
  <c r="M104" i="1"/>
  <c r="W104" i="1"/>
  <c r="AF104" i="1"/>
  <c r="AN104" i="1"/>
  <c r="AX104" i="1"/>
  <c r="BM104" i="1"/>
  <c r="BW104" i="1"/>
  <c r="CM104" i="1"/>
  <c r="N104" i="1"/>
  <c r="X104" i="1"/>
  <c r="AG104" i="1"/>
  <c r="AO104" i="1"/>
  <c r="AZ104" i="1"/>
  <c r="BP104" i="1"/>
  <c r="BX104" i="1"/>
  <c r="CN104" i="1"/>
  <c r="P139" i="1"/>
  <c r="BO139" i="1"/>
  <c r="BB139" i="1"/>
  <c r="BL139" i="1"/>
  <c r="CK139" i="1"/>
  <c r="CC139" i="1"/>
  <c r="I139" i="1"/>
  <c r="U139" i="1"/>
  <c r="M112" i="1"/>
  <c r="W112" i="1"/>
  <c r="AF112" i="1"/>
  <c r="AN112" i="1"/>
  <c r="AX112" i="1"/>
  <c r="BM112" i="1"/>
  <c r="BW112" i="1"/>
  <c r="CM112" i="1"/>
  <c r="U229" i="1"/>
  <c r="CN232" i="1"/>
  <c r="BL291" i="1"/>
  <c r="AE306" i="1"/>
  <c r="N112" i="1"/>
  <c r="X112" i="1"/>
  <c r="AG112" i="1"/>
  <c r="AO112" i="1"/>
  <c r="AZ112" i="1"/>
  <c r="BP112" i="1"/>
  <c r="BX112" i="1"/>
  <c r="CN112" i="1"/>
  <c r="BB229" i="1"/>
  <c r="BO291" i="1"/>
  <c r="BB306" i="1"/>
  <c r="O112" i="1"/>
  <c r="Y112" i="1"/>
  <c r="AH112" i="1"/>
  <c r="AP112" i="1"/>
  <c r="BC112" i="1"/>
  <c r="BQ112" i="1"/>
  <c r="BY112" i="1"/>
  <c r="BF229" i="1"/>
  <c r="CC291" i="1"/>
  <c r="BF306" i="1"/>
  <c r="Q112" i="1"/>
  <c r="Z112" i="1"/>
  <c r="AI112" i="1"/>
  <c r="AQ112" i="1"/>
  <c r="BD112" i="1"/>
  <c r="BR112" i="1"/>
  <c r="BZ112" i="1"/>
  <c r="BL229" i="1"/>
  <c r="I291" i="1"/>
  <c r="CK291" i="1"/>
  <c r="BL306" i="1"/>
  <c r="G112" i="1"/>
  <c r="R112" i="1"/>
  <c r="AA112" i="1"/>
  <c r="AJ112" i="1"/>
  <c r="AR112" i="1"/>
  <c r="BE112" i="1"/>
  <c r="BS112" i="1"/>
  <c r="CD112" i="1"/>
  <c r="BO229" i="1"/>
  <c r="P291" i="1"/>
  <c r="BO306" i="1"/>
  <c r="J112" i="1"/>
  <c r="S112" i="1"/>
  <c r="AB112" i="1"/>
  <c r="AK112" i="1"/>
  <c r="AS112" i="1"/>
  <c r="BG112" i="1"/>
  <c r="BT112" i="1"/>
  <c r="CE112" i="1"/>
  <c r="CC229" i="1"/>
  <c r="U291" i="1"/>
  <c r="I306" i="1"/>
  <c r="CC306" i="1"/>
  <c r="AE229" i="1"/>
  <c r="K112" i="1"/>
  <c r="T112" i="1"/>
  <c r="AC112" i="1"/>
  <c r="AL112" i="1"/>
  <c r="AV112" i="1"/>
  <c r="BI112" i="1"/>
  <c r="BU112" i="1"/>
  <c r="I229" i="1"/>
  <c r="CK229" i="1"/>
  <c r="BB291" i="1"/>
  <c r="P306" i="1"/>
  <c r="CK306" i="1"/>
  <c r="L112" i="1"/>
  <c r="V112" i="1"/>
  <c r="AD112" i="1"/>
  <c r="AM112" i="1"/>
  <c r="AW112" i="1"/>
  <c r="BJ112" i="1"/>
  <c r="BV112" i="1"/>
  <c r="CI112" i="1"/>
  <c r="P229" i="1"/>
  <c r="BF291" i="1"/>
  <c r="U306" i="1"/>
  <c r="F236" i="1"/>
  <c r="AD23" i="1"/>
  <c r="AP166" i="1"/>
  <c r="AO166" i="1"/>
  <c r="BA318" i="1"/>
  <c r="BA54" i="1"/>
  <c r="BA49" i="1"/>
  <c r="Z166" i="1"/>
  <c r="CM166" i="1"/>
  <c r="BE166" i="1"/>
  <c r="BW166" i="1"/>
  <c r="BR166" i="1"/>
  <c r="BG166" i="1"/>
  <c r="BX166" i="1"/>
  <c r="BQ166" i="1"/>
  <c r="M166" i="1"/>
  <c r="V166" i="1"/>
  <c r="BC166" i="1"/>
  <c r="BU166" i="1"/>
  <c r="BJ166" i="1"/>
  <c r="BZ166" i="1"/>
  <c r="J166" i="1"/>
  <c r="BM166" i="1"/>
  <c r="CD166" i="1"/>
  <c r="AD166" i="1"/>
  <c r="BP166" i="1"/>
  <c r="BS166" i="1"/>
  <c r="S166" i="1"/>
  <c r="BT166" i="1"/>
  <c r="CN166" i="1"/>
  <c r="W166" i="1"/>
  <c r="BD166" i="1"/>
  <c r="BV166" i="1"/>
  <c r="BI166" i="1"/>
  <c r="BY166" i="1"/>
  <c r="BA242" i="1"/>
  <c r="Q166" i="1"/>
  <c r="Y166" i="1"/>
  <c r="AC166" i="1"/>
  <c r="AL166" i="1"/>
  <c r="AW166" i="1"/>
  <c r="K166" i="1"/>
  <c r="AA166" i="1"/>
  <c r="AF166" i="1"/>
  <c r="AJ166" i="1"/>
  <c r="AS166" i="1"/>
  <c r="CI166" i="1"/>
  <c r="AQ166" i="1"/>
  <c r="AK166" i="1"/>
  <c r="AV166" i="1"/>
  <c r="AM166" i="1"/>
  <c r="AX166" i="1"/>
  <c r="L166" i="1"/>
  <c r="AB166" i="1"/>
  <c r="AG166" i="1"/>
  <c r="AE96" i="1"/>
  <c r="BO96" i="1"/>
  <c r="P96" i="1"/>
  <c r="BB96" i="1"/>
  <c r="BL96" i="1"/>
  <c r="BF96" i="1"/>
  <c r="CK96" i="1"/>
  <c r="U96" i="1"/>
  <c r="I96" i="1"/>
  <c r="CC96" i="1"/>
  <c r="BA47" i="1"/>
  <c r="BA48" i="1"/>
  <c r="BA61" i="1"/>
  <c r="BA65" i="1"/>
  <c r="BC66" i="1"/>
  <c r="BE66" i="1"/>
  <c r="BI66" i="1"/>
  <c r="BM66" i="1"/>
  <c r="BQ66" i="1"/>
  <c r="BS66" i="1"/>
  <c r="BU66" i="1"/>
  <c r="BW66" i="1"/>
  <c r="BY66" i="1"/>
  <c r="CD66" i="1"/>
  <c r="CN66" i="1"/>
  <c r="BA50" i="1"/>
  <c r="BA57" i="1"/>
  <c r="BA59" i="1"/>
  <c r="BA63" i="1"/>
  <c r="BD66" i="1"/>
  <c r="BG66" i="1"/>
  <c r="BJ66" i="1"/>
  <c r="BP66" i="1"/>
  <c r="BR66" i="1"/>
  <c r="BT66" i="1"/>
  <c r="BV66" i="1"/>
  <c r="BX66" i="1"/>
  <c r="BZ66" i="1"/>
  <c r="CI66" i="1"/>
  <c r="CM66" i="1"/>
  <c r="BA68" i="1"/>
  <c r="CE66" i="1"/>
  <c r="AG66" i="1"/>
  <c r="AI66" i="1"/>
  <c r="AK66" i="1"/>
  <c r="AM66" i="1"/>
  <c r="AO66" i="1"/>
  <c r="AQ66" i="1"/>
  <c r="AS66" i="1"/>
  <c r="AW66" i="1"/>
  <c r="AZ66" i="1"/>
  <c r="AF66" i="1"/>
  <c r="AH66" i="1"/>
  <c r="AJ66" i="1"/>
  <c r="AL66" i="1"/>
  <c r="AN66" i="1"/>
  <c r="AP66" i="1"/>
  <c r="AR66" i="1"/>
  <c r="AV66" i="1"/>
  <c r="AX66" i="1"/>
  <c r="W66" i="1"/>
  <c r="Y66" i="1"/>
  <c r="AA66" i="1"/>
  <c r="AC66" i="1"/>
  <c r="V66" i="1"/>
  <c r="X66" i="1"/>
  <c r="Z66" i="1"/>
  <c r="AB66" i="1"/>
  <c r="AD66" i="1"/>
  <c r="R66" i="1"/>
  <c r="T66" i="1"/>
  <c r="Q66" i="1"/>
  <c r="S66" i="1"/>
  <c r="J66" i="1"/>
  <c r="L66" i="1"/>
  <c r="N66" i="1"/>
  <c r="K66" i="1"/>
  <c r="M66" i="1"/>
  <c r="O66" i="1"/>
  <c r="U113" i="1"/>
  <c r="BB113" i="1"/>
  <c r="BO113" i="1"/>
  <c r="CF113" i="1"/>
  <c r="U125" i="1"/>
  <c r="BB125" i="1"/>
  <c r="CK125" i="1"/>
  <c r="AE113" i="1"/>
  <c r="CK113" i="1"/>
  <c r="AE125" i="1"/>
  <c r="BF125" i="1"/>
  <c r="BO125" i="1"/>
  <c r="CF125" i="1"/>
  <c r="I113" i="1"/>
  <c r="I125" i="1"/>
  <c r="BL125" i="1"/>
  <c r="CC125" i="1"/>
  <c r="P113" i="1"/>
  <c r="BL113" i="1"/>
  <c r="CC113" i="1"/>
  <c r="P125" i="1"/>
  <c r="AE302" i="1"/>
  <c r="CK191" i="1"/>
  <c r="I310" i="1"/>
  <c r="BF304" i="1"/>
  <c r="AO23" i="1"/>
  <c r="AQ23" i="1"/>
  <c r="AW23" i="1"/>
  <c r="AV23" i="1"/>
  <c r="AR23" i="1"/>
  <c r="AS23" i="1"/>
  <c r="I272" i="1"/>
  <c r="CK288" i="1"/>
  <c r="BB309" i="1"/>
  <c r="J309" i="1"/>
  <c r="I317" i="1"/>
  <c r="I286" i="1"/>
  <c r="U317" i="1"/>
  <c r="AE311" i="1"/>
  <c r="CK286" i="1"/>
  <c r="F316" i="1"/>
  <c r="AE272" i="1"/>
  <c r="BA259" i="1"/>
  <c r="BX222" i="1"/>
  <c r="BO288" i="1"/>
  <c r="CC313" i="1"/>
  <c r="BA261" i="1"/>
  <c r="P227" i="1"/>
  <c r="AU290" i="1"/>
  <c r="CF272" i="1"/>
  <c r="BO272" i="1"/>
  <c r="CB316" i="1"/>
  <c r="F278" i="1"/>
  <c r="CK313" i="1"/>
  <c r="U201" i="1"/>
  <c r="U315" i="1"/>
  <c r="CF227" i="1"/>
  <c r="BL317" i="1"/>
  <c r="BA248" i="1"/>
  <c r="CC211" i="1"/>
  <c r="BO223" i="1"/>
  <c r="CB278" i="1"/>
  <c r="I199" i="1"/>
  <c r="CC311" i="1"/>
  <c r="CC317" i="1"/>
  <c r="BA251" i="1"/>
  <c r="BL304" i="1"/>
  <c r="BF286" i="1"/>
  <c r="CE222" i="1"/>
  <c r="AZ222" i="1"/>
  <c r="CK311" i="1"/>
  <c r="BO227" i="1"/>
  <c r="AJ222" i="1"/>
  <c r="BB199" i="1"/>
  <c r="CC153" i="1"/>
  <c r="U178" i="1"/>
  <c r="I186" i="1"/>
  <c r="P195" i="1"/>
  <c r="BA208" i="1"/>
  <c r="BL181" i="1"/>
  <c r="BB288" i="1"/>
  <c r="F265" i="1"/>
  <c r="CB233" i="1"/>
  <c r="BA269" i="1"/>
  <c r="BL247" i="1"/>
  <c r="AE304" i="1"/>
  <c r="BY74" i="1"/>
  <c r="CB200" i="1"/>
  <c r="BF203" i="1"/>
  <c r="AA75" i="1"/>
  <c r="AR160" i="1"/>
  <c r="CB228" i="1"/>
  <c r="W30" i="1"/>
  <c r="R30" i="1"/>
  <c r="U168" i="1"/>
  <c r="AK30" i="1"/>
  <c r="AQ75" i="1"/>
  <c r="CE84" i="1"/>
  <c r="CE160" i="1"/>
  <c r="O178" i="1"/>
  <c r="G67" i="1"/>
  <c r="G70" i="1"/>
  <c r="H72" i="1"/>
  <c r="H80" i="1"/>
  <c r="H86" i="1"/>
  <c r="H93" i="1"/>
  <c r="H117" i="1"/>
  <c r="H131" i="1"/>
  <c r="T167" i="1"/>
  <c r="R167" i="1"/>
  <c r="I172" i="1"/>
  <c r="AE129" i="1"/>
  <c r="AZ167" i="1"/>
  <c r="AN166" i="1"/>
  <c r="U172" i="1"/>
  <c r="BO160" i="1"/>
  <c r="CF201" i="1"/>
  <c r="CB206" i="1"/>
  <c r="CB216" i="1"/>
  <c r="BA219" i="1"/>
  <c r="BL211" i="1"/>
  <c r="BL223" i="1"/>
  <c r="CB242" i="1"/>
  <c r="CB253" i="1"/>
  <c r="CB255" i="1"/>
  <c r="CB257" i="1"/>
  <c r="BA260" i="1"/>
  <c r="CB260" i="1"/>
  <c r="BA262" i="1"/>
  <c r="F264" i="1"/>
  <c r="CB266" i="1"/>
  <c r="BA268" i="1"/>
  <c r="U272" i="1"/>
  <c r="BB272" i="1"/>
  <c r="BL272" i="1"/>
  <c r="CC272" i="1"/>
  <c r="CK272" i="1"/>
  <c r="F275" i="1"/>
  <c r="CB276" i="1"/>
  <c r="BA279" i="1"/>
  <c r="CB281" i="1"/>
  <c r="BB286" i="1"/>
  <c r="BL286" i="1"/>
  <c r="CB287" i="1"/>
  <c r="CC286" i="1"/>
  <c r="I288" i="1"/>
  <c r="BA289" i="1"/>
  <c r="BL288" i="1"/>
  <c r="BA302" i="1"/>
  <c r="P304" i="1"/>
  <c r="CF304" i="1"/>
  <c r="P311" i="1"/>
  <c r="BO311" i="1"/>
  <c r="BO315" i="1"/>
  <c r="BO317" i="1"/>
  <c r="CB124" i="1"/>
  <c r="BA220" i="1"/>
  <c r="F314" i="1"/>
  <c r="BA310" i="1"/>
  <c r="BT290" i="1"/>
  <c r="BF247" i="1"/>
  <c r="BA281" i="1"/>
  <c r="F255" i="1"/>
  <c r="CB248" i="1"/>
  <c r="BA230" i="1"/>
  <c r="CC288" i="1"/>
  <c r="BA280" i="1"/>
  <c r="F276" i="1"/>
  <c r="BA265" i="1"/>
  <c r="CB254" i="1"/>
  <c r="F267" i="1"/>
  <c r="Q290" i="1"/>
  <c r="CB177" i="1"/>
  <c r="BA278" i="1"/>
  <c r="BA257" i="1"/>
  <c r="CB289" i="1"/>
  <c r="BA316" i="1"/>
  <c r="BA270" i="1"/>
  <c r="BF315" i="1"/>
  <c r="BL309" i="1"/>
  <c r="U288" i="1"/>
  <c r="CK223" i="1"/>
  <c r="BF317" i="1"/>
  <c r="BF313" i="1"/>
  <c r="U286" i="1"/>
  <c r="BB153" i="1"/>
  <c r="F171" i="1"/>
  <c r="BB160" i="1"/>
  <c r="CC178" i="1"/>
  <c r="BL160" i="1"/>
  <c r="CK178" i="1"/>
  <c r="BB176" i="1"/>
  <c r="BL178" i="1"/>
  <c r="U184" i="1"/>
  <c r="BL176" i="1"/>
  <c r="P51" i="1"/>
  <c r="BF51" i="1"/>
  <c r="CF51" i="1"/>
  <c r="I72" i="1"/>
  <c r="BF77" i="1"/>
  <c r="AE178" i="1"/>
  <c r="BA179" i="1"/>
  <c r="U181" i="1"/>
  <c r="BB181" i="1"/>
  <c r="CC181" i="1"/>
  <c r="CK181" i="1"/>
  <c r="BD175" i="1"/>
  <c r="F185" i="1"/>
  <c r="BA185" i="1"/>
  <c r="AE186" i="1"/>
  <c r="BO186" i="1"/>
  <c r="AL188" i="1"/>
  <c r="F192" i="1"/>
  <c r="CB192" i="1"/>
  <c r="I195" i="1"/>
  <c r="CF195" i="1"/>
  <c r="P199" i="1"/>
  <c r="AE199" i="1"/>
  <c r="BF199" i="1"/>
  <c r="BO199" i="1"/>
  <c r="CF199" i="1"/>
  <c r="P201" i="1"/>
  <c r="AE201" i="1"/>
  <c r="BO201" i="1"/>
  <c r="BA204" i="1"/>
  <c r="BA205" i="1"/>
  <c r="CB205" i="1"/>
  <c r="CK203" i="1"/>
  <c r="BA207" i="1"/>
  <c r="BF211" i="1"/>
  <c r="CB212" i="1"/>
  <c r="F215" i="1"/>
  <c r="CB217" i="1"/>
  <c r="CB218" i="1"/>
  <c r="CB221" i="1"/>
  <c r="N222" i="1"/>
  <c r="AM222" i="1"/>
  <c r="AX222" i="1"/>
  <c r="CD222" i="1"/>
  <c r="I223" i="1"/>
  <c r="BA224" i="1"/>
  <c r="CC223" i="1"/>
  <c r="CB225" i="1"/>
  <c r="BA228" i="1"/>
  <c r="BL227" i="1"/>
  <c r="CC227" i="1"/>
  <c r="CB230" i="1"/>
  <c r="BA233" i="1"/>
  <c r="CB236" i="1"/>
  <c r="F243" i="1"/>
  <c r="BA243" i="1"/>
  <c r="CB243" i="1"/>
  <c r="CF317" i="1"/>
  <c r="AE309" i="1"/>
  <c r="I44" i="1"/>
  <c r="AE51" i="1"/>
  <c r="BO51" i="1"/>
  <c r="CC58" i="1"/>
  <c r="CC60" i="1"/>
  <c r="CC72" i="1"/>
  <c r="P77" i="1"/>
  <c r="BB86" i="1"/>
  <c r="CC86" i="1"/>
  <c r="BF88" i="1"/>
  <c r="BO88" i="1"/>
  <c r="W109" i="1"/>
  <c r="AN109" i="1"/>
  <c r="BV109" i="1"/>
  <c r="BZ109" i="1"/>
  <c r="CE109" i="1"/>
  <c r="CF110" i="1"/>
  <c r="I117" i="1"/>
  <c r="BB117" i="1"/>
  <c r="CK117" i="1"/>
  <c r="U131" i="1"/>
  <c r="BB131" i="1"/>
  <c r="CC131" i="1"/>
  <c r="CK144" i="1"/>
  <c r="CF146" i="1"/>
  <c r="P148" i="1"/>
  <c r="BF148" i="1"/>
  <c r="BO148" i="1"/>
  <c r="CF148" i="1"/>
  <c r="BF153" i="1"/>
  <c r="P157" i="1"/>
  <c r="AE157" i="1"/>
  <c r="P160" i="1"/>
  <c r="BF160" i="1"/>
  <c r="CF160" i="1"/>
  <c r="BO170" i="1"/>
  <c r="AW175" i="1"/>
  <c r="P176" i="1"/>
  <c r="BF176" i="1"/>
  <c r="BO176" i="1"/>
  <c r="CF170" i="1"/>
  <c r="CK93" i="1"/>
  <c r="I51" i="1"/>
  <c r="U51" i="1"/>
  <c r="BB51" i="1"/>
  <c r="BL51" i="1"/>
  <c r="CC51" i="1"/>
  <c r="CK51" i="1"/>
  <c r="CC53" i="1"/>
  <c r="I56" i="1"/>
  <c r="I62" i="1"/>
  <c r="I64" i="1"/>
  <c r="I67" i="1"/>
  <c r="AO69" i="1"/>
  <c r="BB77" i="1"/>
  <c r="CK77" i="1"/>
  <c r="BB84" i="1"/>
  <c r="CC88" i="1"/>
  <c r="BL90" i="1"/>
  <c r="AE93" i="1"/>
  <c r="I107" i="1"/>
  <c r="I110" i="1"/>
  <c r="U110" i="1"/>
  <c r="BL110" i="1"/>
  <c r="CC110" i="1"/>
  <c r="CK110" i="1"/>
  <c r="CF117" i="1"/>
  <c r="BL123" i="1"/>
  <c r="BF128" i="1"/>
  <c r="BO128" i="1"/>
  <c r="CF128" i="1"/>
  <c r="BO131" i="1"/>
  <c r="CK146" i="1"/>
  <c r="CC148" i="1"/>
  <c r="U153" i="1"/>
  <c r="CK153" i="1"/>
  <c r="BB178" i="1"/>
  <c r="I184" i="1"/>
  <c r="BF184" i="1"/>
  <c r="CF184" i="1"/>
  <c r="CC186" i="1"/>
  <c r="I191" i="1"/>
  <c r="U191" i="1"/>
  <c r="BB191" i="1"/>
  <c r="BL191" i="1"/>
  <c r="CC191" i="1"/>
  <c r="BF195" i="1"/>
  <c r="I197" i="1"/>
  <c r="BB197" i="1"/>
  <c r="CC197" i="1"/>
  <c r="CK199" i="1"/>
  <c r="CC201" i="1"/>
  <c r="BB247" i="1"/>
  <c r="F249" i="1"/>
  <c r="BA249" i="1"/>
  <c r="CB249" i="1"/>
  <c r="BA250" i="1"/>
  <c r="BA252" i="1"/>
  <c r="BA253" i="1"/>
  <c r="BA254" i="1"/>
  <c r="BA255" i="1"/>
  <c r="BA256" i="1"/>
  <c r="BA258" i="1"/>
  <c r="CB259" i="1"/>
  <c r="F261" i="1"/>
  <c r="F262" i="1"/>
  <c r="CB262" i="1"/>
  <c r="F263" i="1"/>
  <c r="BA263" i="1"/>
  <c r="CB263" i="1"/>
  <c r="BA264" i="1"/>
  <c r="CB265" i="1"/>
  <c r="BA266" i="1"/>
  <c r="CB267" i="1"/>
  <c r="CB268" i="1"/>
  <c r="CB269" i="1"/>
  <c r="BA271" i="1"/>
  <c r="BO247" i="1"/>
  <c r="P272" i="1"/>
  <c r="BF272" i="1"/>
  <c r="BA275" i="1"/>
  <c r="CB275" i="1"/>
  <c r="BA276" i="1"/>
  <c r="F279" i="1"/>
  <c r="CB279" i="1"/>
  <c r="F280" i="1"/>
  <c r="CB280" i="1"/>
  <c r="F285" i="1"/>
  <c r="BA285" i="1"/>
  <c r="CB285" i="1"/>
  <c r="F287" i="1"/>
  <c r="AE286" i="1"/>
  <c r="BA287" i="1"/>
  <c r="BO286" i="1"/>
  <c r="P288" i="1"/>
  <c r="AE288" i="1"/>
  <c r="BF288" i="1"/>
  <c r="CF288" i="1"/>
  <c r="Y290" i="1"/>
  <c r="AF290" i="1"/>
  <c r="I304" i="1"/>
  <c r="U304" i="1"/>
  <c r="BB304" i="1"/>
  <c r="CC304" i="1"/>
  <c r="CK304" i="1"/>
  <c r="CB307" i="1"/>
  <c r="P309" i="1"/>
  <c r="BF309" i="1"/>
  <c r="I311" i="1"/>
  <c r="U311" i="1"/>
  <c r="BB311" i="1"/>
  <c r="CB312" i="1"/>
  <c r="I313" i="1"/>
  <c r="U313" i="1"/>
  <c r="BB313" i="1"/>
  <c r="BL313" i="1"/>
  <c r="CB314" i="1"/>
  <c r="AM290" i="1"/>
  <c r="I315" i="1"/>
  <c r="BL315" i="1"/>
  <c r="CC315" i="1"/>
  <c r="CK315" i="1"/>
  <c r="BP290" i="1"/>
  <c r="BX290" i="1"/>
  <c r="BB317" i="1"/>
  <c r="CB318" i="1"/>
  <c r="CK317" i="1"/>
  <c r="F124" i="1"/>
  <c r="BA168" i="1"/>
  <c r="I211" i="1"/>
  <c r="CB220" i="1"/>
  <c r="CK211" i="1"/>
  <c r="CF247" i="1"/>
  <c r="G92" i="1"/>
  <c r="T92" i="1"/>
  <c r="O167" i="1"/>
  <c r="F307" i="1"/>
  <c r="F289" i="1"/>
  <c r="BB223" i="1"/>
  <c r="BB184" i="1"/>
  <c r="CB305" i="1"/>
  <c r="F312" i="1"/>
  <c r="CC203" i="1"/>
  <c r="BA212" i="1"/>
  <c r="BA307" i="1"/>
  <c r="N30" i="1"/>
  <c r="AE43" i="1"/>
  <c r="Z92" i="1"/>
  <c r="BQ92" i="1"/>
  <c r="BS92" i="1"/>
  <c r="I123" i="1"/>
  <c r="U123" i="1"/>
  <c r="BO123" i="1"/>
  <c r="AF119" i="1"/>
  <c r="BD119" i="1"/>
  <c r="BX119" i="1"/>
  <c r="CE119" i="1"/>
  <c r="CM119" i="1"/>
  <c r="P128" i="1"/>
  <c r="L119" i="1"/>
  <c r="AD119" i="1"/>
  <c r="AI119" i="1"/>
  <c r="BQ119" i="1"/>
  <c r="BB128" i="1"/>
  <c r="BL128" i="1"/>
  <c r="CK128" i="1"/>
  <c r="P135" i="1"/>
  <c r="BA154" i="1"/>
  <c r="F158" i="1"/>
  <c r="BA159" i="1"/>
  <c r="BB227" i="1"/>
  <c r="P191" i="1"/>
  <c r="I161" i="1"/>
  <c r="CB162" i="1"/>
  <c r="F165" i="1"/>
  <c r="BA165" i="1"/>
  <c r="BO167" i="1"/>
  <c r="CB169" i="1"/>
  <c r="AJ175" i="1"/>
  <c r="CM175" i="1"/>
  <c r="BA183" i="1"/>
  <c r="AO175" i="1"/>
  <c r="CB190" i="1"/>
  <c r="CB193" i="1"/>
  <c r="CB196" i="1"/>
  <c r="BP69" i="1"/>
  <c r="BS130" i="1"/>
  <c r="BA133" i="1"/>
  <c r="BA138" i="1"/>
  <c r="CB151" i="1"/>
  <c r="CB159" i="1"/>
  <c r="I179" i="1"/>
  <c r="H203" i="1"/>
  <c r="BV152" i="1"/>
  <c r="F145" i="1"/>
  <c r="BA158" i="1"/>
  <c r="F183" i="1"/>
  <c r="CE69" i="1"/>
  <c r="CB79" i="1"/>
  <c r="F85" i="1"/>
  <c r="BA95" i="1"/>
  <c r="CB95" i="1"/>
  <c r="AG130" i="1"/>
  <c r="BM130" i="1"/>
  <c r="BA136" i="1"/>
  <c r="BL170" i="1"/>
  <c r="BV175" i="1"/>
  <c r="Y69" i="1"/>
  <c r="BF157" i="1"/>
  <c r="CF46" i="1"/>
  <c r="BT69" i="1"/>
  <c r="BX69" i="1"/>
  <c r="BZ69" i="1"/>
  <c r="BA83" i="1"/>
  <c r="CB87" i="1"/>
  <c r="CB98" i="1"/>
  <c r="CB101" i="1"/>
  <c r="BA121" i="1"/>
  <c r="CB121" i="1"/>
  <c r="BA134" i="1"/>
  <c r="CB142" i="1"/>
  <c r="CB147" i="1"/>
  <c r="BY152" i="1"/>
  <c r="BA164" i="1"/>
  <c r="BA193" i="1"/>
  <c r="AM188" i="1"/>
  <c r="CC70" i="1"/>
  <c r="CB71" i="1"/>
  <c r="BF107" i="1"/>
  <c r="BA108" i="1"/>
  <c r="CF157" i="1"/>
  <c r="CB158" i="1"/>
  <c r="BB110" i="1"/>
  <c r="CB68" i="1"/>
  <c r="X290" i="1"/>
  <c r="BE290" i="1"/>
  <c r="BR290" i="1"/>
  <c r="BV290" i="1"/>
  <c r="BZ290" i="1"/>
  <c r="BA190" i="1"/>
  <c r="I203" i="1"/>
  <c r="F257" i="1"/>
  <c r="F258" i="1"/>
  <c r="CE55" i="1"/>
  <c r="Z69" i="1"/>
  <c r="AK69" i="1"/>
  <c r="BJ69" i="1"/>
  <c r="CB91" i="1"/>
  <c r="BR92" i="1"/>
  <c r="AI92" i="1"/>
  <c r="AW92" i="1"/>
  <c r="F121" i="1"/>
  <c r="AH130" i="1"/>
  <c r="BA132" i="1"/>
  <c r="F134" i="1"/>
  <c r="AE137" i="1"/>
  <c r="M152" i="1"/>
  <c r="AL152" i="1"/>
  <c r="AM175" i="1"/>
  <c r="AS175" i="1"/>
  <c r="BC175" i="1"/>
  <c r="BQ175" i="1"/>
  <c r="AG175" i="1"/>
  <c r="F182" i="1"/>
  <c r="BZ175" i="1"/>
  <c r="BQ188" i="1"/>
  <c r="F193" i="1"/>
  <c r="K188" i="1"/>
  <c r="BG188" i="1"/>
  <c r="F225" i="1"/>
  <c r="F281" i="1"/>
  <c r="F305" i="1"/>
  <c r="AN290" i="1"/>
  <c r="BQ290" i="1"/>
  <c r="V119" i="1"/>
  <c r="AW119" i="1"/>
  <c r="BP119" i="1"/>
  <c r="F269" i="1"/>
  <c r="W74" i="1"/>
  <c r="T55" i="1"/>
  <c r="CC67" i="1"/>
  <c r="N69" i="1"/>
  <c r="S69" i="1"/>
  <c r="BP74" i="1"/>
  <c r="I75" i="1"/>
  <c r="U77" i="1"/>
  <c r="CB81" i="1"/>
  <c r="I84" i="1"/>
  <c r="I88" i="1"/>
  <c r="AL92" i="1"/>
  <c r="BT92" i="1"/>
  <c r="BZ92" i="1"/>
  <c r="L92" i="1"/>
  <c r="V92" i="1"/>
  <c r="AD92" i="1"/>
  <c r="AM92" i="1"/>
  <c r="AS92" i="1"/>
  <c r="BC92" i="1"/>
  <c r="BM92" i="1"/>
  <c r="BW92" i="1"/>
  <c r="U107" i="1"/>
  <c r="BL107" i="1"/>
  <c r="CC107" i="1"/>
  <c r="AB109" i="1"/>
  <c r="BJ109" i="1"/>
  <c r="BO117" i="1"/>
  <c r="AE123" i="1"/>
  <c r="CK123" i="1"/>
  <c r="G119" i="1"/>
  <c r="J119" i="1"/>
  <c r="N119" i="1"/>
  <c r="S119" i="1"/>
  <c r="X119" i="1"/>
  <c r="AB119" i="1"/>
  <c r="AG119" i="1"/>
  <c r="AM119" i="1"/>
  <c r="AQ119" i="1"/>
  <c r="AX119" i="1"/>
  <c r="BJ119" i="1"/>
  <c r="BM119" i="1"/>
  <c r="BS119" i="1"/>
  <c r="BU119" i="1"/>
  <c r="BY119" i="1"/>
  <c r="CC128" i="1"/>
  <c r="W130" i="1"/>
  <c r="AF130" i="1"/>
  <c r="AV130" i="1"/>
  <c r="BD130" i="1"/>
  <c r="BX130" i="1"/>
  <c r="AE131" i="1"/>
  <c r="CB133" i="1"/>
  <c r="CB134" i="1"/>
  <c r="CC137" i="1"/>
  <c r="F142" i="1"/>
  <c r="P144" i="1"/>
  <c r="BF144" i="1"/>
  <c r="BO144" i="1"/>
  <c r="CF144" i="1"/>
  <c r="CK148" i="1"/>
  <c r="BA150" i="1"/>
  <c r="AK152" i="1"/>
  <c r="BE152" i="1"/>
  <c r="CI152" i="1"/>
  <c r="CM152" i="1"/>
  <c r="CN152" i="1"/>
  <c r="CF153" i="1"/>
  <c r="K152" i="1"/>
  <c r="T152" i="1"/>
  <c r="AA152" i="1"/>
  <c r="BX152" i="1"/>
  <c r="U157" i="1"/>
  <c r="F159" i="1"/>
  <c r="BA163" i="1"/>
  <c r="CB164" i="1"/>
  <c r="BL167" i="1"/>
  <c r="BJ175" i="1"/>
  <c r="BA177" i="1"/>
  <c r="CK176" i="1"/>
  <c r="P178" i="1"/>
  <c r="BF178" i="1"/>
  <c r="BA180" i="1"/>
  <c r="CI175" i="1"/>
  <c r="P181" i="1"/>
  <c r="BF181" i="1"/>
  <c r="BO181" i="1"/>
  <c r="CF181" i="1"/>
  <c r="P184" i="1"/>
  <c r="BL184" i="1"/>
  <c r="CB185" i="1"/>
  <c r="CK184" i="1"/>
  <c r="CK186" i="1"/>
  <c r="F190" i="1"/>
  <c r="BA192" i="1"/>
  <c r="BO191" i="1"/>
  <c r="CF191" i="1"/>
  <c r="F194" i="1"/>
  <c r="W188" i="1"/>
  <c r="AF188" i="1"/>
  <c r="F196" i="1"/>
  <c r="BB195" i="1"/>
  <c r="BL195" i="1"/>
  <c r="P197" i="1"/>
  <c r="F198" i="1"/>
  <c r="BF197" i="1"/>
  <c r="CF197" i="1"/>
  <c r="U199" i="1"/>
  <c r="BL199" i="1"/>
  <c r="I201" i="1"/>
  <c r="BB201" i="1"/>
  <c r="BL201" i="1"/>
  <c r="CK201" i="1"/>
  <c r="P203" i="1"/>
  <c r="BL203" i="1"/>
  <c r="U203" i="1"/>
  <c r="CF203" i="1"/>
  <c r="F208" i="1"/>
  <c r="CB208" i="1"/>
  <c r="CB209" i="1"/>
  <c r="BA210" i="1"/>
  <c r="CF211" i="1"/>
  <c r="BA213" i="1"/>
  <c r="CB215" i="1"/>
  <c r="BA217" i="1"/>
  <c r="CB219" i="1"/>
  <c r="G222" i="1"/>
  <c r="L222" i="1"/>
  <c r="Q222" i="1"/>
  <c r="V222" i="1"/>
  <c r="X222" i="1"/>
  <c r="AD222" i="1"/>
  <c r="AG222" i="1"/>
  <c r="AI222" i="1"/>
  <c r="AO222" i="1"/>
  <c r="AQ222" i="1"/>
  <c r="AS222" i="1"/>
  <c r="AW222" i="1"/>
  <c r="BC222" i="1"/>
  <c r="BM222" i="1"/>
  <c r="BS222" i="1"/>
  <c r="BW222" i="1"/>
  <c r="BY222" i="1"/>
  <c r="CI222" i="1"/>
  <c r="CM222" i="1"/>
  <c r="P223" i="1"/>
  <c r="F228" i="1"/>
  <c r="BB211" i="1"/>
  <c r="F189" i="1"/>
  <c r="F187" i="1"/>
  <c r="CB183" i="1"/>
  <c r="CD175" i="1"/>
  <c r="CC170" i="1"/>
  <c r="F212" i="1"/>
  <c r="BB170" i="1"/>
  <c r="J160" i="1"/>
  <c r="BB157" i="1"/>
  <c r="CC157" i="1"/>
  <c r="I157" i="1"/>
  <c r="BO153" i="1"/>
  <c r="F108" i="1"/>
  <c r="F94" i="1"/>
  <c r="CC77" i="1"/>
  <c r="I77" i="1"/>
  <c r="BB93" i="1"/>
  <c r="BB70" i="1"/>
  <c r="K46" i="1"/>
  <c r="AZ46" i="1"/>
  <c r="BF223" i="1"/>
  <c r="CF223" i="1"/>
  <c r="BA221" i="1"/>
  <c r="AE211" i="1"/>
  <c r="J188" i="1"/>
  <c r="BA216" i="1"/>
  <c r="CB214" i="1"/>
  <c r="BO211" i="1"/>
  <c r="BX188" i="1"/>
  <c r="BA202" i="1"/>
  <c r="BA198" i="1"/>
  <c r="BA194" i="1"/>
  <c r="AE191" i="1"/>
  <c r="AE181" i="1"/>
  <c r="BE175" i="1"/>
  <c r="AX175" i="1"/>
  <c r="AU175" i="1"/>
  <c r="AQ175" i="1"/>
  <c r="CF178" i="1"/>
  <c r="AK175" i="1"/>
  <c r="S175" i="1"/>
  <c r="CB187" i="1"/>
  <c r="AD175" i="1"/>
  <c r="CB179" i="1"/>
  <c r="BF167" i="1"/>
  <c r="CB165" i="1"/>
  <c r="F164" i="1"/>
  <c r="CK160" i="1"/>
  <c r="BA162" i="1"/>
  <c r="BA161" i="1"/>
  <c r="BA141" i="1"/>
  <c r="BB135" i="1"/>
  <c r="P131" i="1"/>
  <c r="BA101" i="1"/>
  <c r="CK157" i="1"/>
  <c r="CF135" i="1"/>
  <c r="CB89" i="1"/>
  <c r="CB83" i="1"/>
  <c r="BB80" i="1"/>
  <c r="BL77" i="1"/>
  <c r="AF55" i="1"/>
  <c r="AS69" i="1"/>
  <c r="V69" i="1"/>
  <c r="CB42" i="1"/>
  <c r="I227" i="1"/>
  <c r="CB224" i="1"/>
  <c r="F210" i="1"/>
  <c r="F209" i="1"/>
  <c r="F206" i="1"/>
  <c r="F204" i="1"/>
  <c r="BB203" i="1"/>
  <c r="CB202" i="1"/>
  <c r="CB198" i="1"/>
  <c r="CB194" i="1"/>
  <c r="CB182" i="1"/>
  <c r="CB180" i="1"/>
  <c r="CC176" i="1"/>
  <c r="BA172" i="1"/>
  <c r="CB171" i="1"/>
  <c r="BB167" i="1"/>
  <c r="CB163" i="1"/>
  <c r="U148" i="1"/>
  <c r="CB111" i="1"/>
  <c r="BX175" i="1"/>
  <c r="BT175" i="1"/>
  <c r="BL157" i="1"/>
  <c r="CB150" i="1"/>
  <c r="BA143" i="1"/>
  <c r="BL135" i="1"/>
  <c r="CF131" i="1"/>
  <c r="BA129" i="1"/>
  <c r="CC75" i="1"/>
  <c r="AV69" i="1"/>
  <c r="AM69" i="1"/>
  <c r="AG69" i="1"/>
  <c r="BQ55" i="1"/>
  <c r="I128" i="1"/>
  <c r="U128" i="1"/>
  <c r="BA225" i="1"/>
  <c r="BA218" i="1"/>
  <c r="P211" i="1"/>
  <c r="CB207" i="1"/>
  <c r="BE188" i="1"/>
  <c r="CB189" i="1"/>
  <c r="F162" i="1"/>
  <c r="X188" i="1"/>
  <c r="CB132" i="1"/>
  <c r="CB129" i="1"/>
  <c r="BC119" i="1"/>
  <c r="CB108" i="1"/>
  <c r="O92" i="1"/>
  <c r="J69" i="1"/>
  <c r="CM69" i="1"/>
  <c r="X69" i="1"/>
  <c r="CE135" i="1"/>
  <c r="BP130" i="1"/>
  <c r="Z119" i="1"/>
  <c r="BE92" i="1"/>
  <c r="AQ92" i="1"/>
  <c r="BB62" i="1"/>
  <c r="CF167" i="1"/>
  <c r="F207" i="1"/>
  <c r="F205" i="1"/>
  <c r="CM188" i="1"/>
  <c r="AO119" i="1"/>
  <c r="Q119" i="1"/>
  <c r="BF191" i="1"/>
  <c r="F180" i="1"/>
  <c r="U160" i="1"/>
  <c r="CD152" i="1"/>
  <c r="F150" i="1"/>
  <c r="CB141" i="1"/>
  <c r="F141" i="1"/>
  <c r="BW119" i="1"/>
  <c r="BZ152" i="1"/>
  <c r="BB148" i="1"/>
  <c r="CC123" i="1"/>
  <c r="F118" i="1"/>
  <c r="BV92" i="1"/>
  <c r="S92" i="1"/>
  <c r="AF74" i="1"/>
  <c r="Z188" i="1"/>
  <c r="AZ92" i="1"/>
  <c r="CB210" i="1"/>
  <c r="AB74" i="1"/>
  <c r="BB186" i="1"/>
  <c r="CB213" i="1"/>
  <c r="BA200" i="1"/>
  <c r="BW152" i="1"/>
  <c r="AK119" i="1"/>
  <c r="Z222" i="1"/>
  <c r="U186" i="1"/>
  <c r="AE144" i="1"/>
  <c r="P117" i="1"/>
  <c r="CN222" i="1"/>
  <c r="BQ222" i="1"/>
  <c r="AE197" i="1"/>
  <c r="CC184" i="1"/>
  <c r="CK107" i="1"/>
  <c r="F59" i="1"/>
  <c r="CB59" i="1"/>
  <c r="F89" i="1"/>
  <c r="AE50" i="1"/>
  <c r="X55" i="1"/>
  <c r="BY55" i="1"/>
  <c r="X92" i="1"/>
  <c r="V23" i="1"/>
  <c r="N92" i="1"/>
  <c r="BR55" i="1"/>
  <c r="F111" i="1"/>
  <c r="CB94" i="1"/>
  <c r="AO109" i="1"/>
  <c r="X109" i="1"/>
  <c r="BL146" i="1"/>
  <c r="BY109" i="1"/>
  <c r="BE109" i="1"/>
  <c r="BB107" i="1"/>
  <c r="U84" i="1"/>
  <c r="I49" i="1"/>
  <c r="BB46" i="1"/>
  <c r="AD69" i="1"/>
  <c r="J55" i="1"/>
  <c r="BD74" i="1"/>
  <c r="BU55" i="1"/>
  <c r="CB49" i="1"/>
  <c r="BB30" i="1"/>
  <c r="AR74" i="1"/>
  <c r="AX92" i="1"/>
  <c r="AW55" i="1"/>
  <c r="BT55" i="1"/>
  <c r="CE92" i="1"/>
  <c r="BX92" i="1"/>
  <c r="BP92" i="1"/>
  <c r="AP74" i="1"/>
  <c r="R69" i="1"/>
  <c r="W119" i="1"/>
  <c r="CB118" i="1"/>
  <c r="AK109" i="1"/>
  <c r="S109" i="1"/>
  <c r="BO157" i="1"/>
  <c r="U146" i="1"/>
  <c r="AE110" i="1"/>
  <c r="BU109" i="1"/>
  <c r="CC117" i="1"/>
  <c r="CC26" i="1"/>
  <c r="AN55" i="1"/>
  <c r="BS55" i="1"/>
  <c r="AB92" i="1"/>
  <c r="Y74" i="1"/>
  <c r="BJ92" i="1"/>
  <c r="BY92" i="1"/>
  <c r="J92" i="1"/>
  <c r="AJ74" i="1"/>
  <c r="BT74" i="1"/>
  <c r="Q69" i="1"/>
  <c r="AG109" i="1"/>
  <c r="N109" i="1"/>
  <c r="BB144" i="1"/>
  <c r="BQ109" i="1"/>
  <c r="AK92" i="1"/>
  <c r="CK84" i="1"/>
  <c r="BJ152" i="1"/>
  <c r="Z152" i="1"/>
  <c r="CF315" i="1"/>
  <c r="AN74" i="1"/>
  <c r="CB78" i="1"/>
  <c r="AQ109" i="1"/>
  <c r="AW109" i="1"/>
  <c r="CN109" i="1"/>
  <c r="BA111" i="1"/>
  <c r="U117" i="1"/>
  <c r="BB146" i="1"/>
  <c r="CC146" i="1"/>
  <c r="BA182" i="1"/>
  <c r="BO184" i="1"/>
  <c r="CB204" i="1"/>
  <c r="BA214" i="1"/>
  <c r="BA215" i="1"/>
  <c r="J222" i="1"/>
  <c r="S222" i="1"/>
  <c r="AB222" i="1"/>
  <c r="AK222" i="1"/>
  <c r="BE222" i="1"/>
  <c r="BU222" i="1"/>
  <c r="AE223" i="1"/>
  <c r="F224" i="1"/>
  <c r="F233" i="1"/>
  <c r="BA236" i="1"/>
  <c r="CB302" i="1"/>
  <c r="BO304" i="1"/>
  <c r="BO309" i="1"/>
  <c r="S290" i="1"/>
  <c r="BA312" i="1"/>
  <c r="BF311" i="1"/>
  <c r="L69" i="1"/>
  <c r="BM69" i="1"/>
  <c r="CB102" i="1"/>
  <c r="BZ130" i="1"/>
  <c r="BF135" i="1"/>
  <c r="AK135" i="1"/>
  <c r="BA142" i="1"/>
  <c r="P170" i="1"/>
  <c r="BA171" i="1"/>
  <c r="BO178" i="1"/>
  <c r="BL197" i="1"/>
  <c r="CK197" i="1"/>
  <c r="CN188" i="1"/>
  <c r="F200" i="1"/>
  <c r="AN188" i="1"/>
  <c r="F202" i="1"/>
  <c r="BF201" i="1"/>
  <c r="P286" i="1"/>
  <c r="CF286" i="1"/>
  <c r="CF86" i="1"/>
  <c r="BL88" i="1"/>
  <c r="BL131" i="1"/>
  <c r="CK131" i="1"/>
  <c r="BA169" i="1"/>
  <c r="CK195" i="1"/>
  <c r="U195" i="1"/>
  <c r="CB251" i="1"/>
  <c r="F253" i="1"/>
  <c r="BA267" i="1"/>
  <c r="G56" i="1"/>
  <c r="G86" i="1"/>
  <c r="G110" i="1"/>
  <c r="BO196" i="1"/>
  <c r="BZ203" i="1"/>
  <c r="AC247" i="1"/>
  <c r="AS119" i="1"/>
  <c r="Y30" i="1"/>
  <c r="AZ30" i="1"/>
  <c r="G46" i="1"/>
  <c r="G60" i="1"/>
  <c r="G72" i="1"/>
  <c r="G80" i="1"/>
  <c r="G90" i="1"/>
  <c r="G131" i="1"/>
  <c r="G135" i="1"/>
  <c r="AR167" i="1"/>
  <c r="CE167" i="1"/>
  <c r="H181" i="1"/>
  <c r="J247" i="1"/>
  <c r="BY30" i="1"/>
  <c r="H30" i="1"/>
  <c r="G44" i="1"/>
  <c r="G144" i="1"/>
  <c r="G153" i="1"/>
  <c r="X167" i="1"/>
  <c r="H191" i="1"/>
  <c r="BY195" i="1"/>
  <c r="CB35" i="1"/>
  <c r="BA25" i="1"/>
  <c r="F45" i="1"/>
  <c r="F54" i="1"/>
  <c r="CB57" i="1"/>
  <c r="F61" i="1"/>
  <c r="CB61" i="1"/>
  <c r="F63" i="1"/>
  <c r="CB63" i="1"/>
  <c r="F65" i="1"/>
  <c r="CB65" i="1"/>
  <c r="BA71" i="1"/>
  <c r="BA76" i="1"/>
  <c r="BB315" i="1"/>
  <c r="BA81" i="1"/>
  <c r="AV74" i="1"/>
  <c r="BR69" i="1"/>
  <c r="M55" i="1"/>
  <c r="AA23" i="1"/>
  <c r="BX55" i="1"/>
  <c r="O55" i="1"/>
  <c r="AK55" i="1"/>
  <c r="CE30" i="1"/>
  <c r="CB45" i="1"/>
  <c r="F73" i="1"/>
  <c r="AS55" i="1"/>
  <c r="AD55" i="1"/>
  <c r="F48" i="1"/>
  <c r="AL69" i="1"/>
  <c r="R55" i="1"/>
  <c r="F39" i="1"/>
  <c r="AZ55" i="1"/>
  <c r="AR69" i="1"/>
  <c r="W69" i="1"/>
  <c r="BO46" i="1"/>
  <c r="AQ55" i="1"/>
  <c r="AJ55" i="1"/>
  <c r="AB55" i="1"/>
  <c r="AH69" i="1"/>
  <c r="N55" i="1"/>
  <c r="BA42" i="1"/>
  <c r="CI69" i="1"/>
  <c r="AZ69" i="1"/>
  <c r="AC69" i="1"/>
  <c r="BW55" i="1"/>
  <c r="BD55" i="1"/>
  <c r="BR74" i="1"/>
  <c r="O74" i="1"/>
  <c r="F68" i="1"/>
  <c r="CD55" i="1"/>
  <c r="CB43" i="1"/>
  <c r="BP55" i="1"/>
  <c r="BU74" i="1"/>
  <c r="AL55" i="1"/>
  <c r="V55" i="1"/>
  <c r="BB72" i="1"/>
  <c r="F78" i="1"/>
  <c r="BA79" i="1"/>
  <c r="F47" i="1"/>
  <c r="CC80" i="1"/>
  <c r="BO77" i="1"/>
  <c r="AP55" i="1"/>
  <c r="AH55" i="1"/>
  <c r="Z55" i="1"/>
  <c r="CB50" i="1"/>
  <c r="L55" i="1"/>
  <c r="CK46" i="1"/>
  <c r="BA41" i="1"/>
  <c r="AV55" i="1"/>
  <c r="AA69" i="1"/>
  <c r="BM23" i="1"/>
  <c r="AZ74" i="1"/>
  <c r="AC74" i="1"/>
  <c r="CB73" i="1"/>
  <c r="CN69" i="1"/>
  <c r="M69" i="1"/>
  <c r="BG55" i="1"/>
  <c r="AJ23" i="1"/>
  <c r="BA78" i="1"/>
  <c r="AW74" i="1"/>
  <c r="I176" i="1"/>
  <c r="CD23" i="1"/>
  <c r="BA45" i="1"/>
  <c r="BD23" i="1"/>
  <c r="BA43" i="1"/>
  <c r="T23" i="1"/>
  <c r="BB44" i="1"/>
  <c r="CB32" i="1"/>
  <c r="CN23" i="1"/>
  <c r="M23" i="1"/>
  <c r="AM55" i="1"/>
  <c r="CI55" i="1"/>
  <c r="CB48" i="1"/>
  <c r="BI55" i="1"/>
  <c r="BA39" i="1"/>
  <c r="CE175" i="1"/>
  <c r="F35" i="1"/>
  <c r="BB26" i="1"/>
  <c r="CB40" i="1"/>
  <c r="BT23" i="1"/>
  <c r="W55" i="1"/>
  <c r="I58" i="1"/>
  <c r="I26" i="1"/>
  <c r="CM55" i="1"/>
  <c r="CN55" i="1"/>
  <c r="BS23" i="1"/>
  <c r="AG55" i="1"/>
  <c r="O30" i="1"/>
  <c r="AZ160" i="1"/>
  <c r="CC195" i="1"/>
  <c r="P317" i="1"/>
  <c r="AE67" i="1"/>
  <c r="AS160" i="1"/>
  <c r="BL186" i="1"/>
  <c r="CF311" i="1"/>
  <c r="CB25" i="1"/>
  <c r="CC270" i="1"/>
  <c r="AV290" i="1"/>
  <c r="BA35" i="1"/>
  <c r="AH30" i="1"/>
  <c r="F40" i="1"/>
  <c r="BA32" i="1"/>
  <c r="BP23" i="1"/>
  <c r="AL23" i="1"/>
  <c r="X23" i="1"/>
  <c r="BZ55" i="1"/>
  <c r="AI55" i="1"/>
  <c r="F42" i="1"/>
  <c r="CB47" i="1"/>
  <c r="AO55" i="1"/>
  <c r="S55" i="1"/>
  <c r="BL311" i="1"/>
  <c r="I24" i="1"/>
  <c r="F36" i="1"/>
  <c r="CB34" i="1"/>
  <c r="BI23" i="1"/>
  <c r="AE41" i="1"/>
  <c r="BA33" i="1"/>
  <c r="BA28" i="1"/>
  <c r="BX23" i="1"/>
  <c r="BC23" i="1"/>
  <c r="AF23" i="1"/>
  <c r="Q23" i="1"/>
  <c r="AA55" i="1"/>
  <c r="BC55" i="1"/>
  <c r="AC23" i="1"/>
  <c r="F25" i="1"/>
  <c r="CB27" i="1"/>
  <c r="AE28" i="1"/>
  <c r="CF313" i="1"/>
  <c r="AE270" i="1"/>
  <c r="BA31" i="1"/>
  <c r="BF86" i="1"/>
  <c r="P153" i="1"/>
  <c r="CK70" i="1"/>
  <c r="U72" i="1"/>
  <c r="L23" i="1"/>
  <c r="CB31" i="1"/>
  <c r="P26" i="1"/>
  <c r="BV23" i="1"/>
  <c r="BU23" i="1"/>
  <c r="BJ23" i="1"/>
  <c r="F31" i="1"/>
  <c r="BA37" i="1"/>
  <c r="BF80" i="1"/>
  <c r="CB29" i="1"/>
  <c r="J23" i="1"/>
  <c r="AG23" i="1"/>
  <c r="CM23" i="1"/>
  <c r="BE23" i="1"/>
  <c r="AN23" i="1"/>
  <c r="BQ23" i="1"/>
  <c r="S23" i="1"/>
  <c r="CK26" i="1"/>
  <c r="BW69" i="1"/>
  <c r="CF70" i="1"/>
  <c r="AE72" i="1"/>
  <c r="AE80" i="1"/>
  <c r="BA29" i="1"/>
  <c r="BG23" i="1"/>
  <c r="BZ23" i="1"/>
  <c r="BR23" i="1"/>
  <c r="AB23" i="1"/>
  <c r="BL26" i="1"/>
  <c r="AE24" i="1"/>
  <c r="BO24" i="1"/>
  <c r="CF26" i="1"/>
  <c r="AX26" i="1"/>
  <c r="BF30" i="1"/>
  <c r="BA36" i="1"/>
  <c r="BA38" i="1"/>
  <c r="I41" i="1"/>
  <c r="AI30" i="1"/>
  <c r="U44" i="1"/>
  <c r="BL44" i="1"/>
  <c r="CK44" i="1"/>
  <c r="AE53" i="1"/>
  <c r="BO53" i="1"/>
  <c r="BB56" i="1"/>
  <c r="CC56" i="1"/>
  <c r="P58" i="1"/>
  <c r="BF58" i="1"/>
  <c r="CF58" i="1"/>
  <c r="U60" i="1"/>
  <c r="BL60" i="1"/>
  <c r="Y55" i="1"/>
  <c r="AC55" i="1"/>
  <c r="CC62" i="1"/>
  <c r="AE64" i="1"/>
  <c r="BO64" i="1"/>
  <c r="BB67" i="1"/>
  <c r="AB69" i="1"/>
  <c r="AX69" i="1"/>
  <c r="BE69" i="1"/>
  <c r="CD69" i="1"/>
  <c r="P70" i="1"/>
  <c r="BF70" i="1"/>
  <c r="P72" i="1"/>
  <c r="BB75" i="1"/>
  <c r="P80" i="1"/>
  <c r="CF80" i="1"/>
  <c r="U82" i="1"/>
  <c r="BB82" i="1"/>
  <c r="BO82" i="1"/>
  <c r="AL74" i="1"/>
  <c r="P84" i="1"/>
  <c r="CF84" i="1"/>
  <c r="U86" i="1"/>
  <c r="BL86" i="1"/>
  <c r="CK86" i="1"/>
  <c r="AE88" i="1"/>
  <c r="P90" i="1"/>
  <c r="CF90" i="1"/>
  <c r="BX109" i="1"/>
  <c r="L109" i="1"/>
  <c r="Q109" i="1"/>
  <c r="V109" i="1"/>
  <c r="Z109" i="1"/>
  <c r="AD109" i="1"/>
  <c r="AI109" i="1"/>
  <c r="AM109" i="1"/>
  <c r="BC109" i="1"/>
  <c r="BM109" i="1"/>
  <c r="BS109" i="1"/>
  <c r="BW109" i="1"/>
  <c r="CD109" i="1"/>
  <c r="CI109" i="1"/>
  <c r="CM109" i="1"/>
  <c r="P110" i="1"/>
  <c r="BF110" i="1"/>
  <c r="P120" i="1"/>
  <c r="BF120" i="1"/>
  <c r="CF120" i="1"/>
  <c r="P123" i="1"/>
  <c r="BF123" i="1"/>
  <c r="CF123" i="1"/>
  <c r="AN119" i="1"/>
  <c r="BT119" i="1"/>
  <c r="CD119" i="1"/>
  <c r="CI119" i="1"/>
  <c r="CN119" i="1"/>
  <c r="M130" i="1"/>
  <c r="R130" i="1"/>
  <c r="AA130" i="1"/>
  <c r="AN130" i="1"/>
  <c r="AR130" i="1"/>
  <c r="BI130" i="1"/>
  <c r="BT130" i="1"/>
  <c r="BF131" i="1"/>
  <c r="S130" i="1"/>
  <c r="X130" i="1"/>
  <c r="AB130" i="1"/>
  <c r="AO130" i="1"/>
  <c r="AX130" i="1"/>
  <c r="BE130" i="1"/>
  <c r="BJ130" i="1"/>
  <c r="BQ130" i="1"/>
  <c r="BU130" i="1"/>
  <c r="CB136" i="1"/>
  <c r="AJ135" i="1"/>
  <c r="AE146" i="1"/>
  <c r="BO146" i="1"/>
  <c r="CB149" i="1"/>
  <c r="F151" i="1"/>
  <c r="CC161" i="1"/>
  <c r="CC199" i="1"/>
  <c r="K222" i="1"/>
  <c r="O222" i="1"/>
  <c r="T222" i="1"/>
  <c r="Y222" i="1"/>
  <c r="AC222" i="1"/>
  <c r="AH222" i="1"/>
  <c r="AL222" i="1"/>
  <c r="AP222" i="1"/>
  <c r="AV222" i="1"/>
  <c r="BG222" i="1"/>
  <c r="BR222" i="1"/>
  <c r="BV222" i="1"/>
  <c r="BZ222" i="1"/>
  <c r="K232" i="1"/>
  <c r="S232" i="1"/>
  <c r="AF232" i="1"/>
  <c r="AM232" i="1"/>
  <c r="AQ232" i="1"/>
  <c r="AU232" i="1"/>
  <c r="AX232" i="1"/>
  <c r="BG232" i="1"/>
  <c r="BR232" i="1"/>
  <c r="BV232" i="1"/>
  <c r="BZ232" i="1"/>
  <c r="CI232" i="1"/>
  <c r="AE317" i="1"/>
  <c r="BA305" i="1"/>
  <c r="BB24" i="1"/>
  <c r="CC24" i="1"/>
  <c r="U27" i="1"/>
  <c r="AZ26" i="1"/>
  <c r="U37" i="1"/>
  <c r="AM30" i="1"/>
  <c r="AP30" i="1"/>
  <c r="AE44" i="1"/>
  <c r="BO44" i="1"/>
  <c r="U50" i="1"/>
  <c r="I53" i="1"/>
  <c r="BB53" i="1"/>
  <c r="BF56" i="1"/>
  <c r="U58" i="1"/>
  <c r="BL58" i="1"/>
  <c r="CK58" i="1"/>
  <c r="AE60" i="1"/>
  <c r="P62" i="1"/>
  <c r="BF62" i="1"/>
  <c r="CF62" i="1"/>
  <c r="BB64" i="1"/>
  <c r="CC64" i="1"/>
  <c r="P67" i="1"/>
  <c r="BF67" i="1"/>
  <c r="CF67" i="1"/>
  <c r="BQ69" i="1"/>
  <c r="BU69" i="1"/>
  <c r="U70" i="1"/>
  <c r="BL70" i="1"/>
  <c r="P75" i="1"/>
  <c r="BF75" i="1"/>
  <c r="CF75" i="1"/>
  <c r="S74" i="1"/>
  <c r="U80" i="1"/>
  <c r="BL80" i="1"/>
  <c r="CK80" i="1"/>
  <c r="BL84" i="1"/>
  <c r="AE86" i="1"/>
  <c r="BO86" i="1"/>
  <c r="U90" i="1"/>
  <c r="CK90" i="1"/>
  <c r="AG92" i="1"/>
  <c r="AO92" i="1"/>
  <c r="BU92" i="1"/>
  <c r="P107" i="1"/>
  <c r="CF107" i="1"/>
  <c r="M109" i="1"/>
  <c r="R109" i="1"/>
  <c r="AA109" i="1"/>
  <c r="AF109" i="1"/>
  <c r="AJ109" i="1"/>
  <c r="AR109" i="1"/>
  <c r="BD109" i="1"/>
  <c r="BI109" i="1"/>
  <c r="BP109" i="1"/>
  <c r="BT109" i="1"/>
  <c r="BL117" i="1"/>
  <c r="U120" i="1"/>
  <c r="BL120" i="1"/>
  <c r="CK120" i="1"/>
  <c r="U144" i="1"/>
  <c r="BL144" i="1"/>
  <c r="I146" i="1"/>
  <c r="R152" i="1"/>
  <c r="W152" i="1"/>
  <c r="AF152" i="1"/>
  <c r="AJ152" i="1"/>
  <c r="AN152" i="1"/>
  <c r="BD152" i="1"/>
  <c r="BI152" i="1"/>
  <c r="BP152" i="1"/>
  <c r="BT152" i="1"/>
  <c r="S152" i="1"/>
  <c r="X152" i="1"/>
  <c r="AB152" i="1"/>
  <c r="AG152" i="1"/>
  <c r="AO152" i="1"/>
  <c r="AX152" i="1"/>
  <c r="BQ152" i="1"/>
  <c r="N160" i="1"/>
  <c r="AE161" i="1"/>
  <c r="BF170" i="1"/>
  <c r="CF176" i="1"/>
  <c r="P186" i="1"/>
  <c r="CF186" i="1"/>
  <c r="L232" i="1"/>
  <c r="AB232" i="1"/>
  <c r="AG232" i="1"/>
  <c r="AN232" i="1"/>
  <c r="AR232" i="1"/>
  <c r="AV232" i="1"/>
  <c r="BC232" i="1"/>
  <c r="BM232" i="1"/>
  <c r="BS232" i="1"/>
  <c r="BW232" i="1"/>
  <c r="CD232" i="1"/>
  <c r="U309" i="1"/>
  <c r="P313" i="1"/>
  <c r="P315" i="1"/>
  <c r="H56" i="1"/>
  <c r="H60" i="1"/>
  <c r="H67" i="1"/>
  <c r="H77" i="1"/>
  <c r="H90" i="1"/>
  <c r="H110" i="1"/>
  <c r="H144" i="1"/>
  <c r="H153" i="1"/>
  <c r="G167" i="1"/>
  <c r="P168" i="1"/>
  <c r="G186" i="1"/>
  <c r="G203" i="1"/>
  <c r="G232" i="1"/>
  <c r="X247" i="1"/>
  <c r="I270" i="1"/>
  <c r="Y247" i="1"/>
  <c r="BE123" i="1"/>
  <c r="AE168" i="1"/>
  <c r="AZ247" i="1"/>
  <c r="AE271" i="1"/>
  <c r="CC168" i="1"/>
  <c r="BO206" i="1"/>
  <c r="CE247" i="1"/>
  <c r="CC271" i="1"/>
  <c r="BW23" i="1"/>
  <c r="CI23" i="1"/>
  <c r="P24" i="1"/>
  <c r="BF24" i="1"/>
  <c r="CF24" i="1"/>
  <c r="CB28" i="1"/>
  <c r="CC41" i="1"/>
  <c r="CC44" i="1"/>
  <c r="P53" i="1"/>
  <c r="BF53" i="1"/>
  <c r="CF53" i="1"/>
  <c r="CF56" i="1"/>
  <c r="U56" i="1"/>
  <c r="BL56" i="1"/>
  <c r="CK56" i="1"/>
  <c r="AE58" i="1"/>
  <c r="BO58" i="1"/>
  <c r="BV55" i="1"/>
  <c r="I60" i="1"/>
  <c r="BB60" i="1"/>
  <c r="CF60" i="1"/>
  <c r="AR55" i="1"/>
  <c r="U62" i="1"/>
  <c r="BL62" i="1"/>
  <c r="CK62" i="1"/>
  <c r="P64" i="1"/>
  <c r="BF64" i="1"/>
  <c r="CF64" i="1"/>
  <c r="U67" i="1"/>
  <c r="BL67" i="1"/>
  <c r="CK67" i="1"/>
  <c r="AI69" i="1"/>
  <c r="AQ69" i="1"/>
  <c r="AW69" i="1"/>
  <c r="BC69" i="1"/>
  <c r="BY69" i="1"/>
  <c r="AE70" i="1"/>
  <c r="BF72" i="1"/>
  <c r="CF72" i="1"/>
  <c r="U76" i="1"/>
  <c r="BL75" i="1"/>
  <c r="CK75" i="1"/>
  <c r="BO80" i="1"/>
  <c r="CC82" i="1"/>
  <c r="AE82" i="1"/>
  <c r="BF82" i="1"/>
  <c r="CF82" i="1"/>
  <c r="AE84" i="1"/>
  <c r="BO84" i="1"/>
  <c r="I87" i="1"/>
  <c r="P88" i="1"/>
  <c r="CF88" i="1"/>
  <c r="AE90" i="1"/>
  <c r="BO90" i="1"/>
  <c r="J109" i="1"/>
  <c r="AS109" i="1"/>
  <c r="AX109" i="1"/>
  <c r="BO110" i="1"/>
  <c r="AE117" i="1"/>
  <c r="AE120" i="1"/>
  <c r="BO120" i="1"/>
  <c r="AC119" i="1"/>
  <c r="BR119" i="1"/>
  <c r="BV119" i="1"/>
  <c r="BZ119" i="1"/>
  <c r="K130" i="1"/>
  <c r="T130" i="1"/>
  <c r="Y130" i="1"/>
  <c r="AC130" i="1"/>
  <c r="AL130" i="1"/>
  <c r="AP130" i="1"/>
  <c r="AZ130" i="1"/>
  <c r="BG130" i="1"/>
  <c r="BR130" i="1"/>
  <c r="BV130" i="1"/>
  <c r="Q130" i="1"/>
  <c r="V130" i="1"/>
  <c r="Z130" i="1"/>
  <c r="AD130" i="1"/>
  <c r="AQ130" i="1"/>
  <c r="AW130" i="1"/>
  <c r="BC130" i="1"/>
  <c r="U135" i="1"/>
  <c r="AM135" i="1"/>
  <c r="P146" i="1"/>
  <c r="AE153" i="1"/>
  <c r="O160" i="1"/>
  <c r="CK167" i="1"/>
  <c r="I181" i="1"/>
  <c r="U197" i="1"/>
  <c r="H222" i="1"/>
  <c r="M222" i="1"/>
  <c r="R222" i="1"/>
  <c r="W222" i="1"/>
  <c r="AA222" i="1"/>
  <c r="AF222" i="1"/>
  <c r="AN222" i="1"/>
  <c r="AR222" i="1"/>
  <c r="BD222" i="1"/>
  <c r="BI222" i="1"/>
  <c r="BP222" i="1"/>
  <c r="BT222" i="1"/>
  <c r="U223" i="1"/>
  <c r="U227" i="1"/>
  <c r="CK227" i="1"/>
  <c r="M232" i="1"/>
  <c r="AO232" i="1"/>
  <c r="AS232" i="1"/>
  <c r="AW232" i="1"/>
  <c r="BD232" i="1"/>
  <c r="BI232" i="1"/>
  <c r="BP232" i="1"/>
  <c r="BT232" i="1"/>
  <c r="BX232" i="1"/>
  <c r="U24" i="1"/>
  <c r="BL24" i="1"/>
  <c r="CK24" i="1"/>
  <c r="AH26" i="1"/>
  <c r="I32" i="1"/>
  <c r="I37" i="1"/>
  <c r="CC37" i="1"/>
  <c r="P44" i="1"/>
  <c r="BF44" i="1"/>
  <c r="CF44" i="1"/>
  <c r="O46" i="1"/>
  <c r="U53" i="1"/>
  <c r="CK53" i="1"/>
  <c r="AE56" i="1"/>
  <c r="BO56" i="1"/>
  <c r="BB58" i="1"/>
  <c r="P60" i="1"/>
  <c r="BF60" i="1"/>
  <c r="CK60" i="1"/>
  <c r="AE62" i="1"/>
  <c r="BO62" i="1"/>
  <c r="AT55" i="1"/>
  <c r="U64" i="1"/>
  <c r="BL64" i="1"/>
  <c r="CK64" i="1"/>
  <c r="BO67" i="1"/>
  <c r="BS69" i="1"/>
  <c r="BV69" i="1"/>
  <c r="BL72" i="1"/>
  <c r="CK72" i="1"/>
  <c r="AE76" i="1"/>
  <c r="BO75" i="1"/>
  <c r="CD74" i="1"/>
  <c r="CI74" i="1"/>
  <c r="CF77" i="1"/>
  <c r="I80" i="1"/>
  <c r="P82" i="1"/>
  <c r="BL82" i="1"/>
  <c r="CK82" i="1"/>
  <c r="CC85" i="1"/>
  <c r="P86" i="1"/>
  <c r="U88" i="1"/>
  <c r="CK88" i="1"/>
  <c r="BB90" i="1"/>
  <c r="CC90" i="1"/>
  <c r="Q92" i="1"/>
  <c r="CD92" i="1"/>
  <c r="CI92" i="1"/>
  <c r="CM92" i="1"/>
  <c r="CN92" i="1"/>
  <c r="CF93" i="1"/>
  <c r="AE107" i="1"/>
  <c r="BO107" i="1"/>
  <c r="K109" i="1"/>
  <c r="O109" i="1"/>
  <c r="T109" i="1"/>
  <c r="Y109" i="1"/>
  <c r="AC109" i="1"/>
  <c r="AH109" i="1"/>
  <c r="AL109" i="1"/>
  <c r="AP109" i="1"/>
  <c r="AV109" i="1"/>
  <c r="AZ109" i="1"/>
  <c r="BG109" i="1"/>
  <c r="BR109" i="1"/>
  <c r="I120" i="1"/>
  <c r="BB120" i="1"/>
  <c r="CC120" i="1"/>
  <c r="I131" i="1"/>
  <c r="AI135" i="1"/>
  <c r="AE143" i="1"/>
  <c r="I144" i="1"/>
  <c r="CC144" i="1"/>
  <c r="L152" i="1"/>
  <c r="Y152" i="1"/>
  <c r="AC152" i="1"/>
  <c r="AH152" i="1"/>
  <c r="AP152" i="1"/>
  <c r="AV152" i="1"/>
  <c r="BG152" i="1"/>
  <c r="BR152" i="1"/>
  <c r="I153" i="1"/>
  <c r="CB155" i="1"/>
  <c r="CB154" i="1"/>
  <c r="F156" i="1"/>
  <c r="CB156" i="1"/>
  <c r="Q152" i="1"/>
  <c r="V152" i="1"/>
  <c r="AD152" i="1"/>
  <c r="AI152" i="1"/>
  <c r="AM152" i="1"/>
  <c r="AQ152" i="1"/>
  <c r="AW152" i="1"/>
  <c r="BC152" i="1"/>
  <c r="BM152" i="1"/>
  <c r="BS152" i="1"/>
  <c r="AE195" i="1"/>
  <c r="BO197" i="1"/>
  <c r="BJ222" i="1"/>
  <c r="BF227" i="1"/>
  <c r="AE227" i="1"/>
  <c r="I242" i="1"/>
  <c r="AD232" i="1"/>
  <c r="AL232" i="1"/>
  <c r="AP232" i="1"/>
  <c r="AT232" i="1"/>
  <c r="BE232" i="1"/>
  <c r="BJ232" i="1"/>
  <c r="BQ232" i="1"/>
  <c r="BU232" i="1"/>
  <c r="BY232" i="1"/>
  <c r="CM232" i="1"/>
  <c r="CI309" i="1"/>
  <c r="AE313" i="1"/>
  <c r="BO313" i="1"/>
  <c r="AE315" i="1"/>
  <c r="H46" i="1"/>
  <c r="H53" i="1"/>
  <c r="H58" i="1"/>
  <c r="H75" i="1"/>
  <c r="H82" i="1"/>
  <c r="H88" i="1"/>
  <c r="H146" i="1"/>
  <c r="H160" i="1"/>
  <c r="H167" i="1"/>
  <c r="G191" i="1"/>
  <c r="Z247" i="1"/>
  <c r="T247" i="1"/>
  <c r="P270" i="1"/>
  <c r="AA247" i="1"/>
  <c r="AZ128" i="1"/>
  <c r="AE169" i="1"/>
  <c r="AH170" i="1"/>
  <c r="AK247" i="1"/>
  <c r="CK172" i="1"/>
  <c r="BO209" i="1"/>
  <c r="CB143" i="1"/>
  <c r="CK309" i="1"/>
  <c r="CF309" i="1"/>
  <c r="Q232" i="1"/>
  <c r="H232" i="1"/>
  <c r="BJ290" i="1"/>
  <c r="AJ232" i="1"/>
  <c r="T175" i="1"/>
  <c r="AI175" i="1"/>
  <c r="AE176" i="1"/>
  <c r="U176" i="1"/>
  <c r="F177" i="1"/>
  <c r="CK135" i="1"/>
  <c r="CB138" i="1"/>
  <c r="F138" i="1"/>
  <c r="N130" i="1"/>
  <c r="Q55" i="1"/>
  <c r="AX55" i="1"/>
  <c r="BE55" i="1"/>
  <c r="BJ55" i="1"/>
  <c r="BM55" i="1"/>
  <c r="AK74" i="1"/>
  <c r="I82" i="1"/>
  <c r="F83" i="1"/>
  <c r="K86" i="1"/>
  <c r="BB88" i="1"/>
  <c r="BA89" i="1"/>
  <c r="K92" i="1"/>
  <c r="M92" i="1"/>
  <c r="BF186" i="1"/>
  <c r="BA187" i="1"/>
  <c r="K69" i="1"/>
  <c r="BF117" i="1"/>
  <c r="BA118" i="1"/>
  <c r="I168" i="1"/>
  <c r="N167" i="1"/>
  <c r="N247" i="1"/>
  <c r="AB211" i="1"/>
  <c r="U221" i="1"/>
  <c r="AH247" i="1"/>
  <c r="AA92" i="1"/>
  <c r="AC92" i="1"/>
  <c r="AF92" i="1"/>
  <c r="AH92" i="1"/>
  <c r="AJ92" i="1"/>
  <c r="AN92" i="1"/>
  <c r="BD92" i="1"/>
  <c r="BG92" i="1"/>
  <c r="AI170" i="1"/>
  <c r="BY203" i="1"/>
  <c r="W247" i="1"/>
  <c r="BU152" i="1"/>
  <c r="M175" i="1"/>
  <c r="Q175" i="1"/>
  <c r="V175" i="1"/>
  <c r="X175" i="1"/>
  <c r="Z175" i="1"/>
  <c r="AB175" i="1"/>
  <c r="AL175" i="1"/>
  <c r="AN175" i="1"/>
  <c r="AP175" i="1"/>
  <c r="AR175" i="1"/>
  <c r="AT175" i="1"/>
  <c r="AV175" i="1"/>
  <c r="AZ175" i="1"/>
  <c r="BG175" i="1"/>
  <c r="BI175" i="1"/>
  <c r="F250" i="1"/>
  <c r="CB250" i="1"/>
  <c r="CB252" i="1"/>
  <c r="CB256" i="1"/>
  <c r="CB258" i="1"/>
  <c r="CB264" i="1"/>
  <c r="F268" i="1"/>
  <c r="F230" i="1"/>
  <c r="R247" i="1"/>
  <c r="V247" i="1"/>
  <c r="I271" i="1"/>
  <c r="O247" i="1"/>
  <c r="BP175" i="1"/>
  <c r="BR175" i="1"/>
  <c r="K175" i="1"/>
  <c r="L175" i="1"/>
  <c r="N175" i="1"/>
  <c r="R175" i="1"/>
  <c r="W175" i="1"/>
  <c r="Y175" i="1"/>
  <c r="AA175" i="1"/>
  <c r="AC175" i="1"/>
  <c r="AF175" i="1"/>
  <c r="AH175" i="1"/>
  <c r="BM175" i="1"/>
  <c r="BS175" i="1"/>
  <c r="BU175" i="1"/>
  <c r="BW175" i="1"/>
  <c r="BY175" i="1"/>
  <c r="M188" i="1"/>
  <c r="O188" i="1"/>
  <c r="R188" i="1"/>
  <c r="T188" i="1"/>
  <c r="Y188" i="1"/>
  <c r="AA188" i="1"/>
  <c r="AC188" i="1"/>
  <c r="AH188" i="1"/>
  <c r="AJ188" i="1"/>
  <c r="AP188" i="1"/>
  <c r="AR188" i="1"/>
  <c r="AV188" i="1"/>
  <c r="AZ188" i="1"/>
  <c r="BD188" i="1"/>
  <c r="BI188" i="1"/>
  <c r="BP188" i="1"/>
  <c r="BR188" i="1"/>
  <c r="BT188" i="1"/>
  <c r="L188" i="1"/>
  <c r="N188" i="1"/>
  <c r="Q188" i="1"/>
  <c r="S188" i="1"/>
  <c r="V188" i="1"/>
  <c r="AD188" i="1"/>
  <c r="AG188" i="1"/>
  <c r="AI188" i="1"/>
  <c r="AK188" i="1"/>
  <c r="AO188" i="1"/>
  <c r="AQ188" i="1"/>
  <c r="AS188" i="1"/>
  <c r="AW188" i="1"/>
  <c r="AX188" i="1"/>
  <c r="BC188" i="1"/>
  <c r="BJ188" i="1"/>
  <c r="BM188" i="1"/>
  <c r="BS188" i="1"/>
  <c r="BU188" i="1"/>
  <c r="BW188" i="1"/>
  <c r="CI188" i="1"/>
  <c r="CK247" i="1"/>
  <c r="AF69" i="1"/>
  <c r="AJ69" i="1"/>
  <c r="AN69" i="1"/>
  <c r="AP69" i="1"/>
  <c r="BD69" i="1"/>
  <c r="BG69" i="1"/>
  <c r="BI69" i="1"/>
  <c r="F29" i="1"/>
  <c r="BL30" i="1"/>
  <c r="CK30" i="1"/>
  <c r="F33" i="1"/>
  <c r="CB33" i="1"/>
  <c r="BA40" i="1"/>
  <c r="BL46" i="1"/>
  <c r="CC46" i="1"/>
  <c r="CB54" i="1"/>
  <c r="J74" i="1"/>
  <c r="CB76" i="1"/>
  <c r="BV188" i="1"/>
  <c r="BA145" i="1"/>
  <c r="BW130" i="1"/>
  <c r="BY130" i="1"/>
  <c r="CD130" i="1"/>
  <c r="CI130" i="1"/>
  <c r="CM130" i="1"/>
  <c r="CN130" i="1"/>
  <c r="BA151" i="1"/>
  <c r="BA155" i="1"/>
  <c r="BA156" i="1"/>
  <c r="CN175" i="1"/>
  <c r="CE188" i="1"/>
  <c r="CD188" i="1"/>
  <c r="CB261" i="1"/>
  <c r="N290" i="1"/>
  <c r="K119" i="1"/>
  <c r="M119" i="1"/>
  <c r="R119" i="1"/>
  <c r="Y119" i="1"/>
  <c r="AJ119" i="1"/>
  <c r="AR119" i="1"/>
  <c r="BI119" i="1"/>
  <c r="R92" i="1"/>
  <c r="W92" i="1"/>
  <c r="AP92" i="1"/>
  <c r="AR92" i="1"/>
  <c r="AV92" i="1"/>
  <c r="BI92" i="1"/>
  <c r="BA98" i="1"/>
  <c r="F133" i="1"/>
  <c r="AE148" i="1"/>
  <c r="AI247" i="1"/>
  <c r="H290" i="1"/>
  <c r="K290" i="1"/>
  <c r="M290" i="1"/>
  <c r="O290" i="1"/>
  <c r="R290" i="1"/>
  <c r="T290" i="1"/>
  <c r="W290" i="1"/>
  <c r="AA290" i="1"/>
  <c r="AC290" i="1"/>
  <c r="AJ290" i="1"/>
  <c r="AL290" i="1"/>
  <c r="AP290" i="1"/>
  <c r="AR290" i="1"/>
  <c r="AT290" i="1"/>
  <c r="BD290" i="1"/>
  <c r="BS290" i="1"/>
  <c r="BW290" i="1"/>
  <c r="AG290" i="1"/>
  <c r="AQ290" i="1"/>
  <c r="AX290" i="1"/>
  <c r="CM290" i="1"/>
  <c r="AB290" i="1"/>
  <c r="CD290" i="1"/>
  <c r="BB124" i="1"/>
  <c r="F220" i="1"/>
  <c r="F259" i="1"/>
  <c r="BF26" i="1"/>
  <c r="P30" i="1"/>
  <c r="F213" i="1"/>
  <c r="F214" i="1"/>
  <c r="F216" i="1"/>
  <c r="F217" i="1"/>
  <c r="F218" i="1"/>
  <c r="F219" i="1"/>
  <c r="F251" i="1"/>
  <c r="F254" i="1"/>
  <c r="F256" i="1"/>
  <c r="F260" i="1"/>
  <c r="F266" i="1"/>
  <c r="BA34" i="1"/>
  <c r="CB36" i="1"/>
  <c r="F38" i="1"/>
  <c r="CB38" i="1"/>
  <c r="CB39" i="1"/>
  <c r="F81" i="1"/>
  <c r="I93" i="1"/>
  <c r="U93" i="1"/>
  <c r="BA94" i="1"/>
  <c r="CC93" i="1"/>
  <c r="BF93" i="1"/>
  <c r="BO93" i="1"/>
  <c r="F98" i="1"/>
  <c r="F99" i="1"/>
  <c r="BA99" i="1"/>
  <c r="CB99" i="1"/>
  <c r="F101" i="1"/>
  <c r="F102" i="1"/>
  <c r="BA102" i="1"/>
  <c r="BA189" i="1"/>
  <c r="F248" i="1"/>
  <c r="F252" i="1"/>
  <c r="AH290" i="1"/>
  <c r="BA314" i="1"/>
  <c r="F318" i="1"/>
  <c r="CB310" i="1"/>
  <c r="CE290" i="1"/>
  <c r="CC309" i="1"/>
  <c r="AZ290" i="1"/>
  <c r="BG290" i="1"/>
  <c r="BM290" i="1"/>
  <c r="BU290" i="1"/>
  <c r="BY290" i="1"/>
  <c r="G290" i="1"/>
  <c r="L290" i="1"/>
  <c r="AI290" i="1"/>
  <c r="AK290" i="1"/>
  <c r="AO290" i="1"/>
  <c r="AS290" i="1"/>
  <c r="BI290" i="1"/>
  <c r="V290" i="1"/>
  <c r="Z290" i="1"/>
  <c r="AD290" i="1"/>
  <c r="BC290" i="1"/>
  <c r="H119" i="1"/>
  <c r="O119" i="1"/>
  <c r="T119" i="1"/>
  <c r="AA119" i="1"/>
  <c r="AH119" i="1"/>
  <c r="AL119" i="1"/>
  <c r="AP119" i="1"/>
  <c r="AV119" i="1"/>
  <c r="BG119" i="1"/>
  <c r="Z23" i="1"/>
  <c r="K55" i="1"/>
  <c r="L74" i="1"/>
  <c r="N74" i="1"/>
  <c r="R74" i="1"/>
  <c r="V74" i="1"/>
  <c r="X74" i="1"/>
  <c r="Z74" i="1"/>
  <c r="AD74" i="1"/>
  <c r="AG74" i="1"/>
  <c r="AI74" i="1"/>
  <c r="AM74" i="1"/>
  <c r="AO74" i="1"/>
  <c r="AS74" i="1"/>
  <c r="AX74" i="1"/>
  <c r="BC74" i="1"/>
  <c r="BE74" i="1"/>
  <c r="BG74" i="1"/>
  <c r="BI74" i="1"/>
  <c r="BV74" i="1"/>
  <c r="BX74" i="1"/>
  <c r="BZ74" i="1"/>
  <c r="Q74" i="1"/>
  <c r="BJ74" i="1"/>
  <c r="BM74" i="1"/>
  <c r="BQ74" i="1"/>
  <c r="BS74" i="1"/>
  <c r="BW74" i="1"/>
  <c r="CM74" i="1"/>
  <c r="CN74" i="1"/>
  <c r="O69" i="1"/>
  <c r="AH74" i="1"/>
  <c r="M74" i="1"/>
  <c r="Y92" i="1"/>
  <c r="J130" i="1"/>
  <c r="L130" i="1"/>
  <c r="J175" i="1"/>
  <c r="BO72" i="1"/>
  <c r="BA73" i="1"/>
  <c r="BF84" i="1"/>
  <c r="BA85" i="1"/>
  <c r="I90" i="1"/>
  <c r="F91" i="1"/>
  <c r="BF90" i="1"/>
  <c r="BA91" i="1"/>
  <c r="F95" i="1"/>
  <c r="P93" i="1"/>
  <c r="F97" i="1"/>
  <c r="BF146" i="1"/>
  <c r="BA147" i="1"/>
  <c r="I148" i="1"/>
  <c r="F149" i="1"/>
  <c r="BL148" i="1"/>
  <c r="BA149" i="1"/>
  <c r="BA87" i="1"/>
  <c r="CB145" i="1"/>
  <c r="BA97" i="1"/>
  <c r="BL93" i="1"/>
  <c r="BL153" i="1"/>
  <c r="CB97" i="1"/>
  <c r="F147" i="1"/>
  <c r="CF30" i="1"/>
  <c r="BF46" i="1"/>
  <c r="BL53" i="1"/>
  <c r="P56" i="1"/>
  <c r="F57" i="1"/>
  <c r="T74" i="1"/>
  <c r="F79" i="1"/>
  <c r="I135" i="1"/>
  <c r="BO135" i="1"/>
  <c r="F154" i="1"/>
  <c r="F163" i="1"/>
  <c r="F155" i="1"/>
  <c r="O130" i="1"/>
  <c r="BA137" i="1"/>
  <c r="F136" i="1"/>
  <c r="F132" i="1"/>
  <c r="AE77" i="1"/>
  <c r="T69" i="1"/>
  <c r="F71" i="1"/>
  <c r="I70" i="1"/>
  <c r="F34" i="1"/>
  <c r="CF104" i="1" l="1"/>
  <c r="P104" i="1"/>
  <c r="CC104" i="1"/>
  <c r="BB104" i="1"/>
  <c r="BL104" i="1"/>
  <c r="AE139" i="1"/>
  <c r="U104" i="1"/>
  <c r="CK104" i="1"/>
  <c r="BO104" i="1"/>
  <c r="BF104" i="1"/>
  <c r="I104" i="1"/>
  <c r="AE104" i="1"/>
  <c r="CB139" i="1"/>
  <c r="BA139" i="1"/>
  <c r="BF23" i="1"/>
  <c r="F229" i="1"/>
  <c r="X166" i="1"/>
  <c r="CE166" i="1"/>
  <c r="R166" i="1"/>
  <c r="AR166" i="1"/>
  <c r="CB291" i="1"/>
  <c r="AE291" i="1"/>
  <c r="AI166" i="1"/>
  <c r="AH232" i="1"/>
  <c r="BA306" i="1"/>
  <c r="F306" i="1"/>
  <c r="CB306" i="1"/>
  <c r="BA229" i="1"/>
  <c r="BA291" i="1"/>
  <c r="H112" i="1"/>
  <c r="O166" i="1"/>
  <c r="BF112" i="1"/>
  <c r="G166" i="1"/>
  <c r="E236" i="1"/>
  <c r="AZ166" i="1"/>
  <c r="CB229" i="1"/>
  <c r="AH166" i="1"/>
  <c r="CK112" i="1"/>
  <c r="BB112" i="1"/>
  <c r="I112" i="1"/>
  <c r="P112" i="1"/>
  <c r="BL166" i="1"/>
  <c r="BO166" i="1"/>
  <c r="AE112" i="1"/>
  <c r="CF166" i="1"/>
  <c r="BO112" i="1"/>
  <c r="N166" i="1"/>
  <c r="BB166" i="1"/>
  <c r="T166" i="1"/>
  <c r="BF166" i="1"/>
  <c r="H166" i="1"/>
  <c r="CC112" i="1"/>
  <c r="U112" i="1"/>
  <c r="BL112" i="1"/>
  <c r="CF112" i="1"/>
  <c r="CB96" i="1"/>
  <c r="F96" i="1"/>
  <c r="BA96" i="1"/>
  <c r="F302" i="1"/>
  <c r="BB66" i="1"/>
  <c r="BO66" i="1"/>
  <c r="CK66" i="1"/>
  <c r="BF66" i="1"/>
  <c r="CF66" i="1"/>
  <c r="AE66" i="1"/>
  <c r="U66" i="1"/>
  <c r="BL66" i="1"/>
  <c r="P66" i="1"/>
  <c r="F310" i="1"/>
  <c r="CC66" i="1"/>
  <c r="I66" i="1"/>
  <c r="H66" i="1"/>
  <c r="G66" i="1"/>
  <c r="I309" i="1"/>
  <c r="BA125" i="1"/>
  <c r="CB113" i="1"/>
  <c r="F125" i="1"/>
  <c r="CB125" i="1"/>
  <c r="BA113" i="1"/>
  <c r="F113" i="1"/>
  <c r="AX23" i="1"/>
  <c r="CC109" i="1"/>
  <c r="AQ74" i="1"/>
  <c r="W23" i="1"/>
  <c r="CB146" i="1"/>
  <c r="CB120" i="1"/>
  <c r="J290" i="1"/>
  <c r="AP23" i="1"/>
  <c r="CA256" i="1"/>
  <c r="AZ23" i="1"/>
  <c r="CA83" i="1"/>
  <c r="CB58" i="1"/>
  <c r="CA124" i="1"/>
  <c r="CB77" i="1"/>
  <c r="E150" i="1"/>
  <c r="CA132" i="1"/>
  <c r="F227" i="1"/>
  <c r="CC135" i="1"/>
  <c r="CA81" i="1"/>
  <c r="AE135" i="1"/>
  <c r="F120" i="1"/>
  <c r="CA91" i="1"/>
  <c r="BB109" i="1"/>
  <c r="F144" i="1"/>
  <c r="CA262" i="1"/>
  <c r="CF109" i="1"/>
  <c r="CA225" i="1"/>
  <c r="CA248" i="1"/>
  <c r="F313" i="1"/>
  <c r="F129" i="1"/>
  <c r="H69" i="1"/>
  <c r="CE152" i="1"/>
  <c r="CE74" i="1"/>
  <c r="AK23" i="1"/>
  <c r="R23" i="1"/>
  <c r="CB227" i="1"/>
  <c r="AA74" i="1"/>
  <c r="F49" i="1"/>
  <c r="E108" i="1"/>
  <c r="CB195" i="1"/>
  <c r="CA205" i="1"/>
  <c r="CB176" i="1"/>
  <c r="AS130" i="1"/>
  <c r="AR152" i="1"/>
  <c r="CB199" i="1"/>
  <c r="BL232" i="1"/>
  <c r="AE128" i="1"/>
  <c r="H92" i="1"/>
  <c r="F157" i="1"/>
  <c r="CB131" i="1"/>
  <c r="E281" i="1"/>
  <c r="CB62" i="1"/>
  <c r="CB315" i="1"/>
  <c r="E249" i="1"/>
  <c r="E265" i="1"/>
  <c r="E261" i="1"/>
  <c r="BF232" i="1"/>
  <c r="CA269" i="1"/>
  <c r="BO232" i="1"/>
  <c r="F315" i="1"/>
  <c r="BA309" i="1"/>
  <c r="CA255" i="1"/>
  <c r="F286" i="1"/>
  <c r="E262" i="1"/>
  <c r="CB313" i="1"/>
  <c r="CA316" i="1"/>
  <c r="BO222" i="1"/>
  <c r="BA288" i="1"/>
  <c r="CA233" i="1"/>
  <c r="CC222" i="1"/>
  <c r="CA263" i="1"/>
  <c r="CA257" i="1"/>
  <c r="CA242" i="1"/>
  <c r="BA315" i="1"/>
  <c r="CA260" i="1"/>
  <c r="CB317" i="1"/>
  <c r="CA221" i="1"/>
  <c r="CB272" i="1"/>
  <c r="E276" i="1"/>
  <c r="E279" i="1"/>
  <c r="E278" i="1"/>
  <c r="CB288" i="1"/>
  <c r="CA276" i="1"/>
  <c r="BA317" i="1"/>
  <c r="CA278" i="1"/>
  <c r="CA259" i="1"/>
  <c r="CA177" i="1"/>
  <c r="I188" i="1"/>
  <c r="O175" i="1"/>
  <c r="CA287" i="1"/>
  <c r="F181" i="1"/>
  <c r="CA169" i="1"/>
  <c r="E255" i="1"/>
  <c r="E280" i="1"/>
  <c r="CA253" i="1"/>
  <c r="CA236" i="1"/>
  <c r="BB222" i="1"/>
  <c r="BL222" i="1"/>
  <c r="CB286" i="1"/>
  <c r="CA228" i="1"/>
  <c r="CA265" i="1"/>
  <c r="BA197" i="1"/>
  <c r="CA187" i="1"/>
  <c r="CA281" i="1"/>
  <c r="CA179" i="1"/>
  <c r="CA220" i="1"/>
  <c r="CA254" i="1"/>
  <c r="CK222" i="1"/>
  <c r="E185" i="1"/>
  <c r="CA267" i="1"/>
  <c r="U170" i="1"/>
  <c r="CA206" i="1"/>
  <c r="E316" i="1"/>
  <c r="F172" i="1"/>
  <c r="BA272" i="1"/>
  <c r="CA312" i="1"/>
  <c r="BF152" i="1"/>
  <c r="E264" i="1"/>
  <c r="BB232" i="1"/>
  <c r="BA196" i="1"/>
  <c r="F288" i="1"/>
  <c r="CA142" i="1"/>
  <c r="H188" i="1"/>
  <c r="AZ152" i="1"/>
  <c r="E162" i="1"/>
  <c r="BA181" i="1"/>
  <c r="CA200" i="1"/>
  <c r="E263" i="1"/>
  <c r="E275" i="1"/>
  <c r="CA249" i="1"/>
  <c r="CA192" i="1"/>
  <c r="CA266" i="1"/>
  <c r="BA286" i="1"/>
  <c r="CA216" i="1"/>
  <c r="CA243" i="1"/>
  <c r="AM226" i="1"/>
  <c r="E307" i="1"/>
  <c r="CA215" i="1"/>
  <c r="CA285" i="1"/>
  <c r="CA289" i="1"/>
  <c r="CB148" i="1"/>
  <c r="CA71" i="1"/>
  <c r="CB67" i="1"/>
  <c r="F60" i="1"/>
  <c r="F44" i="1"/>
  <c r="E134" i="1"/>
  <c r="E269" i="1"/>
  <c r="E121" i="1"/>
  <c r="BL175" i="1"/>
  <c r="CA121" i="1"/>
  <c r="BA227" i="1"/>
  <c r="E289" i="1"/>
  <c r="E164" i="1"/>
  <c r="CB178" i="1"/>
  <c r="F137" i="1"/>
  <c r="CA217" i="1"/>
  <c r="E257" i="1"/>
  <c r="E207" i="1"/>
  <c r="BF222" i="1"/>
  <c r="BA107" i="1"/>
  <c r="CA218" i="1"/>
  <c r="CA230" i="1"/>
  <c r="I222" i="1"/>
  <c r="CA108" i="1"/>
  <c r="CA214" i="1"/>
  <c r="E158" i="1"/>
  <c r="CB304" i="1"/>
  <c r="BA184" i="1"/>
  <c r="E243" i="1"/>
  <c r="CA208" i="1"/>
  <c r="CA305" i="1"/>
  <c r="F184" i="1"/>
  <c r="CA219" i="1"/>
  <c r="N23" i="1"/>
  <c r="U152" i="1"/>
  <c r="P188" i="1"/>
  <c r="CB181" i="1"/>
  <c r="J232" i="1"/>
  <c r="BO152" i="1"/>
  <c r="CA182" i="1"/>
  <c r="AE46" i="1"/>
  <c r="CB107" i="1"/>
  <c r="AE26" i="1"/>
  <c r="F27" i="1"/>
  <c r="F87" i="1"/>
  <c r="L226" i="1"/>
  <c r="AM23" i="1"/>
  <c r="AU226" i="1"/>
  <c r="S226" i="1"/>
  <c r="CA149" i="1"/>
  <c r="CA43" i="1"/>
  <c r="CE23" i="1"/>
  <c r="CB64" i="1"/>
  <c r="Y23" i="1"/>
  <c r="AC232" i="1"/>
  <c r="F201" i="1"/>
  <c r="E200" i="1"/>
  <c r="CA102" i="1"/>
  <c r="BA311" i="1"/>
  <c r="E233" i="1"/>
  <c r="AE109" i="1"/>
  <c r="CA49" i="1"/>
  <c r="F58" i="1"/>
  <c r="BA199" i="1"/>
  <c r="BB175" i="1"/>
  <c r="F117" i="1"/>
  <c r="CA141" i="1"/>
  <c r="CA189" i="1"/>
  <c r="CA207" i="1"/>
  <c r="CA150" i="1"/>
  <c r="CA111" i="1"/>
  <c r="CA163" i="1"/>
  <c r="CA180" i="1"/>
  <c r="CB191" i="1"/>
  <c r="CA202" i="1"/>
  <c r="E204" i="1"/>
  <c r="CA224" i="1"/>
  <c r="CA42" i="1"/>
  <c r="CA89" i="1"/>
  <c r="BA201" i="1"/>
  <c r="CF222" i="1"/>
  <c r="CA183" i="1"/>
  <c r="P222" i="1"/>
  <c r="E208" i="1"/>
  <c r="F195" i="1"/>
  <c r="CB184" i="1"/>
  <c r="CB80" i="1"/>
  <c r="E193" i="1"/>
  <c r="CB90" i="1"/>
  <c r="E258" i="1"/>
  <c r="CB86" i="1"/>
  <c r="CA79" i="1"/>
  <c r="E183" i="1"/>
  <c r="F179" i="1"/>
  <c r="CA151" i="1"/>
  <c r="CA196" i="1"/>
  <c r="F311" i="1"/>
  <c r="CA314" i="1"/>
  <c r="CA280" i="1"/>
  <c r="U109" i="1"/>
  <c r="CB309" i="1"/>
  <c r="U211" i="1"/>
  <c r="T232" i="1"/>
  <c r="BT226" i="1"/>
  <c r="BC226" i="1"/>
  <c r="AE160" i="1"/>
  <c r="BG226" i="1"/>
  <c r="AI23" i="1"/>
  <c r="F24" i="1"/>
  <c r="CB24" i="1"/>
  <c r="F72" i="1"/>
  <c r="BA70" i="1"/>
  <c r="CA63" i="1"/>
  <c r="CA61" i="1"/>
  <c r="BA51" i="1"/>
  <c r="CB117" i="1"/>
  <c r="F51" i="1"/>
  <c r="BA24" i="1"/>
  <c r="E59" i="1"/>
  <c r="H175" i="1"/>
  <c r="BO175" i="1"/>
  <c r="CK188" i="1"/>
  <c r="F80" i="1"/>
  <c r="J152" i="1"/>
  <c r="CB110" i="1"/>
  <c r="F197" i="1"/>
  <c r="CB203" i="1"/>
  <c r="CA59" i="1"/>
  <c r="BA160" i="1"/>
  <c r="E159" i="1"/>
  <c r="BA128" i="1"/>
  <c r="CB211" i="1"/>
  <c r="F176" i="1"/>
  <c r="Z232" i="1"/>
  <c r="CB311" i="1"/>
  <c r="CK175" i="1"/>
  <c r="CA190" i="1"/>
  <c r="CF232" i="1"/>
  <c r="BD226" i="1"/>
  <c r="AS226" i="1"/>
  <c r="M226" i="1"/>
  <c r="O152" i="1"/>
  <c r="P130" i="1"/>
  <c r="AM130" i="1"/>
  <c r="AE69" i="1"/>
  <c r="CA307" i="1"/>
  <c r="CA101" i="1"/>
  <c r="CC69" i="1"/>
  <c r="BA178" i="1"/>
  <c r="F123" i="1"/>
  <c r="AZ232" i="1"/>
  <c r="Y232" i="1"/>
  <c r="F43" i="1"/>
  <c r="CA268" i="1"/>
  <c r="BA304" i="1"/>
  <c r="BA120" i="1"/>
  <c r="CA162" i="1"/>
  <c r="CK109" i="1"/>
  <c r="E192" i="1"/>
  <c r="CA318" i="1"/>
  <c r="CA279" i="1"/>
  <c r="CA275" i="1"/>
  <c r="CA185" i="1"/>
  <c r="BA157" i="1"/>
  <c r="E285" i="1"/>
  <c r="BL109" i="1"/>
  <c r="BA77" i="1"/>
  <c r="CA73" i="1"/>
  <c r="BB69" i="1"/>
  <c r="CB44" i="1"/>
  <c r="E287" i="1"/>
  <c r="BA75" i="1"/>
  <c r="F64" i="1"/>
  <c r="F62" i="1"/>
  <c r="BA58" i="1"/>
  <c r="CA35" i="1"/>
  <c r="I109" i="1"/>
  <c r="G152" i="1"/>
  <c r="BY23" i="1"/>
  <c r="E253" i="1"/>
  <c r="E224" i="1"/>
  <c r="CA78" i="1"/>
  <c r="I46" i="1"/>
  <c r="CA94" i="1"/>
  <c r="F88" i="1"/>
  <c r="BA64" i="1"/>
  <c r="CB51" i="1"/>
  <c r="CA213" i="1"/>
  <c r="CA210" i="1"/>
  <c r="E141" i="1"/>
  <c r="E205" i="1"/>
  <c r="CE130" i="1"/>
  <c r="CA129" i="1"/>
  <c r="BA223" i="1"/>
  <c r="CF130" i="1"/>
  <c r="CA171" i="1"/>
  <c r="CB197" i="1"/>
  <c r="CB82" i="1"/>
  <c r="CK152" i="1"/>
  <c r="CA165" i="1"/>
  <c r="CB186" i="1"/>
  <c r="E198" i="1"/>
  <c r="K23" i="1"/>
  <c r="F107" i="1"/>
  <c r="BB152" i="1"/>
  <c r="E212" i="1"/>
  <c r="F186" i="1"/>
  <c r="E228" i="1"/>
  <c r="E190" i="1"/>
  <c r="CF152" i="1"/>
  <c r="CB137" i="1"/>
  <c r="CA134" i="1"/>
  <c r="CB123" i="1"/>
  <c r="F304" i="1"/>
  <c r="F272" i="1"/>
  <c r="CA68" i="1"/>
  <c r="CA158" i="1"/>
  <c r="CB70" i="1"/>
  <c r="CA147" i="1"/>
  <c r="CA98" i="1"/>
  <c r="BA82" i="1"/>
  <c r="CA95" i="1"/>
  <c r="F84" i="1"/>
  <c r="CA159" i="1"/>
  <c r="CA193" i="1"/>
  <c r="I160" i="1"/>
  <c r="CA212" i="1"/>
  <c r="AE30" i="1"/>
  <c r="BB130" i="1"/>
  <c r="CC175" i="1"/>
  <c r="BB188" i="1"/>
  <c r="E142" i="1"/>
  <c r="BA131" i="1"/>
  <c r="E165" i="1"/>
  <c r="U26" i="1"/>
  <c r="CB93" i="1"/>
  <c r="E225" i="1"/>
  <c r="E187" i="1"/>
  <c r="E305" i="1"/>
  <c r="CB128" i="1"/>
  <c r="CA87" i="1"/>
  <c r="I178" i="1"/>
  <c r="CC55" i="1"/>
  <c r="BL188" i="1"/>
  <c r="BA191" i="1"/>
  <c r="E25" i="1"/>
  <c r="F28" i="1"/>
  <c r="CB60" i="1"/>
  <c r="CB223" i="1"/>
  <c r="CB157" i="1"/>
  <c r="CB201" i="1"/>
  <c r="F110" i="1"/>
  <c r="I55" i="1"/>
  <c r="CA198" i="1"/>
  <c r="CF188" i="1"/>
  <c r="F223" i="1"/>
  <c r="CA118" i="1"/>
  <c r="E312" i="1"/>
  <c r="BB92" i="1"/>
  <c r="CA194" i="1"/>
  <c r="G130" i="1"/>
  <c r="E68" i="1"/>
  <c r="E210" i="1"/>
  <c r="E194" i="1"/>
  <c r="F191" i="1"/>
  <c r="E182" i="1"/>
  <c r="E63" i="1"/>
  <c r="F67" i="1"/>
  <c r="BF188" i="1"/>
  <c r="E78" i="1"/>
  <c r="CA45" i="1"/>
  <c r="E47" i="1"/>
  <c r="F203" i="1"/>
  <c r="BL290" i="1"/>
  <c r="E180" i="1"/>
  <c r="U130" i="1"/>
  <c r="CB88" i="1"/>
  <c r="E79" i="1"/>
  <c r="CA25" i="1"/>
  <c r="CA65" i="1"/>
  <c r="CB72" i="1"/>
  <c r="E35" i="1"/>
  <c r="E45" i="1"/>
  <c r="BA176" i="1"/>
  <c r="CA164" i="1"/>
  <c r="CA133" i="1"/>
  <c r="CA209" i="1"/>
  <c r="CC247" i="1"/>
  <c r="CA31" i="1"/>
  <c r="CB46" i="1"/>
  <c r="G74" i="1"/>
  <c r="E61" i="1"/>
  <c r="BO203" i="1"/>
  <c r="AE170" i="1"/>
  <c r="E202" i="1"/>
  <c r="BA167" i="1"/>
  <c r="BF290" i="1"/>
  <c r="AG226" i="1"/>
  <c r="CM226" i="1"/>
  <c r="AR226" i="1"/>
  <c r="E215" i="1"/>
  <c r="BM226" i="1"/>
  <c r="AK130" i="1"/>
  <c r="AW290" i="1"/>
  <c r="BE226" i="1"/>
  <c r="BY226" i="1"/>
  <c r="U119" i="1"/>
  <c r="BA211" i="1"/>
  <c r="BA170" i="1"/>
  <c r="BA80" i="1"/>
  <c r="CA48" i="1"/>
  <c r="E171" i="1"/>
  <c r="CA251" i="1"/>
  <c r="CA204" i="1"/>
  <c r="CA302" i="1"/>
  <c r="BO30" i="1"/>
  <c r="G55" i="1"/>
  <c r="BZ188" i="1"/>
  <c r="F199" i="1"/>
  <c r="G69" i="1"/>
  <c r="BA247" i="1"/>
  <c r="BA67" i="1"/>
  <c r="BO195" i="1"/>
  <c r="AE222" i="1"/>
  <c r="BA110" i="1"/>
  <c r="CA57" i="1"/>
  <c r="CB56" i="1"/>
  <c r="G23" i="1"/>
  <c r="E267" i="1"/>
  <c r="E111" i="1"/>
  <c r="U167" i="1"/>
  <c r="G109" i="1"/>
  <c r="F53" i="1"/>
  <c r="E39" i="1"/>
  <c r="E213" i="1"/>
  <c r="E65" i="1"/>
  <c r="BA60" i="1"/>
  <c r="U55" i="1"/>
  <c r="E133" i="1"/>
  <c r="G175" i="1"/>
  <c r="CC84" i="1"/>
  <c r="E48" i="1"/>
  <c r="P46" i="1"/>
  <c r="AI130" i="1"/>
  <c r="P152" i="1"/>
  <c r="I119" i="1"/>
  <c r="AW226" i="1"/>
  <c r="BI226" i="1"/>
  <c r="E268" i="1"/>
  <c r="CA50" i="1"/>
  <c r="BU226" i="1"/>
  <c r="Q226" i="1"/>
  <c r="F76" i="1"/>
  <c r="AD226" i="1"/>
  <c r="F37" i="1"/>
  <c r="BA44" i="1"/>
  <c r="AE55" i="1"/>
  <c r="CB41" i="1"/>
  <c r="F32" i="1"/>
  <c r="CK55" i="1"/>
  <c r="U46" i="1"/>
  <c r="BF55" i="1"/>
  <c r="F82" i="1"/>
  <c r="BL74" i="1"/>
  <c r="E94" i="1"/>
  <c r="P74" i="1"/>
  <c r="BQ226" i="1"/>
  <c r="F50" i="1"/>
  <c r="BA27" i="1"/>
  <c r="BB23" i="1"/>
  <c r="CF55" i="1"/>
  <c r="E42" i="1"/>
  <c r="AQ226" i="1"/>
  <c r="AX226" i="1"/>
  <c r="CK92" i="1"/>
  <c r="CK290" i="1"/>
  <c r="AH23" i="1"/>
  <c r="H226" i="1"/>
  <c r="CA32" i="1"/>
  <c r="CA40" i="1"/>
  <c r="U175" i="1"/>
  <c r="BP226" i="1"/>
  <c r="CF74" i="1"/>
  <c r="CB270" i="1"/>
  <c r="AS152" i="1"/>
  <c r="E83" i="1"/>
  <c r="BJ226" i="1"/>
  <c r="CN226" i="1"/>
  <c r="AP226" i="1"/>
  <c r="BA56" i="1"/>
  <c r="I247" i="1"/>
  <c r="CA47" i="1"/>
  <c r="P69" i="1"/>
  <c r="BB55" i="1"/>
  <c r="BO290" i="1"/>
  <c r="AZ119" i="1"/>
  <c r="G188" i="1"/>
  <c r="AE247" i="1"/>
  <c r="BB74" i="1"/>
  <c r="AB226" i="1"/>
  <c r="CD226" i="1"/>
  <c r="K226" i="1"/>
  <c r="CA34" i="1"/>
  <c r="CB37" i="1"/>
  <c r="CK23" i="1"/>
  <c r="BS226" i="1"/>
  <c r="CA27" i="1"/>
  <c r="BO55" i="1"/>
  <c r="CA155" i="1"/>
  <c r="P290" i="1"/>
  <c r="AN226" i="1"/>
  <c r="CC30" i="1"/>
  <c r="I30" i="1"/>
  <c r="BL55" i="1"/>
  <c r="E33" i="1"/>
  <c r="CB153" i="1"/>
  <c r="BO74" i="1"/>
  <c r="CC188" i="1"/>
  <c r="G226" i="1"/>
  <c r="U247" i="1"/>
  <c r="F41" i="1"/>
  <c r="U290" i="1"/>
  <c r="AB188" i="1"/>
  <c r="CB85" i="1"/>
  <c r="AV226" i="1"/>
  <c r="AF226" i="1"/>
  <c r="H152" i="1"/>
  <c r="O23" i="1"/>
  <c r="E31" i="1"/>
  <c r="BA62" i="1"/>
  <c r="BF92" i="1"/>
  <c r="BB290" i="1"/>
  <c r="AE92" i="1"/>
  <c r="I130" i="1"/>
  <c r="E250" i="1"/>
  <c r="CA29" i="1"/>
  <c r="E154" i="1"/>
  <c r="BA53" i="1"/>
  <c r="BA148" i="1"/>
  <c r="BA146" i="1"/>
  <c r="P92" i="1"/>
  <c r="BA90" i="1"/>
  <c r="I92" i="1"/>
  <c r="E217" i="1"/>
  <c r="I69" i="1"/>
  <c r="BL23" i="1"/>
  <c r="BA46" i="1"/>
  <c r="BL130" i="1"/>
  <c r="BF130" i="1"/>
  <c r="E95" i="1"/>
  <c r="BA93" i="1"/>
  <c r="E214" i="1"/>
  <c r="CC92" i="1"/>
  <c r="E81" i="1"/>
  <c r="E266" i="1"/>
  <c r="E216" i="1"/>
  <c r="E259" i="1"/>
  <c r="CA250" i="1"/>
  <c r="E156" i="1"/>
  <c r="BA144" i="1"/>
  <c r="E40" i="1"/>
  <c r="CI290" i="1"/>
  <c r="BF175" i="1"/>
  <c r="AT226" i="1"/>
  <c r="AL226" i="1"/>
  <c r="F242" i="1"/>
  <c r="BZ226" i="1"/>
  <c r="BR226" i="1"/>
  <c r="CB161" i="1"/>
  <c r="CC160" i="1"/>
  <c r="AJ130" i="1"/>
  <c r="H130" i="1"/>
  <c r="BF119" i="1"/>
  <c r="BF109" i="1"/>
  <c r="F146" i="1"/>
  <c r="BL92" i="1"/>
  <c r="U92" i="1"/>
  <c r="BA72" i="1"/>
  <c r="E260" i="1"/>
  <c r="BA153" i="1"/>
  <c r="CA33" i="1"/>
  <c r="E29" i="1"/>
  <c r="R232" i="1"/>
  <c r="CA264" i="1"/>
  <c r="F221" i="1"/>
  <c r="K74" i="1"/>
  <c r="BA209" i="1"/>
  <c r="AA232" i="1"/>
  <c r="I170" i="1"/>
  <c r="H23" i="1"/>
  <c r="CA156" i="1"/>
  <c r="CA154" i="1"/>
  <c r="CC119" i="1"/>
  <c r="CK69" i="1"/>
  <c r="CN290" i="1"/>
  <c r="AO226" i="1"/>
  <c r="BO119" i="1"/>
  <c r="CK74" i="1"/>
  <c r="U75" i="1"/>
  <c r="CE232" i="1"/>
  <c r="CC167" i="1"/>
  <c r="CB168" i="1"/>
  <c r="AE167" i="1"/>
  <c r="F270" i="1"/>
  <c r="P167" i="1"/>
  <c r="H109" i="1"/>
  <c r="CF175" i="1"/>
  <c r="N152" i="1"/>
  <c r="BL119" i="1"/>
  <c r="BL69" i="1"/>
  <c r="AE188" i="1"/>
  <c r="BF69" i="1"/>
  <c r="CF92" i="1"/>
  <c r="CA39" i="1"/>
  <c r="CA36" i="1"/>
  <c r="E219" i="1"/>
  <c r="E136" i="1"/>
  <c r="P55" i="1"/>
  <c r="CF23" i="1"/>
  <c r="BO69" i="1"/>
  <c r="E248" i="1"/>
  <c r="CA99" i="1"/>
  <c r="BO92" i="1"/>
  <c r="CA38" i="1"/>
  <c r="E256" i="1"/>
  <c r="E218" i="1"/>
  <c r="F271" i="1"/>
  <c r="CA258" i="1"/>
  <c r="BA186" i="1"/>
  <c r="CA28" i="1"/>
  <c r="CB26" i="1"/>
  <c r="CI226" i="1"/>
  <c r="BV226" i="1"/>
  <c r="CA136" i="1"/>
  <c r="CF119" i="1"/>
  <c r="P119" i="1"/>
  <c r="P109" i="1"/>
  <c r="F70" i="1"/>
  <c r="BA135" i="1"/>
  <c r="BO130" i="1"/>
  <c r="E163" i="1"/>
  <c r="F77" i="1"/>
  <c r="BL152" i="1"/>
  <c r="E101" i="1"/>
  <c r="E38" i="1"/>
  <c r="E254" i="1"/>
  <c r="E220" i="1"/>
  <c r="E151" i="1"/>
  <c r="BY188" i="1"/>
  <c r="CK170" i="1"/>
  <c r="CB172" i="1"/>
  <c r="AK232" i="1"/>
  <c r="F169" i="1"/>
  <c r="H74" i="1"/>
  <c r="F143" i="1"/>
  <c r="AE75" i="1"/>
  <c r="BX226" i="1"/>
  <c r="U222" i="1"/>
  <c r="BO109" i="1"/>
  <c r="I86" i="1"/>
  <c r="CF69" i="1"/>
  <c r="CB271" i="1"/>
  <c r="BA206" i="1"/>
  <c r="BE119" i="1"/>
  <c r="X232" i="1"/>
  <c r="H55" i="1"/>
  <c r="BW226" i="1"/>
  <c r="P175" i="1"/>
  <c r="F161" i="1"/>
  <c r="CK119" i="1"/>
  <c r="U69" i="1"/>
  <c r="U30" i="1"/>
  <c r="E36" i="1"/>
  <c r="CA143" i="1"/>
  <c r="E34" i="1"/>
  <c r="CF290" i="1"/>
  <c r="CC290" i="1"/>
  <c r="CA310" i="1"/>
  <c r="CA252" i="1"/>
  <c r="O232" i="1"/>
  <c r="N232" i="1"/>
  <c r="E189" i="1"/>
  <c r="CK232" i="1"/>
  <c r="CA261" i="1"/>
  <c r="AJ226" i="1"/>
  <c r="AI232" i="1"/>
  <c r="W232" i="1"/>
  <c r="V232" i="1"/>
  <c r="E252" i="1"/>
  <c r="E251" i="1"/>
  <c r="E177" i="1"/>
  <c r="AE175" i="1"/>
  <c r="CK130" i="1"/>
  <c r="CA138" i="1"/>
  <c r="E138" i="1"/>
  <c r="F168" i="1"/>
  <c r="I167" i="1"/>
  <c r="BA117" i="1"/>
  <c r="E118" i="1"/>
  <c r="BA88" i="1"/>
  <c r="E89" i="1"/>
  <c r="P247" i="1"/>
  <c r="E230" i="1"/>
  <c r="CB75" i="1"/>
  <c r="CA76" i="1"/>
  <c r="CB53" i="1"/>
  <c r="CA54" i="1"/>
  <c r="E147" i="1"/>
  <c r="E145" i="1"/>
  <c r="E99" i="1"/>
  <c r="E98" i="1"/>
  <c r="BA124" i="1"/>
  <c r="BB123" i="1"/>
  <c r="E102" i="1"/>
  <c r="E314" i="1"/>
  <c r="BA313" i="1"/>
  <c r="F317" i="1"/>
  <c r="E318" i="1"/>
  <c r="E57" i="1"/>
  <c r="F56" i="1"/>
  <c r="E54" i="1"/>
  <c r="CB144" i="1"/>
  <c r="CA145" i="1"/>
  <c r="E149" i="1"/>
  <c r="F90" i="1"/>
  <c r="E91" i="1"/>
  <c r="BA84" i="1"/>
  <c r="E85" i="1"/>
  <c r="E73" i="1"/>
  <c r="F148" i="1"/>
  <c r="CA97" i="1"/>
  <c r="BA86" i="1"/>
  <c r="E97" i="1"/>
  <c r="BF74" i="1"/>
  <c r="F93" i="1"/>
  <c r="F153" i="1"/>
  <c r="E155" i="1"/>
  <c r="E132" i="1"/>
  <c r="F131" i="1"/>
  <c r="E71" i="1"/>
  <c r="D230" i="1" l="1"/>
  <c r="D89" i="1"/>
  <c r="D305" i="1"/>
  <c r="D316" i="1"/>
  <c r="D34" i="1"/>
  <c r="D91" i="1"/>
  <c r="D318" i="1"/>
  <c r="D99" i="1"/>
  <c r="D254" i="1"/>
  <c r="D95" i="1"/>
  <c r="AF319" i="1"/>
  <c r="D83" i="1"/>
  <c r="AD319" i="1"/>
  <c r="D111" i="1"/>
  <c r="AG319" i="1"/>
  <c r="D182" i="1"/>
  <c r="D312" i="1"/>
  <c r="D97" i="1"/>
  <c r="D248" i="1"/>
  <c r="AL319" i="1"/>
  <c r="D259" i="1"/>
  <c r="AV319" i="1"/>
  <c r="CD319" i="1"/>
  <c r="D267" i="1"/>
  <c r="BC319" i="1"/>
  <c r="S319" i="1"/>
  <c r="D257" i="1"/>
  <c r="D147" i="1"/>
  <c r="D101" i="1"/>
  <c r="AO319" i="1"/>
  <c r="AT319" i="1"/>
  <c r="Q319" i="1"/>
  <c r="D65" i="1"/>
  <c r="D171" i="1"/>
  <c r="D194" i="1"/>
  <c r="D142" i="1"/>
  <c r="D228" i="1"/>
  <c r="BT319" i="1"/>
  <c r="AU319" i="1"/>
  <c r="BW319" i="1"/>
  <c r="D260" i="1"/>
  <c r="D266" i="1"/>
  <c r="BQ319" i="1"/>
  <c r="BU319" i="1"/>
  <c r="D213" i="1"/>
  <c r="D202" i="1"/>
  <c r="D205" i="1"/>
  <c r="D192" i="1"/>
  <c r="D189" i="1"/>
  <c r="D218" i="1"/>
  <c r="D81" i="1"/>
  <c r="BS319" i="1"/>
  <c r="BP319" i="1"/>
  <c r="BM319" i="1"/>
  <c r="D79" i="1"/>
  <c r="D78" i="1"/>
  <c r="D141" i="1"/>
  <c r="L319" i="1"/>
  <c r="D269" i="1"/>
  <c r="D73" i="1"/>
  <c r="BX319" i="1"/>
  <c r="D163" i="1"/>
  <c r="BV319" i="1"/>
  <c r="D256" i="1"/>
  <c r="D94" i="1"/>
  <c r="D215" i="1"/>
  <c r="D225" i="1"/>
  <c r="D224" i="1"/>
  <c r="D285" i="1"/>
  <c r="M319" i="1"/>
  <c r="D151" i="1"/>
  <c r="BR319" i="1"/>
  <c r="D217" i="1"/>
  <c r="D42" i="1"/>
  <c r="BI319" i="1"/>
  <c r="D233" i="1"/>
  <c r="D98" i="1"/>
  <c r="D220" i="1"/>
  <c r="AN319" i="1"/>
  <c r="BJ319" i="1"/>
  <c r="CM319" i="1"/>
  <c r="D287" i="1"/>
  <c r="BD319" i="1"/>
  <c r="BG319" i="1"/>
  <c r="D262" i="1"/>
  <c r="D190" i="1"/>
  <c r="D71" i="1"/>
  <c r="D40" i="1"/>
  <c r="D118" i="1"/>
  <c r="D219" i="1"/>
  <c r="D57" i="1"/>
  <c r="D208" i="1"/>
  <c r="D133" i="1"/>
  <c r="D38" i="1"/>
  <c r="D210" i="1"/>
  <c r="D200" i="1"/>
  <c r="D149" i="1"/>
  <c r="D216" i="1"/>
  <c r="D177" i="1"/>
  <c r="D187" i="1"/>
  <c r="D102" i="1"/>
  <c r="D252" i="1"/>
  <c r="D36" i="1"/>
  <c r="D31" i="1"/>
  <c r="D268" i="1"/>
  <c r="D183" i="1"/>
  <c r="D243" i="1"/>
  <c r="D132" i="1"/>
  <c r="D251" i="1"/>
  <c r="D155" i="1"/>
  <c r="D214" i="1"/>
  <c r="D61" i="1"/>
  <c r="D253" i="1"/>
  <c r="D314" i="1"/>
  <c r="D138" i="1"/>
  <c r="D180" i="1"/>
  <c r="D63" i="1"/>
  <c r="D136" i="1"/>
  <c r="D145" i="1"/>
  <c r="D54" i="1"/>
  <c r="D250" i="1"/>
  <c r="D45" i="1"/>
  <c r="D263" i="1"/>
  <c r="D35" i="1"/>
  <c r="D249" i="1"/>
  <c r="D289" i="1"/>
  <c r="D29" i="1"/>
  <c r="D165" i="1"/>
  <c r="D198" i="1"/>
  <c r="D159" i="1"/>
  <c r="D258" i="1"/>
  <c r="D158" i="1"/>
  <c r="D207" i="1"/>
  <c r="D276" i="1"/>
  <c r="D265" i="1"/>
  <c r="D108" i="1"/>
  <c r="D264" i="1"/>
  <c r="D280" i="1"/>
  <c r="D150" i="1"/>
  <c r="D47" i="1"/>
  <c r="D193" i="1"/>
  <c r="D162" i="1"/>
  <c r="D185" i="1"/>
  <c r="D255" i="1"/>
  <c r="D33" i="1"/>
  <c r="D59" i="1"/>
  <c r="D121" i="1"/>
  <c r="D48" i="1"/>
  <c r="D39" i="1"/>
  <c r="D68" i="1"/>
  <c r="D25" i="1"/>
  <c r="D212" i="1"/>
  <c r="D281" i="1"/>
  <c r="D154" i="1"/>
  <c r="D134" i="1"/>
  <c r="D204" i="1"/>
  <c r="D164" i="1"/>
  <c r="D307" i="1"/>
  <c r="D275" i="1"/>
  <c r="D278" i="1"/>
  <c r="D236" i="1"/>
  <c r="D156" i="1"/>
  <c r="D279" i="1"/>
  <c r="D261" i="1"/>
  <c r="BZ319" i="1"/>
  <c r="AJ319" i="1"/>
  <c r="AB319" i="1"/>
  <c r="AR319" i="1"/>
  <c r="AS319" i="1"/>
  <c r="AQ319" i="1"/>
  <c r="BE319" i="1"/>
  <c r="CI319" i="1"/>
  <c r="CN319" i="1"/>
  <c r="AW319" i="1"/>
  <c r="K319" i="1"/>
  <c r="BY319" i="1"/>
  <c r="AX319" i="1"/>
  <c r="H319" i="1"/>
  <c r="AP319" i="1"/>
  <c r="G319" i="1"/>
  <c r="AM319" i="1"/>
  <c r="F139" i="1"/>
  <c r="BA104" i="1"/>
  <c r="CB104" i="1"/>
  <c r="F104" i="1"/>
  <c r="CA139" i="1"/>
  <c r="F309" i="1"/>
  <c r="E310" i="1"/>
  <c r="CA306" i="1"/>
  <c r="BA112" i="1"/>
  <c r="CA229" i="1"/>
  <c r="P166" i="1"/>
  <c r="E229" i="1"/>
  <c r="CK166" i="1"/>
  <c r="E306" i="1"/>
  <c r="F291" i="1"/>
  <c r="CA291" i="1"/>
  <c r="I290" i="1"/>
  <c r="CC166" i="1"/>
  <c r="AH226" i="1"/>
  <c r="CB112" i="1"/>
  <c r="I166" i="1"/>
  <c r="U166" i="1"/>
  <c r="BA166" i="1"/>
  <c r="AE166" i="1"/>
  <c r="F112" i="1"/>
  <c r="E302" i="1"/>
  <c r="E96" i="1"/>
  <c r="CA96" i="1"/>
  <c r="AE290" i="1"/>
  <c r="BA66" i="1"/>
  <c r="E107" i="1"/>
  <c r="CB66" i="1"/>
  <c r="F66" i="1"/>
  <c r="CA125" i="1"/>
  <c r="E113" i="1"/>
  <c r="E125" i="1"/>
  <c r="CA113" i="1"/>
  <c r="E43" i="1"/>
  <c r="BL226" i="1"/>
  <c r="CA90" i="1"/>
  <c r="CA82" i="1"/>
  <c r="CA123" i="1"/>
  <c r="F128" i="1"/>
  <c r="F109" i="1"/>
  <c r="CC130" i="1"/>
  <c r="E49" i="1"/>
  <c r="AE119" i="1"/>
  <c r="E129" i="1"/>
  <c r="CA186" i="1"/>
  <c r="CA80" i="1"/>
  <c r="E60" i="1"/>
  <c r="CA117" i="1"/>
  <c r="CA58" i="1"/>
  <c r="E58" i="1"/>
  <c r="F178" i="1"/>
  <c r="E137" i="1"/>
  <c r="CA70" i="1"/>
  <c r="E196" i="1"/>
  <c r="E315" i="1"/>
  <c r="E184" i="1"/>
  <c r="CA317" i="1"/>
  <c r="CA313" i="1"/>
  <c r="CA315" i="1"/>
  <c r="CA37" i="1"/>
  <c r="E62" i="1"/>
  <c r="E311" i="1"/>
  <c r="CB135" i="1"/>
  <c r="E227" i="1"/>
  <c r="CB109" i="1"/>
  <c r="CA107" i="1"/>
  <c r="E172" i="1"/>
  <c r="CA176" i="1"/>
  <c r="BA195" i="1"/>
  <c r="CB119" i="1"/>
  <c r="E181" i="1"/>
  <c r="CA93" i="1"/>
  <c r="CA178" i="1"/>
  <c r="BF226" i="1"/>
  <c r="BO226" i="1"/>
  <c r="E288" i="1"/>
  <c r="CA304" i="1"/>
  <c r="CA286" i="1"/>
  <c r="CA227" i="1"/>
  <c r="CF226" i="1"/>
  <c r="AZ226" i="1"/>
  <c r="AC226" i="1"/>
  <c r="E197" i="1"/>
  <c r="CB175" i="1"/>
  <c r="E191" i="1"/>
  <c r="I152" i="1"/>
  <c r="BB226" i="1"/>
  <c r="E120" i="1"/>
  <c r="E223" i="1"/>
  <c r="Z226" i="1"/>
  <c r="CB222" i="1"/>
  <c r="CA199" i="1"/>
  <c r="J226" i="1"/>
  <c r="CA157" i="1"/>
  <c r="F135" i="1"/>
  <c r="E304" i="1"/>
  <c r="CB188" i="1"/>
  <c r="CA120" i="1"/>
  <c r="CA311" i="1"/>
  <c r="F86" i="1"/>
  <c r="BA222" i="1"/>
  <c r="I175" i="1"/>
  <c r="CA288" i="1"/>
  <c r="CB290" i="1"/>
  <c r="E87" i="1"/>
  <c r="T226" i="1"/>
  <c r="U188" i="1"/>
  <c r="CA181" i="1"/>
  <c r="CA201" i="1"/>
  <c r="CA110" i="1"/>
  <c r="CA309" i="1"/>
  <c r="E186" i="1"/>
  <c r="CA62" i="1"/>
  <c r="AE23" i="1"/>
  <c r="AE152" i="1"/>
  <c r="CA86" i="1"/>
  <c r="CA148" i="1"/>
  <c r="E157" i="1"/>
  <c r="E199" i="1"/>
  <c r="E272" i="1"/>
  <c r="CA128" i="1"/>
  <c r="CA184" i="1"/>
  <c r="CA223" i="1"/>
  <c r="CA77" i="1"/>
  <c r="CA211" i="1"/>
  <c r="Y226" i="1"/>
  <c r="CA272" i="1"/>
  <c r="E28" i="1"/>
  <c r="F26" i="1"/>
  <c r="E24" i="1"/>
  <c r="E51" i="1"/>
  <c r="F160" i="1"/>
  <c r="BA175" i="1"/>
  <c r="F211" i="1"/>
  <c r="E50" i="1"/>
  <c r="E32" i="1"/>
  <c r="CA41" i="1"/>
  <c r="F75" i="1"/>
  <c r="E64" i="1"/>
  <c r="CB55" i="1"/>
  <c r="E201" i="1"/>
  <c r="CA131" i="1"/>
  <c r="E44" i="1"/>
  <c r="CB69" i="1"/>
  <c r="CA146" i="1"/>
  <c r="CA67" i="1"/>
  <c r="CA137" i="1"/>
  <c r="E286" i="1"/>
  <c r="CA72" i="1"/>
  <c r="E80" i="1"/>
  <c r="CB84" i="1"/>
  <c r="U232" i="1"/>
  <c r="CC23" i="1"/>
  <c r="AE232" i="1"/>
  <c r="I232" i="1"/>
  <c r="E82" i="1"/>
  <c r="E27" i="1"/>
  <c r="E110" i="1"/>
  <c r="BA232" i="1"/>
  <c r="CC232" i="1"/>
  <c r="CA64" i="1"/>
  <c r="E77" i="1"/>
  <c r="CA44" i="1"/>
  <c r="CA191" i="1"/>
  <c r="F222" i="1"/>
  <c r="CA197" i="1"/>
  <c r="CA51" i="1"/>
  <c r="CA60" i="1"/>
  <c r="CA195" i="1"/>
  <c r="E179" i="1"/>
  <c r="CA88" i="1"/>
  <c r="E67" i="1"/>
  <c r="CA203" i="1"/>
  <c r="F30" i="1"/>
  <c r="CB30" i="1"/>
  <c r="E93" i="1"/>
  <c r="CA85" i="1"/>
  <c r="BA203" i="1"/>
  <c r="CA153" i="1"/>
  <c r="BO23" i="1"/>
  <c r="F247" i="1"/>
  <c r="E76" i="1"/>
  <c r="CA24" i="1"/>
  <c r="F46" i="1"/>
  <c r="BA30" i="1"/>
  <c r="BA130" i="1"/>
  <c r="BA26" i="1"/>
  <c r="I23" i="1"/>
  <c r="BO188" i="1"/>
  <c r="P23" i="1"/>
  <c r="CA56" i="1"/>
  <c r="CC74" i="1"/>
  <c r="BA109" i="1"/>
  <c r="AE130" i="1"/>
  <c r="E37" i="1"/>
  <c r="CA270" i="1"/>
  <c r="E144" i="1"/>
  <c r="E41" i="1"/>
  <c r="CA46" i="1"/>
  <c r="BA55" i="1"/>
  <c r="BA290" i="1"/>
  <c r="BB119" i="1"/>
  <c r="E161" i="1"/>
  <c r="E206" i="1"/>
  <c r="AK226" i="1"/>
  <c r="I74" i="1"/>
  <c r="CB247" i="1"/>
  <c r="BA152" i="1"/>
  <c r="BA69" i="1"/>
  <c r="CC152" i="1"/>
  <c r="U23" i="1"/>
  <c r="F55" i="1"/>
  <c r="CA75" i="1"/>
  <c r="BA92" i="1"/>
  <c r="E146" i="1"/>
  <c r="CA53" i="1"/>
  <c r="X226" i="1"/>
  <c r="E169" i="1"/>
  <c r="CA172" i="1"/>
  <c r="CB170" i="1"/>
  <c r="AE74" i="1"/>
  <c r="E209" i="1"/>
  <c r="CB160" i="1"/>
  <c r="CA161" i="1"/>
  <c r="E70" i="1"/>
  <c r="CB92" i="1"/>
  <c r="CA144" i="1"/>
  <c r="CA271" i="1"/>
  <c r="E143" i="1"/>
  <c r="CA26" i="1"/>
  <c r="E271" i="1"/>
  <c r="CE226" i="1"/>
  <c r="U74" i="1"/>
  <c r="AA226" i="1"/>
  <c r="E221" i="1"/>
  <c r="R226" i="1"/>
  <c r="F69" i="1"/>
  <c r="E270" i="1"/>
  <c r="CA168" i="1"/>
  <c r="CB167" i="1"/>
  <c r="F170" i="1"/>
  <c r="E242" i="1"/>
  <c r="P232" i="1"/>
  <c r="O226" i="1"/>
  <c r="N226" i="1"/>
  <c r="CK226" i="1"/>
  <c r="AI226" i="1"/>
  <c r="W226" i="1"/>
  <c r="V226" i="1"/>
  <c r="E176" i="1"/>
  <c r="E117" i="1"/>
  <c r="E88" i="1"/>
  <c r="E168" i="1"/>
  <c r="F167" i="1"/>
  <c r="E148" i="1"/>
  <c r="E124" i="1"/>
  <c r="BA123" i="1"/>
  <c r="F92" i="1"/>
  <c r="BA74" i="1"/>
  <c r="E313" i="1"/>
  <c r="E317" i="1"/>
  <c r="E72" i="1"/>
  <c r="E84" i="1"/>
  <c r="E90" i="1"/>
  <c r="E53" i="1"/>
  <c r="E56" i="1"/>
  <c r="E153" i="1"/>
  <c r="E131" i="1"/>
  <c r="D124" i="1" l="1"/>
  <c r="W319" i="1"/>
  <c r="CE319" i="1"/>
  <c r="D32" i="1"/>
  <c r="D28" i="1"/>
  <c r="CF319" i="1"/>
  <c r="D50" i="1"/>
  <c r="AH319" i="1"/>
  <c r="V319" i="1"/>
  <c r="AI319" i="1"/>
  <c r="D209" i="1"/>
  <c r="D76" i="1"/>
  <c r="Y319" i="1"/>
  <c r="D196" i="1"/>
  <c r="D302" i="1"/>
  <c r="D143" i="1"/>
  <c r="J319" i="1"/>
  <c r="AK319" i="1"/>
  <c r="D27" i="1"/>
  <c r="O319" i="1"/>
  <c r="R319" i="1"/>
  <c r="D206" i="1"/>
  <c r="D129" i="1"/>
  <c r="N319" i="1"/>
  <c r="BL319" i="1"/>
  <c r="D310" i="1"/>
  <c r="D221" i="1"/>
  <c r="D37" i="1"/>
  <c r="D242" i="1"/>
  <c r="AA319" i="1"/>
  <c r="D169" i="1"/>
  <c r="D179" i="1"/>
  <c r="T319" i="1"/>
  <c r="Z319" i="1"/>
  <c r="AC319" i="1"/>
  <c r="BF319" i="1"/>
  <c r="D49" i="1"/>
  <c r="D43" i="1"/>
  <c r="X319" i="1"/>
  <c r="D85" i="1"/>
  <c r="D87" i="1"/>
  <c r="AZ319" i="1"/>
  <c r="D270" i="1"/>
  <c r="D271" i="1"/>
  <c r="D41" i="1"/>
  <c r="D161" i="1"/>
  <c r="D137" i="1"/>
  <c r="D172" i="1"/>
  <c r="BB319" i="1"/>
  <c r="D168" i="1"/>
  <c r="BO319" i="1"/>
  <c r="CK319" i="1"/>
  <c r="E309" i="1"/>
  <c r="CA104" i="1"/>
  <c r="E139" i="1"/>
  <c r="E104" i="1"/>
  <c r="F290" i="1"/>
  <c r="D306" i="1"/>
  <c r="E291" i="1"/>
  <c r="D272" i="1"/>
  <c r="D229" i="1"/>
  <c r="E112" i="1"/>
  <c r="CB166" i="1"/>
  <c r="F166" i="1"/>
  <c r="CA112" i="1"/>
  <c r="D96" i="1"/>
  <c r="CA66" i="1"/>
  <c r="E66" i="1"/>
  <c r="D125" i="1"/>
  <c r="D113" i="1"/>
  <c r="F119" i="1"/>
  <c r="E128" i="1"/>
  <c r="E135" i="1"/>
  <c r="CB130" i="1"/>
  <c r="F175" i="1"/>
  <c r="CA30" i="1"/>
  <c r="D186" i="1"/>
  <c r="E26" i="1"/>
  <c r="F152" i="1"/>
  <c r="E178" i="1"/>
  <c r="D58" i="1"/>
  <c r="D184" i="1"/>
  <c r="D107" i="1"/>
  <c r="E86" i="1"/>
  <c r="D286" i="1"/>
  <c r="E195" i="1"/>
  <c r="CA119" i="1"/>
  <c r="D315" i="1"/>
  <c r="D304" i="1"/>
  <c r="D223" i="1"/>
  <c r="E222" i="1"/>
  <c r="D191" i="1"/>
  <c r="D288" i="1"/>
  <c r="CA222" i="1"/>
  <c r="D176" i="1"/>
  <c r="CC226" i="1"/>
  <c r="F188" i="1"/>
  <c r="D197" i="1"/>
  <c r="D227" i="1"/>
  <c r="D120" i="1"/>
  <c r="CA135" i="1"/>
  <c r="U226" i="1"/>
  <c r="AE226" i="1"/>
  <c r="D199" i="1"/>
  <c r="CA175" i="1"/>
  <c r="D146" i="1"/>
  <c r="F74" i="1"/>
  <c r="D62" i="1"/>
  <c r="E46" i="1"/>
  <c r="D157" i="1"/>
  <c r="CA109" i="1"/>
  <c r="F232" i="1"/>
  <c r="I226" i="1"/>
  <c r="CA69" i="1"/>
  <c r="CB74" i="1"/>
  <c r="D44" i="1"/>
  <c r="D144" i="1"/>
  <c r="D82" i="1"/>
  <c r="CA290" i="1"/>
  <c r="D80" i="1"/>
  <c r="D181" i="1"/>
  <c r="CA84" i="1"/>
  <c r="D110" i="1"/>
  <c r="D51" i="1"/>
  <c r="D77" i="1"/>
  <c r="BA188" i="1"/>
  <c r="D64" i="1"/>
  <c r="CB23" i="1"/>
  <c r="D201" i="1"/>
  <c r="CA188" i="1"/>
  <c r="BA226" i="1"/>
  <c r="E109" i="1"/>
  <c r="D311" i="1"/>
  <c r="D67" i="1"/>
  <c r="D24" i="1"/>
  <c r="D60" i="1"/>
  <c r="F23" i="1"/>
  <c r="E75" i="1"/>
  <c r="BA23" i="1"/>
  <c r="CA55" i="1"/>
  <c r="F130" i="1"/>
  <c r="CA247" i="1"/>
  <c r="E30" i="1"/>
  <c r="E247" i="1"/>
  <c r="E69" i="1"/>
  <c r="CA167" i="1"/>
  <c r="D56" i="1"/>
  <c r="D317" i="1"/>
  <c r="E55" i="1"/>
  <c r="D72" i="1"/>
  <c r="E92" i="1"/>
  <c r="BA119" i="1"/>
  <c r="CA92" i="1"/>
  <c r="CB232" i="1"/>
  <c r="D153" i="1"/>
  <c r="D53" i="1"/>
  <c r="D70" i="1"/>
  <c r="D131" i="1"/>
  <c r="D90" i="1"/>
  <c r="D313" i="1"/>
  <c r="D117" i="1"/>
  <c r="E211" i="1"/>
  <c r="E160" i="1"/>
  <c r="D148" i="1"/>
  <c r="CA160" i="1"/>
  <c r="CA170" i="1"/>
  <c r="E203" i="1"/>
  <c r="D88" i="1"/>
  <c r="E170" i="1"/>
  <c r="CB152" i="1"/>
  <c r="D93" i="1"/>
  <c r="D309" i="1"/>
  <c r="P226" i="1"/>
  <c r="E167" i="1"/>
  <c r="E123" i="1"/>
  <c r="I319" i="1" l="1"/>
  <c r="CC319" i="1"/>
  <c r="AE319" i="1"/>
  <c r="U319" i="1"/>
  <c r="P319" i="1"/>
  <c r="BA319" i="1"/>
  <c r="D104" i="1"/>
  <c r="D139" i="1"/>
  <c r="E290" i="1"/>
  <c r="D291" i="1"/>
  <c r="E166" i="1"/>
  <c r="CA166" i="1"/>
  <c r="D112" i="1"/>
  <c r="D66" i="1"/>
  <c r="D135" i="1"/>
  <c r="D128" i="1"/>
  <c r="E175" i="1"/>
  <c r="D195" i="1"/>
  <c r="D26" i="1"/>
  <c r="CA23" i="1"/>
  <c r="CA74" i="1"/>
  <c r="CA130" i="1"/>
  <c r="D86" i="1"/>
  <c r="D222" i="1"/>
  <c r="F226" i="1"/>
  <c r="D84" i="1"/>
  <c r="D109" i="1"/>
  <c r="D75" i="1"/>
  <c r="D46" i="1"/>
  <c r="E232" i="1"/>
  <c r="D30" i="1"/>
  <c r="E74" i="1"/>
  <c r="CA232" i="1"/>
  <c r="D178" i="1"/>
  <c r="E130" i="1"/>
  <c r="E23" i="1"/>
  <c r="D247" i="1"/>
  <c r="D123" i="1"/>
  <c r="D55" i="1"/>
  <c r="D69" i="1"/>
  <c r="D92" i="1"/>
  <c r="D203" i="1"/>
  <c r="D211" i="1"/>
  <c r="D160" i="1"/>
  <c r="E152" i="1"/>
  <c r="E119" i="1"/>
  <c r="D167" i="1"/>
  <c r="D170" i="1"/>
  <c r="CB226" i="1"/>
  <c r="E188" i="1"/>
  <c r="CA152" i="1"/>
  <c r="F319" i="1" l="1"/>
  <c r="CB319" i="1"/>
  <c r="D232" i="1"/>
  <c r="D290" i="1"/>
  <c r="D166" i="1"/>
  <c r="D23" i="1"/>
  <c r="CA226" i="1"/>
  <c r="D74" i="1"/>
  <c r="D175" i="1"/>
  <c r="D130" i="1"/>
  <c r="E226" i="1"/>
  <c r="D119" i="1"/>
  <c r="D152" i="1"/>
  <c r="D188" i="1"/>
  <c r="E319" i="1" l="1"/>
  <c r="CA319" i="1"/>
  <c r="D226" i="1"/>
  <c r="D319" i="1" l="1"/>
</calcChain>
</file>

<file path=xl/sharedStrings.xml><?xml version="1.0" encoding="utf-8"?>
<sst xmlns="http://schemas.openxmlformats.org/spreadsheetml/2006/main" count="1066" uniqueCount="616">
  <si>
    <t>Наименование</t>
  </si>
  <si>
    <t/>
  </si>
  <si>
    <t>ТЕКУЩИЕ РАСХОДЫ</t>
  </si>
  <si>
    <t>ЗАКУПКА ТОВАРОВ И ОПЛАТА УСЛУГ</t>
  </si>
  <si>
    <t>ОПЛАТА ТРУДА</t>
  </si>
  <si>
    <t>Продукты питания</t>
  </si>
  <si>
    <t>Оплата топлива</t>
  </si>
  <si>
    <t>ОПЛАТА УСЛУГ СВЯЗИ</t>
  </si>
  <si>
    <t>Оплата тепловой энергии</t>
  </si>
  <si>
    <t>Вывоз мусора</t>
  </si>
  <si>
    <t>Оплата газа</t>
  </si>
  <si>
    <t>Книги и период. издания</t>
  </si>
  <si>
    <t>Стипендии</t>
  </si>
  <si>
    <t>Пенсии и пособия, возмещаемые из бюджета</t>
  </si>
  <si>
    <t>Денежные компенсации</t>
  </si>
  <si>
    <t>Всего</t>
  </si>
  <si>
    <t>Мягкий инвент. и обмундир.</t>
  </si>
  <si>
    <t>Проч. расх. мат-лы и предм. снаб-я</t>
  </si>
  <si>
    <t>ТРАНСП. УСЛУГИ</t>
  </si>
  <si>
    <t>ОПЛАТА КОММУН. УСЛУГ</t>
  </si>
  <si>
    <t>ПРОЧ. ТЕК. РАСХ. НА ЗАКУП. ТОВ. И ОПЛ. УСЛУГ</t>
  </si>
  <si>
    <t>Издат. услуги</t>
  </si>
  <si>
    <t>Представит. расходы</t>
  </si>
  <si>
    <t>Приобр. и установ. счетчик.</t>
  </si>
  <si>
    <t>Проч. спец. расходы</t>
  </si>
  <si>
    <t>Вневед. охрана</t>
  </si>
  <si>
    <t>Информ.-вычисл. работы</t>
  </si>
  <si>
    <t>Молоч. смеси для детей</t>
  </si>
  <si>
    <t>Проч. тр-ты на прод. и услуги</t>
  </si>
  <si>
    <t>Трансферты на произв. цели</t>
  </si>
  <si>
    <t>Тр-ты фин. учр. и др. орг-циям</t>
  </si>
  <si>
    <t>Пенсии и пожизн. содержание</t>
  </si>
  <si>
    <t>Повышение пенсий за особ. засл. перед гос-вом</t>
  </si>
  <si>
    <t>Индексация вкладов населения</t>
  </si>
  <si>
    <t>Оплата квартир и комм. услуг</t>
  </si>
  <si>
    <t>Прочие тр-ты населению</t>
  </si>
  <si>
    <t>Кап. влож. в строительство</t>
  </si>
  <si>
    <t>Код пр-пол.</t>
  </si>
  <si>
    <t>0100</t>
  </si>
  <si>
    <t>ГОСУДАРСТВЕННОЕ УПРАВЛЕНИЕ И МЕСТНОЕ САМОУПРАВЛЕНИЕ</t>
  </si>
  <si>
    <t>0101</t>
  </si>
  <si>
    <t>102</t>
  </si>
  <si>
    <t>Администрация Президента ПМР</t>
  </si>
  <si>
    <t>0102</t>
  </si>
  <si>
    <t>101</t>
  </si>
  <si>
    <t>Верховный Совет ПМР</t>
  </si>
  <si>
    <t>103</t>
  </si>
  <si>
    <t>148</t>
  </si>
  <si>
    <t>Аппарат Уполномоченного по правам человека в ПМР</t>
  </si>
  <si>
    <t>0103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</si>
  <si>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</si>
  <si>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</si>
  <si>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</si>
  <si>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</si>
  <si>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</si>
  <si>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</si>
  <si>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</si>
  <si>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</si>
  <si>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</si>
  <si>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</si>
  <si>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</si>
  <si>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</si>
  <si>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</si>
  <si>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</si>
  <si>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</si>
  <si>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</si>
  <si>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</si>
  <si>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</si>
  <si>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145</t>
  </si>
  <si>
    <t>ГС управления документацией и архивами ПМР (аппарат)</t>
  </si>
  <si>
    <t>146</t>
  </si>
  <si>
    <t>149</t>
  </si>
  <si>
    <t>Фонд государственного резерва ПМР (аппарат)</t>
  </si>
  <si>
    <t>150</t>
  </si>
  <si>
    <t>157</t>
  </si>
  <si>
    <t>0104</t>
  </si>
  <si>
    <t>Деятельность финансовых и налоговых органов</t>
  </si>
  <si>
    <t>0105</t>
  </si>
  <si>
    <t>Прочие расходы на общегосударственное управление</t>
  </si>
  <si>
    <t>Мин-во с/х и природных ресурсов (террит. управления)</t>
  </si>
  <si>
    <t>0108</t>
  </si>
  <si>
    <t>Функционирование органов статистики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</si>
  <si>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</si>
  <si>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</si>
  <si>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</si>
  <si>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</si>
  <si>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</si>
  <si>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</si>
  <si>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</si>
  <si>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</si>
  <si>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</si>
  <si>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</si>
  <si>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</si>
  <si>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</si>
  <si>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</si>
  <si>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</si>
  <si>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</si>
  <si>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</si>
  <si>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</si>
  <si>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0204</t>
  </si>
  <si>
    <t>Арбитражный суд</t>
  </si>
  <si>
    <t>107</t>
  </si>
  <si>
    <t>Арбитражный суд ПМР</t>
  </si>
  <si>
    <t>0210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</si>
  <si>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</si>
  <si>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</si>
  <si>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</si>
  <si>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</si>
  <si>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</si>
  <si>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Министерство иностранных дел (представительства)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</si>
  <si>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</si>
  <si>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</si>
  <si>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</si>
  <si>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</si>
  <si>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</si>
  <si>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</si>
  <si>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</si>
  <si>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</si>
  <si>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</si>
  <si>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</si>
  <si>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</si>
  <si>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</si>
  <si>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</si>
  <si>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</si>
  <si>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</si>
  <si>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</si>
  <si>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ГС судебных исполнителей МЮ ПМР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</si>
  <si>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</si>
  <si>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</si>
  <si>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</si>
  <si>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</si>
  <si>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</si>
  <si>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</si>
  <si>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</si>
  <si>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</si>
  <si>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</si>
  <si>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</si>
  <si>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</si>
  <si>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</si>
  <si>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</si>
  <si>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</si>
  <si>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</si>
  <si>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</si>
  <si>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</si>
  <si>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</si>
  <si>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</si>
  <si>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</si>
  <si>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</si>
  <si>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141</t>
  </si>
  <si>
    <t>Государственная служба охраны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</si>
  <si>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</si>
  <si>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</si>
  <si>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</si>
  <si>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</si>
  <si>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Министерство с/х и природных ресурсов (НИУ)</t>
  </si>
  <si>
    <t>ГС экологического контроля и охраны ок. среды ПМР (наука)</t>
  </si>
  <si>
    <t>0604</t>
  </si>
  <si>
    <t>Министерство просвещения ПМР</t>
  </si>
  <si>
    <t>136</t>
  </si>
  <si>
    <t>0700</t>
  </si>
  <si>
    <t>ПРОМЫШЛЕННОСТЬ, ЭНЕРГЕТИКА И СТРОИТЕЛЬСТВО</t>
  </si>
  <si>
    <t>0707</t>
  </si>
  <si>
    <t>Компенсация разницы в тарифах</t>
  </si>
  <si>
    <t>0800</t>
  </si>
  <si>
    <t>СЕЛЬСКОЕ ХОЗЯЙСТВО</t>
  </si>
  <si>
    <t>0805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</si>
  <si>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</si>
  <si>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</si>
  <si>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</si>
  <si>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</si>
  <si>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</si>
  <si>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</si>
  <si>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1000</t>
  </si>
  <si>
    <t>ТРАНСПОРТ, ДОРОЖНОЕ ХОЗЯЙСТВО, СВЯЗЬ И ИНФОРМАТИКА</t>
  </si>
  <si>
    <t>1001</t>
  </si>
  <si>
    <t>Возмещение льгот по транспорту</t>
  </si>
  <si>
    <t>1007</t>
  </si>
  <si>
    <t>Связь</t>
  </si>
  <si>
    <t>Министерство цифрового развития, связи и массовых коммуникаций (почты)</t>
  </si>
  <si>
    <t>1008</t>
  </si>
  <si>
    <t>Информатика</t>
  </si>
  <si>
    <t>1010</t>
  </si>
  <si>
    <t>Расходы в обл. тр-та, дор. хоз-ва, связи и информатики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</si>
  <si>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</si>
  <si>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</si>
  <si>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</si>
  <si>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</si>
  <si>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</si>
  <si>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</si>
  <si>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</si>
  <si>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</si>
  <si>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</si>
  <si>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</si>
  <si>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</si>
  <si>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</si>
  <si>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</si>
  <si>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Университет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</si>
  <si>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</si>
  <si>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</si>
  <si>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</si>
  <si>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</si>
  <si>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</si>
  <si>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</si>
  <si>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</si>
  <si>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</si>
  <si>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</si>
  <si>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</si>
  <si>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</si>
  <si>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</si>
  <si>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</si>
  <si>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</si>
  <si>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</si>
  <si>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</si>
  <si>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</si>
  <si>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</si>
  <si>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</si>
  <si>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</si>
  <si>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СДЮШОР</t>
  </si>
  <si>
    <t>РЦОП</t>
  </si>
  <si>
    <t>СРЕДСТВА МАССОВОЙ ИНФОРМАЦИИ</t>
  </si>
  <si>
    <t>1501</t>
  </si>
  <si>
    <t>Телевидение и радиовещание</t>
  </si>
  <si>
    <t>Министерство цифрового развития, связи и массовых коммуникаций (ПГТРК)</t>
  </si>
  <si>
    <t>Министерство цифрового развития, связи и массовых коммуникаций (ретрансляция)</t>
  </si>
  <si>
    <t>1502</t>
  </si>
  <si>
    <t>Периодическая печать и издательства</t>
  </si>
  <si>
    <t>ГИИЦ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</si>
  <si>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</si>
  <si>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</si>
  <si>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</si>
  <si>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</si>
  <si>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</si>
  <si>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</si>
  <si>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</si>
  <si>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</si>
  <si>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</si>
  <si>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</si>
  <si>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</si>
  <si>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</si>
  <si>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</si>
  <si>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1605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</si>
  <si>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</si>
  <si>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</si>
  <si>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</si>
  <si>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</si>
  <si>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</si>
  <si>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</si>
  <si>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</si>
  <si>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</si>
  <si>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</si>
  <si>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</si>
  <si>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</si>
  <si>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</si>
  <si>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</si>
  <si>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 из бюджета</t>
  </si>
  <si>
    <t>1706</t>
  </si>
  <si>
    <t>Поэтапная индексация вкладов населения</t>
  </si>
  <si>
    <t>1707</t>
  </si>
  <si>
    <t>Индексация страховых взносов населения</t>
  </si>
  <si>
    <t>1709</t>
  </si>
  <si>
    <t>Повышение пенсий за особые заслуги перед гос-вом</t>
  </si>
  <si>
    <t>Повышение пенсий за особые заслуги</t>
  </si>
  <si>
    <t>1711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</si>
  <si>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</si>
  <si>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</si>
  <si>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</si>
  <si>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</si>
  <si>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156</t>
  </si>
  <si>
    <t>2000</t>
  </si>
  <si>
    <t>ФИНАНСОВАЯ ПОМОЩЬ БЮДЖЕТАМ ДРУГИХ УРОВНЕЙ</t>
  </si>
  <si>
    <t>2001</t>
  </si>
  <si>
    <t>Трансферты на покрытие разницы в ценах и тарифах на ЖКУ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</si>
  <si>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</si>
  <si>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</si>
  <si>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</si>
  <si>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</si>
  <si>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</si>
  <si>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</si>
  <si>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</si>
  <si>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</si>
  <si>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Центральная избирательная комиссия ПМР</t>
  </si>
  <si>
    <t>3007</t>
  </si>
  <si>
    <t>Обеспечение миротворческой деятельности</t>
  </si>
  <si>
    <t>Создание и модернизация информац. ресурсов в сфере налогообложения и бюджетного процесса</t>
  </si>
  <si>
    <t>124</t>
  </si>
  <si>
    <t>3008</t>
  </si>
  <si>
    <t>Целевые программы</t>
  </si>
  <si>
    <t>ГЦП "Профилактика туберкулеза"</t>
  </si>
  <si>
    <t>3009</t>
  </si>
  <si>
    <t>Резервный фонд Правительства ПМР</t>
  </si>
  <si>
    <t>126</t>
  </si>
  <si>
    <t>3010</t>
  </si>
  <si>
    <t>3200</t>
  </si>
  <si>
    <t>ЦЕЛЕВЫЕ БЮДЖЕТНЫЕ ФОНДЫ</t>
  </si>
  <si>
    <t>3201</t>
  </si>
  <si>
    <t>Дорожный фонд ПМР</t>
  </si>
  <si>
    <t>131</t>
  </si>
  <si>
    <t>МЭР  (мостовые сооружения)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</si>
  <si>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</si>
  <si>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</si>
  <si>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</si>
  <si>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</si>
  <si>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</si>
  <si>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</si>
  <si>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</si>
  <si>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</si>
  <si>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</si>
  <si>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</si>
  <si>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</si>
  <si>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</si>
  <si>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3211</t>
  </si>
  <si>
    <t>Фонд поддержки сельского хозяйства</t>
  </si>
  <si>
    <t>3212</t>
  </si>
  <si>
    <t>Фонд развития мелиоративного комплекса</t>
  </si>
  <si>
    <t>ИТОГО</t>
  </si>
  <si>
    <t>ГУ "Агентство по туризму ПМР"</t>
  </si>
  <si>
    <t>ГУ "Единый аукционный центр"</t>
  </si>
  <si>
    <t>Органы, исполняющие наказания и судебные решения</t>
  </si>
  <si>
    <t>Таможенные органы ПМР</t>
  </si>
  <si>
    <t>Министерство здравоохранения  ПМР</t>
  </si>
  <si>
    <t>ПГУ им. Т. Г. Шевченко (Центр российского образования и науки)</t>
  </si>
  <si>
    <t>ГОУ СПО "Училище олимпийского резерва"</t>
  </si>
  <si>
    <t>Льготы отдельным категориям населения на ЖКУ</t>
  </si>
  <si>
    <t>ГА Бендер (возмещение льгот на ЖКУ)</t>
  </si>
  <si>
    <t>ГА Григориополя (возмещение льгот на ЖКУ)</t>
  </si>
  <si>
    <t>ГА Днестровска  (возмещение льгот на ЖКУ)</t>
  </si>
  <si>
    <t>ГА Дубоссар  (возмещение льгот на ЖКУ)</t>
  </si>
  <si>
    <t>ГА Каменки  (возмещение льгот на ЖКУ)</t>
  </si>
  <si>
    <t>ГА Рыбницы  (возмещение льгот на ЖКУ)</t>
  </si>
  <si>
    <t>ГА Слободзеи  (возмещение льгот на ЖКУ)</t>
  </si>
  <si>
    <t>ГА Тирасполя  (возмещение льгот на ЖКУ)</t>
  </si>
  <si>
    <t>Субсидии на осуществление программы "Столица"</t>
  </si>
  <si>
    <t>Расходы от оказ. плат. усл. (ГУ "Архивы Приднестровья")</t>
  </si>
  <si>
    <t>[100000]</t>
  </si>
  <si>
    <t>[110000]</t>
  </si>
  <si>
    <t>[110100]</t>
  </si>
  <si>
    <t>[110200]</t>
  </si>
  <si>
    <t>[110300]</t>
  </si>
  <si>
    <t>[110310]</t>
  </si>
  <si>
    <t>[110320]</t>
  </si>
  <si>
    <t>[110330]</t>
  </si>
  <si>
    <t>[110340]</t>
  </si>
  <si>
    <t>[110350]</t>
  </si>
  <si>
    <t>[110360]</t>
  </si>
  <si>
    <t>[110400]</t>
  </si>
  <si>
    <t>[110410]</t>
  </si>
  <si>
    <t>[110420]</t>
  </si>
  <si>
    <t>[110500]</t>
  </si>
  <si>
    <t>[110600]</t>
  </si>
  <si>
    <t>[110700]</t>
  </si>
  <si>
    <t>[110710]</t>
  </si>
  <si>
    <t>[110720]</t>
  </si>
  <si>
    <t>[110730]</t>
  </si>
  <si>
    <t>[110740]</t>
  </si>
  <si>
    <t>[110750]</t>
  </si>
  <si>
    <t>[110760]</t>
  </si>
  <si>
    <t>[110770]</t>
  </si>
  <si>
    <t>[110780]</t>
  </si>
  <si>
    <t>[111000]</t>
  </si>
  <si>
    <t>[111010]</t>
  </si>
  <si>
    <t>[111011]</t>
  </si>
  <si>
    <t>[111020]</t>
  </si>
  <si>
    <t>[111030]</t>
  </si>
  <si>
    <t>[111041]</t>
  </si>
  <si>
    <t>[111042]</t>
  </si>
  <si>
    <t>[111043]</t>
  </si>
  <si>
    <t>[111044]</t>
  </si>
  <si>
    <t>[111045]</t>
  </si>
  <si>
    <t>[111046]</t>
  </si>
  <si>
    <t>[111047]</t>
  </si>
  <si>
    <t>[111049]</t>
  </si>
  <si>
    <t>[111050]</t>
  </si>
  <si>
    <t>[111051]</t>
  </si>
  <si>
    <t>[111052]</t>
  </si>
  <si>
    <t>[111053]</t>
  </si>
  <si>
    <t>[111054]</t>
  </si>
  <si>
    <t>[111055]</t>
  </si>
  <si>
    <t>[111058]</t>
  </si>
  <si>
    <t>[111070]</t>
  </si>
  <si>
    <t>[130000]</t>
  </si>
  <si>
    <t>[130100]</t>
  </si>
  <si>
    <t>[130110]</t>
  </si>
  <si>
    <t>[130120]</t>
  </si>
  <si>
    <t>[130140]</t>
  </si>
  <si>
    <t>[130200]</t>
  </si>
  <si>
    <t>[130220]</t>
  </si>
  <si>
    <t>[130280]</t>
  </si>
  <si>
    <t>[130300]</t>
  </si>
  <si>
    <t>[130400]</t>
  </si>
  <si>
    <t>[130410]</t>
  </si>
  <si>
    <t>[130500]</t>
  </si>
  <si>
    <t>[130510]</t>
  </si>
  <si>
    <t>[130530]</t>
  </si>
  <si>
    <t>[130550]</t>
  </si>
  <si>
    <t>[130560]</t>
  </si>
  <si>
    <t>[130570]</t>
  </si>
  <si>
    <t>[130580]</t>
  </si>
  <si>
    <t>[130610]</t>
  </si>
  <si>
    <t>[130630]</t>
  </si>
  <si>
    <t>[130640]</t>
  </si>
  <si>
    <t>[130650]</t>
  </si>
  <si>
    <t>[130660]</t>
  </si>
  <si>
    <t>[200000]</t>
  </si>
  <si>
    <t>[240000]</t>
  </si>
  <si>
    <t>[240100]</t>
  </si>
  <si>
    <t>[240110]</t>
  </si>
  <si>
    <t>[240120]</t>
  </si>
  <si>
    <t>[240200]</t>
  </si>
  <si>
    <t>[240240]</t>
  </si>
  <si>
    <t>[240300]</t>
  </si>
  <si>
    <t>[240330]</t>
  </si>
  <si>
    <t>[240340]</t>
  </si>
  <si>
    <t>[290000]</t>
  </si>
  <si>
    <t>к Закону Приднестровской Молдавской Республики</t>
  </si>
  <si>
    <t>(руб.)</t>
  </si>
  <si>
    <t>Протези-рование</t>
  </si>
  <si>
    <t>КАПИТ. РАСХОДЫ</t>
  </si>
  <si>
    <t>Капитальн. ремонт</t>
  </si>
  <si>
    <t>Субсидирование социально значимых маршрутов</t>
  </si>
  <si>
    <t>[130430]</t>
  </si>
  <si>
    <t>ГС экологического контроля и охраны окр. среды ПМР</t>
  </si>
  <si>
    <t>Переподго-товка кадров</t>
  </si>
  <si>
    <t>Денежное вознаг. за выполнен. работы, услуги</t>
  </si>
  <si>
    <t>ТЕКУЩИЕ ТРАНСФЕР-ТЫ</t>
  </si>
  <si>
    <t>ТРАНСФЕР-ТЫ НАСЕЛЕ-НИЮ</t>
  </si>
  <si>
    <t>Компенсац. тр-ных расх. инвалидам</t>
  </si>
  <si>
    <t>УЧАСТИЕ ПРАВ-ВА В ОСУЩ-ИИ ОТД-Х ПРОГР.</t>
  </si>
  <si>
    <t>Оплата работ и услуг, переданных на аутсорсинг</t>
  </si>
  <si>
    <t xml:space="preserve"> [111059] </t>
  </si>
  <si>
    <t>Министерство сельского хозяйства и природных ресурсов ПМР</t>
  </si>
  <si>
    <t>Министерство цифрового развития, связи  и массовых коммуникаций ПМР</t>
  </si>
  <si>
    <t>Министерство цифрового развития, связи и массовых коммуникаций (газета)</t>
  </si>
  <si>
    <t>Трансферты, выделяемые из бюджета бюджетам других уровней</t>
  </si>
  <si>
    <t>Центр национальных культур Приднестровья</t>
  </si>
  <si>
    <t>Мероприятия по оснащению рабочими тетрадями</t>
  </si>
  <si>
    <t>Мероприятия по обновлению учебн. фондов организаций общего образования</t>
  </si>
  <si>
    <t>Мероприятия по внедрению автоматизированного государственного земельного кадастра</t>
  </si>
  <si>
    <t>Министерство цифрового развития, связи и массовых коммуникаций (возмещение льготы по усл. связи)</t>
  </si>
  <si>
    <t>[240230]</t>
  </si>
  <si>
    <t>[240250]</t>
  </si>
  <si>
    <t>Приложение № 2</t>
  </si>
  <si>
    <t>Министерство финансов ПМР</t>
  </si>
  <si>
    <t>Счетная палата ПМР</t>
  </si>
  <si>
    <t>Министерство юстиции (ГС РиН, УСЭ)</t>
  </si>
  <si>
    <t>Услуги по строительному контролю и техническому надзору</t>
  </si>
  <si>
    <t>Оплата услуг по типовому проектир.</t>
  </si>
  <si>
    <t>в строит. коммун. объектов</t>
  </si>
  <si>
    <t>0508</t>
  </si>
  <si>
    <t>ГС экологического контроля и охраны окр. среды ПМР (ГУП "Приднестровье-лес")</t>
  </si>
  <si>
    <t>Министерство экономического развития ПМР</t>
  </si>
  <si>
    <t>Министерство цифрового развития, связи и массовой коммуникации ПМР</t>
  </si>
  <si>
    <t>КОМАНДИ-РОВКИ И СЛУЖЕБН.  РАЗЪЕЗДЫ</t>
  </si>
  <si>
    <t>Пенсии и пособия, возмещаем.  из бюджета</t>
  </si>
  <si>
    <t>КАП. ВЛОЖЕ-НИЯ В ОСНОВНЫЕ ФОНДЫ</t>
  </si>
  <si>
    <t>ГП разгосударствления и приватизации</t>
  </si>
  <si>
    <t>Финансовая помощь бюджетам других уровней</t>
  </si>
  <si>
    <t>ГЦП "Иммунизация населения ПМР"</t>
  </si>
  <si>
    <t>ГЦП "Онкология"</t>
  </si>
  <si>
    <t>ГЦП "Учебник"</t>
  </si>
  <si>
    <t>ГЦП развития минерально-сырьевой базы ПМР</t>
  </si>
  <si>
    <t>155</t>
  </si>
  <si>
    <t>раздел, под-раздел</t>
  </si>
  <si>
    <t>Код</t>
  </si>
  <si>
    <t>Министерство внутренних дел ПМР (госзаказ НИОКР)</t>
  </si>
  <si>
    <t>Министерство цифрового развития, связи и массовых коммуникаций (лиценз. сбор)</t>
  </si>
  <si>
    <t>Прочие мероприятия по культуре и искусству ГС КиИН</t>
  </si>
  <si>
    <t>Музеи и выставки ГС КиИН</t>
  </si>
  <si>
    <t>Высшие колледжи ГС КиИН</t>
  </si>
  <si>
    <t>Медикаменты, протезы и продукция, использ. по предписан. врача</t>
  </si>
  <si>
    <t>Выплаты и гарантии бывшим руковод. должн. лицам (АП)</t>
  </si>
  <si>
    <t>Учр-я и услуги в области соц. обеспеч., не отн. к др. гр.</t>
  </si>
  <si>
    <t>Гос. пособия гражданам, имеющим детей</t>
  </si>
  <si>
    <t>Выплаты и гарантии бывшим руковод. должн. лицам (ВС)</t>
  </si>
  <si>
    <t>Судебный департамент при Верховном суде ПМР</t>
  </si>
  <si>
    <t>Органы судебной власти, не отн. к др. гр.</t>
  </si>
  <si>
    <t>Органы и учреждения, не отн. к др. гр.</t>
  </si>
  <si>
    <t>Учр. и меропр. в области науч. иссл., не отн. к др. гр.</t>
  </si>
  <si>
    <t>Деят-ность и усл. в обл. пром-ти, энер-ки и строит-ва., не отн. к др. гр.</t>
  </si>
  <si>
    <t>Деят-сть и усл. в области сельского хоз-ва, не отн. к др. гр.</t>
  </si>
  <si>
    <t>Мин-во с/х и прир. рес. (РЦ ВСиФСБ)</t>
  </si>
  <si>
    <t>Мин-во с/х и прир. рес. (Республиканский  ГМЦ)</t>
  </si>
  <si>
    <t>Респ. спорт.-реаб. центр инвалидов</t>
  </si>
  <si>
    <t>Мероприятия, направл. на развитие (обновление) МТБ учреждений здравоохранения</t>
  </si>
  <si>
    <t>Расходы от оказания платных услуг</t>
  </si>
  <si>
    <t>Расходы от оказ. плат. усл. (Минэкономразвития, ГИИЦ)</t>
  </si>
  <si>
    <t>Расходы от оказ. плат. усл. (Мин-во СЗиТ, соц. патронаж)</t>
  </si>
  <si>
    <t>Расходы от оказ. плат. усл. (Минздрав, медколледжи)</t>
  </si>
  <si>
    <t>Расходы от оказ. плат. усл. (Минздрав, больницы)</t>
  </si>
  <si>
    <t>Расходы от оказ. плат. усл. (Минздрав, поликлиники)</t>
  </si>
  <si>
    <t>Расходы от оказ. плат. усл. (Минздрав, СЭС)</t>
  </si>
  <si>
    <t>Расходы от оказ. плат. усл. (Минпрос, образование)</t>
  </si>
  <si>
    <t>Расходы от оказ. плат. усл. (МВД)</t>
  </si>
  <si>
    <t>Расходы от оказ. плат. усл. (ГУ ЦКОМФП)</t>
  </si>
  <si>
    <t>Расходы от оказ. плат. усл. (по госзаказу ПГУ)</t>
  </si>
  <si>
    <t>Расходы от оказ. плат. усл. (ПГУ)</t>
  </si>
  <si>
    <t>Расходы от оказ. плат. усл. (ГС СИ МЮ)</t>
  </si>
  <si>
    <t>Расходы от оказ. плат. усл. (ГС ИН)</t>
  </si>
  <si>
    <t>Расходы от оказ. плат. усл. (ГС по спорту)</t>
  </si>
  <si>
    <t>Расходы от оказ. плат. усл. (ГС КиИН, ГОУ)</t>
  </si>
  <si>
    <t>Фонд по обеспеч. гос. гарантий гр-м, имеющим право на зем. долю (пай)</t>
  </si>
  <si>
    <t>[240270]</t>
  </si>
  <si>
    <t>Автомобильный транспорт и электротранспорт</t>
  </si>
  <si>
    <t>Мед., протезы и продукц., исп. в мед. практике по предписанию врача</t>
  </si>
  <si>
    <t>Индексация страх. взносов населения по долгоср. договорам добровольн. страх.</t>
  </si>
  <si>
    <t>Учрежд. и усл. в обл. соц. обесп. и соц. поддержки, не отн. к др. гр.</t>
  </si>
  <si>
    <t>ГЦП "Обеспечение жильем детей-сирот"</t>
  </si>
  <si>
    <t>ГП "Исполнение наказов избирателей"</t>
  </si>
  <si>
    <t>0904</t>
  </si>
  <si>
    <t>Охрана окружающей среды</t>
  </si>
  <si>
    <t>ГС экологического контроля и охраны окр. среды ПМР (госзаказ)</t>
  </si>
  <si>
    <t>1503</t>
  </si>
  <si>
    <t>Прочие средства массовой информации</t>
  </si>
  <si>
    <t>МЭР  (уличное освещение)</t>
  </si>
  <si>
    <t xml:space="preserve"> [130310] </t>
  </si>
  <si>
    <t>ГЦП "Переоснащение служебного автотранспорта пожарной охраны"</t>
  </si>
  <si>
    <t>Расходы на осуществление г.Тирасполем функций столицы</t>
  </si>
  <si>
    <t>Расходы республиканского бюджета на 2025 год</t>
  </si>
  <si>
    <t>"О республиканском бюджете на 2025 год"</t>
  </si>
  <si>
    <t>Трансферты на поэтапную индексацию вкладов населения</t>
  </si>
  <si>
    <t>Трансферты на индексацию страховых взносов</t>
  </si>
  <si>
    <t>Резерв Дорожного фонда ПМР</t>
  </si>
  <si>
    <t>Функционирование исполнительных органов государственной власти</t>
  </si>
  <si>
    <t>Функционирование органов законодательной государственной власти</t>
  </si>
  <si>
    <t>ПРИОБР. ПРЕДМ. СНАБЖ. И РАСХ. МАТЕРИ-АЛОВ</t>
  </si>
  <si>
    <t>Приобре-тение тр-ных ср-в для инвалидов</t>
  </si>
  <si>
    <t>СРЕДСТВА, ПЕРЕДАВ. БЮДЖЕТАМ ДРУГИХ УРОВНЕЙ</t>
  </si>
  <si>
    <t>МЭР (возмещение льгот по коммунальным услугам)</t>
  </si>
  <si>
    <t>ГЦП "Льготное кред. инвалидов общего заболевания, инвалидов по зрению"</t>
  </si>
  <si>
    <t>ГЦП "Профилактика и лечение сердечно-сосудистых заболеваний"</t>
  </si>
  <si>
    <t>Министерство иностранных дел ПМР (госзаказ НИОКР)</t>
  </si>
  <si>
    <t>Государственная служба охраны ПМР</t>
  </si>
  <si>
    <t>Расходы, не отнесенные к другим группам</t>
  </si>
  <si>
    <t>Расходы от оказ. плат. усл. (ПГТРК)</t>
  </si>
  <si>
    <t>Расходы от оказ. плат. усл. (газета)</t>
  </si>
  <si>
    <t>Другие трансферты</t>
  </si>
  <si>
    <t>Оплата содержания помещений</t>
  </si>
  <si>
    <t>Оплата освещения помещений</t>
  </si>
  <si>
    <t>Оплата аренды помещений</t>
  </si>
  <si>
    <t>Оплата текущ. рем. зданий и помещ.</t>
  </si>
  <si>
    <t>Медикаменты и перевязочные средства и прочие лечебные расходы</t>
  </si>
  <si>
    <t>Расходы на содержание автотр-та</t>
  </si>
  <si>
    <t>Оплата водоснабжения помещений</t>
  </si>
  <si>
    <t>Оплата услуг научно-исслед. организаций</t>
  </si>
  <si>
    <t xml:space="preserve">Оплата текущ. ремонта оборуд. и инвентаря </t>
  </si>
  <si>
    <t xml:space="preserve">Госуд. и местная символика и госуд. знаки отличия </t>
  </si>
  <si>
    <t>Участие адвокатов по назначению</t>
  </si>
  <si>
    <t>Денежная компенсация (взамен продов-го пайка)</t>
  </si>
  <si>
    <t>Товары и услуги, не отнесенные к другим подстатьям</t>
  </si>
  <si>
    <t>Трансферты на продукцию и услуги</t>
  </si>
  <si>
    <t>Трансферты на покрытие разницы в ценах и тарифах</t>
  </si>
  <si>
    <t>Трансферты на покрытие потерь от предостав-я льгот по транспорту</t>
  </si>
  <si>
    <t>Трансферты из Дорожного фонда</t>
  </si>
  <si>
    <t>Трансферты из Экологи-ческого фонда</t>
  </si>
  <si>
    <t>Приобр. произв. оборуд. и предметов длительно-го пользов. для госуд-х предпр.</t>
  </si>
  <si>
    <t>Капитальные вложения в строительство объектов социально-культурного назначения</t>
  </si>
  <si>
    <t>Капит. вложения в строит. администра-тивных зданий</t>
  </si>
  <si>
    <t>Капит. вложения в строит. прочих объектов</t>
  </si>
  <si>
    <t>Капитальный ремонт объектов социально-культурного назначения</t>
  </si>
  <si>
    <t>Команди-ровки внутри республики</t>
  </si>
  <si>
    <t>Команди-ровки за пределы республики</t>
  </si>
  <si>
    <t>Оплата расходов, связанных с выполнением НИР, ОКиТ работ по гос-м контрактам (договорам)</t>
  </si>
  <si>
    <t>Учебные наглядные пособия, производ-я практика учащихся и студентов</t>
  </si>
  <si>
    <t>Капитальный ремонт администра-тивных зданий</t>
  </si>
  <si>
    <t xml:space="preserve">Начисл. на оплату труда (страх-е взносы на госуд-е соц-е стра-е граждан) </t>
  </si>
  <si>
    <t>Расходы от оказ. плат. усл. (ГС КиИН, театр)</t>
  </si>
  <si>
    <t>Оплата                     льгот по жилищным и коммун. услугам, а также услугам связи</t>
  </si>
  <si>
    <t>[110900]</t>
  </si>
  <si>
    <t>Приобр. оборуд-я и предметов длительного пользов., относ-ся к основным фондам</t>
  </si>
  <si>
    <t>Приобр. непроизвод-го оборуд. и предметов длительного пользования для госуд. учрежд.</t>
  </si>
  <si>
    <t>Министерство цифрового развития, связи и массовых коммуникаций ПМР</t>
  </si>
  <si>
    <t>Бюджетное кредитование</t>
  </si>
  <si>
    <t>Предоставл-е внутр. займов</t>
  </si>
  <si>
    <t xml:space="preserve"> [300000] </t>
  </si>
  <si>
    <t xml:space="preserve"> [310000] </t>
  </si>
  <si>
    <t xml:space="preserve"> [310300] </t>
  </si>
  <si>
    <t>Целевые субсидии ГА города Бендеры</t>
  </si>
  <si>
    <t>Целевые субсидии ГА Дубоссарского района и  города Дубоссары</t>
  </si>
  <si>
    <t>Министерство экономического развития ПМР (территор. упр-я статистики)</t>
  </si>
  <si>
    <t>Приднестровский гос. театр драмы и комедии им. Н. С. Аронецкой ГС КиИН</t>
  </si>
  <si>
    <t>ГЦП "Замена свет. авто. дорог общего пользования ПМР, наход. в гос. и муниц. собствен."</t>
  </si>
  <si>
    <t>Целевые субсидии в соответствии с частью второй пункта 3 статьи 4 настоящего Закона</t>
  </si>
  <si>
    <t>"О внесении изменений и дополнений</t>
  </si>
  <si>
    <t>в Закон Приднестровской Молдавской Республики</t>
  </si>
  <si>
    <t>0706</t>
  </si>
  <si>
    <t>Электростанции</t>
  </si>
  <si>
    <t>[130270]</t>
  </si>
  <si>
    <t>Субсидии с/х производителям</t>
  </si>
  <si>
    <t>Погашение задолженности перед                                ГУП "Дубоссарская ГЭС"</t>
  </si>
  <si>
    <t>Целевые субсидии  ГА  города Тирасполя</t>
  </si>
  <si>
    <t>Целевые субсидии  ГА Рыбницкого района и города Рыбницы</t>
  </si>
  <si>
    <t>Целевые субсидии ГА Григориопольского района и города Григориополя</t>
  </si>
  <si>
    <t>Целевые субсидии ГА Слободзейского района и города Слободзеи</t>
  </si>
  <si>
    <t>Целевые субсидии ГА Каменского района и города Каменки</t>
  </si>
  <si>
    <t>Фонд по обесп. гос. гарантий гр-м, имеющим право на зем. долю</t>
  </si>
  <si>
    <t>Фонд поддержки территорий городов и районов</t>
  </si>
  <si>
    <t>Расходы от оказ. плат. усл. (Минюст,                                      ГУ "Юридич. литер-ра")</t>
  </si>
  <si>
    <t>Расходы от оказ. плат. усл. (Мин. с/х и прир. рес., ГУ "РЦ ВСиФСБ")</t>
  </si>
  <si>
    <t>Расходы от оказ. плат. усл. (Мин. с/х и прир. рес., ГМЦ)</t>
  </si>
  <si>
    <t>Расходы от оказ. плат. усл. (ГС КиИН, культура и искусство)</t>
  </si>
  <si>
    <t>Субсидии на содержание и благоустройство ИВМК "Бендерская крепость" и парка                                         им. А. Невского (ГА Бендер)</t>
  </si>
  <si>
    <t>Учр. и услуги в области здравоохранения, не отн. к др. гр.</t>
  </si>
  <si>
    <t>Министерство юстиции ПМР,                                  ГУ "Юридическая литература"</t>
  </si>
  <si>
    <t>Учр. и меропр. в обл. культ., искус., религии, спорта, не отн. к др. гр.</t>
  </si>
  <si>
    <t>Гос. поддержка производителей электроэнергии</t>
  </si>
  <si>
    <r>
      <t xml:space="preserve">Функционирование главы государства </t>
    </r>
    <r>
      <rPr>
        <b/>
        <sz val="12"/>
        <rFont val="Calibri"/>
        <family val="2"/>
        <charset val="204"/>
      </rPr>
      <t>‒</t>
    </r>
    <r>
      <rPr>
        <b/>
        <sz val="12"/>
        <rFont val="Times New Roman"/>
        <family val="1"/>
        <charset val="204"/>
      </rPr>
      <t xml:space="preserve">  Президента ПМР</t>
    </r>
  </si>
  <si>
    <t>Беспроцентный займ ЕГФСС на покрытие дефицита</t>
  </si>
  <si>
    <t xml:space="preserve"> [310400] </t>
  </si>
  <si>
    <t>Дворцы и дома культуры, клубы и др. учр-я ГС КиИН</t>
  </si>
  <si>
    <t>Проведение выборов депутатов ВС ПМР, народных депутатов местных СНД, председателей Советов – глав администраций сел, поселков</t>
  </si>
  <si>
    <t>Расходы от оказ. плат. усл. (Мин. с/х и прир. рес., наука)</t>
  </si>
  <si>
    <t>ГЦП "Сохран. недвижимых объектов культурного наследия"</t>
  </si>
  <si>
    <t>Прочие трансферты на производ-ственные цели</t>
  </si>
  <si>
    <t>Трансферты страховым компаниям на обязательное государст- венное, личное страхование</t>
  </si>
  <si>
    <t>Предоставле-ние займов финансовым учреждениям</t>
  </si>
  <si>
    <t>ПРЕДО-СТАВЛЕНИЕ И ВОЗВРАТ ЗАЙМОВ ЗА СЧЁТ БЮДЖЕТА</t>
  </si>
  <si>
    <t>Предоставле-ние прочих внутренних займов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</si>
</sst>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;\-#,##0;;@"/>
    <numFmt numFmtId="165" formatCode="#,###"/>
    <numFmt numFmtId="166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theme="1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5" fillId="0" borderId="0"/>
    <xf numFmtId="0" fontId="5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165" fontId="8" fillId="0" borderId="2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165" fontId="12" fillId="2" borderId="5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49" fontId="1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5" fontId="12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165" fontId="12" fillId="2" borderId="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10" fillId="0" borderId="1" xfId="0" applyNumberFormat="1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166" fontId="18" fillId="0" borderId="0" xfId="16" applyNumberFormat="1" applyFont="1" applyAlignment="1">
      <alignment vertical="center"/>
    </xf>
    <xf numFmtId="164" fontId="7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65" fontId="12" fillId="3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8" fillId="0" borderId="2" xfId="0" applyNumberFormat="1" applyFont="1" applyBorder="1" applyAlignment="1">
      <alignment horizontal="center" vertical="center"/>
    </xf>
    <xf numFmtId="164" fontId="7" fillId="3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vertical="center" wrapText="1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4" fontId="12" fillId="3" borderId="1" xfId="0" applyNumberFormat="1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vertical="center" wrapText="1"/>
    </xf>
    <xf numFmtId="164" fontId="21" fillId="0" borderId="0" xfId="0" applyNumberFormat="1" applyFont="1" applyBorder="1" applyAlignment="1">
      <alignment vertical="center" wrapText="1"/>
    </xf>
    <xf numFmtId="164" fontId="21" fillId="0" borderId="0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15" fillId="3" borderId="8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64" fontId="21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3" fontId="22" fillId="0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Alignment="1">
      <alignment horizontal="right" vertical="center"/>
    </xf>
    <xf numFmtId="3" fontId="7" fillId="3" borderId="1" xfId="0" applyNumberFormat="1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vertical="center" wrapText="1"/>
    </xf>
    <xf numFmtId="3" fontId="10" fillId="3" borderId="0" xfId="0" applyNumberFormat="1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</cellXfs>
  <cellStyles count="87">
    <cellStyle name="Обычный" xfId="0" builtinId="0"/>
    <cellStyle name="Обычный 10" xfId="31"/>
    <cellStyle name="Обычный 10 2" xfId="69"/>
    <cellStyle name="Обычный 11" xfId="82"/>
    <cellStyle name="Обычный 12" xfId="83"/>
    <cellStyle name="Обычный 13" xfId="84"/>
    <cellStyle name="Обычный 14" xfId="85"/>
    <cellStyle name="Обычный 15" xfId="86"/>
    <cellStyle name="Обычный 2" xfId="2"/>
    <cellStyle name="Обычный 2 2" xfId="6"/>
    <cellStyle name="Обычный 2 2 2" xfId="14"/>
    <cellStyle name="Обычный 2 2 2 2" xfId="42"/>
    <cellStyle name="Обычный 2 2 2 2 2" xfId="80"/>
    <cellStyle name="Обычный 2 2 2 3" xfId="28"/>
    <cellStyle name="Обычный 2 2 2 3 2" xfId="66"/>
    <cellStyle name="Обычный 2 2 2 4" xfId="54"/>
    <cellStyle name="Обычный 2 2 3" xfId="36"/>
    <cellStyle name="Обычный 2 2 3 2" xfId="74"/>
    <cellStyle name="Обычный 2 2 4" xfId="22"/>
    <cellStyle name="Обычный 2 2 4 2" xfId="60"/>
    <cellStyle name="Обычный 2 2 5" xfId="48"/>
    <cellStyle name="Обычный 2 3" xfId="11"/>
    <cellStyle name="Обычный 2 3 2" xfId="39"/>
    <cellStyle name="Обычный 2 3 2 2" xfId="77"/>
    <cellStyle name="Обычный 2 3 3" xfId="25"/>
    <cellStyle name="Обычный 2 3 3 2" xfId="63"/>
    <cellStyle name="Обычный 2 3 4" xfId="51"/>
    <cellStyle name="Обычный 2 4" xfId="33"/>
    <cellStyle name="Обычный 2 4 2" xfId="71"/>
    <cellStyle name="Обычный 2 5" xfId="19"/>
    <cellStyle name="Обычный 2 5 2" xfId="57"/>
    <cellStyle name="Обычный 2 6" xfId="45"/>
    <cellStyle name="Обычный 3" xfId="1"/>
    <cellStyle name="Обычный 3 2" xfId="5"/>
    <cellStyle name="Обычный 3 2 2" xfId="13"/>
    <cellStyle name="Обычный 3 2 2 2" xfId="41"/>
    <cellStyle name="Обычный 3 2 2 2 2" xfId="79"/>
    <cellStyle name="Обычный 3 2 2 3" xfId="27"/>
    <cellStyle name="Обычный 3 2 2 3 2" xfId="65"/>
    <cellStyle name="Обычный 3 2 2 4" xfId="53"/>
    <cellStyle name="Обычный 3 2 3" xfId="35"/>
    <cellStyle name="Обычный 3 2 3 2" xfId="73"/>
    <cellStyle name="Обычный 3 2 4" xfId="21"/>
    <cellStyle name="Обычный 3 2 4 2" xfId="59"/>
    <cellStyle name="Обычный 3 2 5" xfId="47"/>
    <cellStyle name="Обычный 3 3" xfId="10"/>
    <cellStyle name="Обычный 3 3 2" xfId="38"/>
    <cellStyle name="Обычный 3 3 2 2" xfId="76"/>
    <cellStyle name="Обычный 3 3 3" xfId="24"/>
    <cellStyle name="Обычный 3 3 3 2" xfId="62"/>
    <cellStyle name="Обычный 3 3 4" xfId="50"/>
    <cellStyle name="Обычный 3 4" xfId="32"/>
    <cellStyle name="Обычный 3 4 2" xfId="70"/>
    <cellStyle name="Обычный 3 5" xfId="18"/>
    <cellStyle name="Обычный 3 5 2" xfId="56"/>
    <cellStyle name="Обычный 3 6" xfId="44"/>
    <cellStyle name="Обычный 4" xfId="7"/>
    <cellStyle name="Обычный 5" xfId="4"/>
    <cellStyle name="Обычный 6" xfId="3"/>
    <cellStyle name="Обычный 6 2" xfId="12"/>
    <cellStyle name="Обычный 6 2 2" xfId="40"/>
    <cellStyle name="Обычный 6 2 2 2" xfId="78"/>
    <cellStyle name="Обычный 6 2 3" xfId="26"/>
    <cellStyle name="Обычный 6 2 3 2" xfId="64"/>
    <cellStyle name="Обычный 6 2 4" xfId="52"/>
    <cellStyle name="Обычный 6 3" xfId="34"/>
    <cellStyle name="Обычный 6 3 2" xfId="72"/>
    <cellStyle name="Обычный 6 4" xfId="20"/>
    <cellStyle name="Обычный 6 4 2" xfId="58"/>
    <cellStyle name="Обычный 6 5" xfId="46"/>
    <cellStyle name="Обычный 7" xfId="9"/>
    <cellStyle name="Обычный 8" xfId="8"/>
    <cellStyle name="Обычный 8 2" xfId="37"/>
    <cellStyle name="Обычный 8 2 2" xfId="75"/>
    <cellStyle name="Обычный 8 3" xfId="23"/>
    <cellStyle name="Обычный 8 3 2" xfId="61"/>
    <cellStyle name="Обычный 8 4" xfId="49"/>
    <cellStyle name="Обычный 9" xfId="17"/>
    <cellStyle name="Финансовый" xfId="16" builtinId="3"/>
    <cellStyle name="Финансовый 2" xfId="15"/>
    <cellStyle name="Финансовый 2 2" xfId="43"/>
    <cellStyle name="Финансовый 2 2 2" xfId="81"/>
    <cellStyle name="Финансовый 2 3" xfId="29"/>
    <cellStyle name="Финансовый 2 3 2" xfId="67"/>
    <cellStyle name="Финансовый 2 4" xfId="55"/>
    <cellStyle name="Финансовый 3" xfId="30"/>
    <cellStyle name="Финансовый 3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322"/>
  <sheetViews>
    <sheetView tabSelected="1" view="pageBreakPreview" zoomScaleNormal="110" zoomScaleSheetLayoutView="100" workbookViewId="0">
      <pane xSplit="4" ySplit="22" topLeftCell="E286" activePane="bottomRight" state="frozenSplit"/>
      <selection activeCell="A7" sqref="A7"/>
      <selection pane="topRight" activeCell="D1" sqref="D1"/>
      <selection pane="bottomLeft" activeCell="A11" sqref="A11"/>
      <selection pane="bottomRight" activeCell="CR21" sqref="CR21"/>
    </sheetView>
  </sheetViews>
  <sheetFormatPr defaultColWidth="9.109375" defaultRowHeight="14.4" x14ac:dyDescent="0.3"/>
  <cols>
    <col min="1" max="1" width="6.33203125" style="44" customWidth="1"/>
    <col min="2" max="2" width="4.33203125" style="44" customWidth="1"/>
    <col min="3" max="3" width="45" style="44" customWidth="1"/>
    <col min="4" max="4" width="11.6640625" style="44" customWidth="1"/>
    <col min="5" max="5" width="11.109375" style="44" customWidth="1"/>
    <col min="6" max="7" width="11" style="44" customWidth="1"/>
    <col min="8" max="8" width="9.6640625" style="44" customWidth="1"/>
    <col min="9" max="10" width="9.88671875" style="44" customWidth="1"/>
    <col min="11" max="11" width="9" style="44" customWidth="1"/>
    <col min="12" max="12" width="9.5546875" style="44" customWidth="1"/>
    <col min="13" max="13" width="8.33203125" style="44" customWidth="1"/>
    <col min="14" max="14" width="8.88671875" style="44" customWidth="1"/>
    <col min="15" max="16" width="10" style="44" customWidth="1"/>
    <col min="17" max="20" width="9.109375" style="44" customWidth="1"/>
    <col min="21" max="21" width="10" style="44" customWidth="1"/>
    <col min="22" max="22" width="9.33203125" style="44" customWidth="1"/>
    <col min="23" max="23" width="8.6640625" style="44" customWidth="1"/>
    <col min="24" max="24" width="9.44140625" style="44" customWidth="1"/>
    <col min="25" max="25" width="10.44140625" style="44" customWidth="1"/>
    <col min="26" max="26" width="7.88671875" style="44" customWidth="1"/>
    <col min="27" max="27" width="8.5546875" style="44" customWidth="1"/>
    <col min="28" max="28" width="9.5546875" style="44" customWidth="1"/>
    <col min="29" max="29" width="7.88671875" style="44" customWidth="1"/>
    <col min="30" max="30" width="8.44140625" style="44" customWidth="1"/>
    <col min="31" max="31" width="11.33203125" style="44" customWidth="1"/>
    <col min="32" max="32" width="9.109375" style="44" customWidth="1"/>
    <col min="33" max="33" width="12.5546875" style="44" customWidth="1"/>
    <col min="34" max="34" width="8.88671875" style="44" customWidth="1"/>
    <col min="35" max="35" width="8.6640625" style="44" customWidth="1"/>
    <col min="36" max="36" width="8.109375" style="44" customWidth="1"/>
    <col min="37" max="37" width="7.88671875" style="44" customWidth="1"/>
    <col min="38" max="38" width="9" style="44" customWidth="1"/>
    <col min="39" max="39" width="8.44140625" style="44" customWidth="1"/>
    <col min="40" max="40" width="7.88671875" style="44" customWidth="1"/>
    <col min="41" max="41" width="9" style="44" customWidth="1"/>
    <col min="42" max="42" width="8.109375" style="44" customWidth="1"/>
    <col min="43" max="43" width="8.6640625" style="44" customWidth="1"/>
    <col min="44" max="44" width="7.88671875" style="44" customWidth="1"/>
    <col min="45" max="45" width="8.109375" style="44" customWidth="1"/>
    <col min="46" max="46" width="9.33203125" style="44" customWidth="1"/>
    <col min="47" max="47" width="8.44140625" style="44" customWidth="1"/>
    <col min="48" max="48" width="8.6640625" style="44" customWidth="1"/>
    <col min="49" max="49" width="10.33203125" style="44" customWidth="1"/>
    <col min="50" max="50" width="8.109375" style="44" customWidth="1"/>
    <col min="51" max="51" width="8.88671875" style="44" customWidth="1"/>
    <col min="52" max="53" width="10.88671875" style="44" customWidth="1"/>
    <col min="54" max="54" width="9.6640625" style="44" customWidth="1"/>
    <col min="55" max="56" width="9.5546875" style="44" customWidth="1"/>
    <col min="57" max="57" width="9.6640625" style="44" customWidth="1"/>
    <col min="58" max="58" width="8.6640625" style="44" customWidth="1"/>
    <col min="59" max="59" width="8.88671875" style="44" customWidth="1"/>
    <col min="60" max="61" width="9.109375" style="44" customWidth="1"/>
    <col min="62" max="63" width="10.88671875" style="44" customWidth="1"/>
    <col min="64" max="64" width="8.88671875" style="44" customWidth="1"/>
    <col min="65" max="65" width="9.5546875" style="44" customWidth="1"/>
    <col min="66" max="66" width="9" style="44" customWidth="1"/>
    <col min="67" max="67" width="9.6640625" style="44" customWidth="1"/>
    <col min="68" max="68" width="10.33203125" style="44" customWidth="1"/>
    <col min="69" max="69" width="9.33203125" style="44" customWidth="1"/>
    <col min="70" max="70" width="9.5546875" style="44" customWidth="1"/>
    <col min="71" max="71" width="10.109375" style="44" customWidth="1"/>
    <col min="72" max="72" width="9.109375" style="44" customWidth="1"/>
    <col min="73" max="73" width="8.44140625" style="44" customWidth="1"/>
    <col min="74" max="74" width="10.109375" style="44" customWidth="1"/>
    <col min="75" max="76" width="9.109375" style="44" customWidth="1"/>
    <col min="77" max="77" width="10.109375" style="44" customWidth="1"/>
    <col min="78" max="78" width="9.109375" style="44" customWidth="1"/>
    <col min="79" max="79" width="10.109375" style="44" customWidth="1"/>
    <col min="80" max="80" width="10" style="44" customWidth="1"/>
    <col min="81" max="81" width="9.33203125" style="44" customWidth="1"/>
    <col min="82" max="82" width="8.109375" style="44" customWidth="1"/>
    <col min="83" max="84" width="10" style="44" customWidth="1"/>
    <col min="85" max="85" width="9.88671875" style="44" customWidth="1"/>
    <col min="86" max="86" width="10.44140625" style="44" customWidth="1"/>
    <col min="87" max="87" width="8.88671875" style="44" customWidth="1"/>
    <col min="88" max="88" width="8.33203125" style="44" customWidth="1"/>
    <col min="89" max="89" width="9.6640625" style="44" customWidth="1"/>
    <col min="90" max="90" width="9.88671875" style="44" customWidth="1"/>
    <col min="91" max="92" width="11.109375" style="44" customWidth="1"/>
    <col min="93" max="93" width="10" style="44" customWidth="1"/>
    <col min="94" max="94" width="10.109375" style="44" customWidth="1"/>
    <col min="95" max="96" width="10.109375" style="68" customWidth="1"/>
    <col min="97" max="97" width="9.109375" style="44" customWidth="1"/>
    <col min="98" max="98" width="9" style="44" bestFit="1" customWidth="1"/>
    <col min="99" max="99" width="6.88671875" style="44" bestFit="1" customWidth="1"/>
    <col min="100" max="100" width="76.6640625" style="44" customWidth="1"/>
    <col min="101" max="101" width="9.109375" style="44" customWidth="1"/>
    <col min="102" max="196" width="9.109375" style="44" hidden="1" customWidth="1"/>
    <col min="197" max="16384" width="9.109375" style="44"/>
  </cols>
  <sheetData>
    <row r="1" spans="1:96" ht="15.6" hidden="1" x14ac:dyDescent="0.3">
      <c r="O1" s="98" t="s">
        <v>440</v>
      </c>
    </row>
    <row r="2" spans="1:96" ht="15.6" hidden="1" x14ac:dyDescent="0.3">
      <c r="O2" s="99" t="s">
        <v>413</v>
      </c>
    </row>
    <row r="3" spans="1:96" ht="15.6" hidden="1" x14ac:dyDescent="0.3">
      <c r="O3" s="98" t="s">
        <v>581</v>
      </c>
    </row>
    <row r="4" spans="1:96" ht="15.6" hidden="1" x14ac:dyDescent="0.3">
      <c r="O4" s="99" t="s">
        <v>582</v>
      </c>
    </row>
    <row r="5" spans="1:96" ht="15.6" hidden="1" x14ac:dyDescent="0.3">
      <c r="O5" s="99" t="s">
        <v>517</v>
      </c>
    </row>
    <row r="6" spans="1:96" hidden="1" x14ac:dyDescent="0.3"/>
    <row r="7" spans="1:96" ht="15.6" x14ac:dyDescent="0.3">
      <c r="J7" s="5"/>
      <c r="K7" s="106" t="s">
        <v>440</v>
      </c>
      <c r="L7" s="106"/>
      <c r="M7" s="5"/>
    </row>
    <row r="8" spans="1:96" ht="15.6" x14ac:dyDescent="0.3">
      <c r="G8" s="106" t="s">
        <v>413</v>
      </c>
      <c r="H8" s="106"/>
      <c r="I8" s="106"/>
      <c r="J8" s="106"/>
      <c r="K8" s="106"/>
      <c r="L8" s="106"/>
    </row>
    <row r="9" spans="1:96" ht="15.6" x14ac:dyDescent="0.3">
      <c r="G9" s="106" t="s">
        <v>581</v>
      </c>
      <c r="H9" s="106"/>
      <c r="I9" s="106"/>
      <c r="J9" s="106"/>
      <c r="K9" s="106"/>
      <c r="L9" s="106"/>
    </row>
    <row r="10" spans="1:96" ht="15.6" x14ac:dyDescent="0.3">
      <c r="G10" s="106" t="s">
        <v>582</v>
      </c>
      <c r="H10" s="106"/>
      <c r="I10" s="106"/>
      <c r="J10" s="106"/>
      <c r="K10" s="106"/>
      <c r="L10" s="106"/>
    </row>
    <row r="11" spans="1:96" ht="15.6" x14ac:dyDescent="0.3">
      <c r="H11" s="106" t="s">
        <v>517</v>
      </c>
      <c r="I11" s="106"/>
      <c r="J11" s="106"/>
      <c r="K11" s="106"/>
      <c r="L11" s="106"/>
    </row>
    <row r="12" spans="1:96" ht="11.4" customHeight="1" x14ac:dyDescent="0.3">
      <c r="J12" s="69"/>
      <c r="K12" s="69"/>
      <c r="L12" s="69"/>
      <c r="M12" s="69"/>
      <c r="N12" s="69"/>
      <c r="O12" s="69"/>
    </row>
    <row r="13" spans="1:96" s="6" customFormat="1" ht="15.6" x14ac:dyDescent="0.3">
      <c r="B13" s="5"/>
      <c r="C13" s="5"/>
      <c r="D13" s="5"/>
      <c r="E13" s="5"/>
      <c r="F13" s="5"/>
      <c r="G13" s="5"/>
      <c r="H13" s="5"/>
      <c r="I13" s="5"/>
      <c r="J13" s="5"/>
      <c r="K13" s="106" t="s">
        <v>440</v>
      </c>
      <c r="L13" s="106"/>
      <c r="M13" s="5"/>
      <c r="R13" s="5"/>
      <c r="S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Q13" s="74"/>
      <c r="CR13" s="74"/>
    </row>
    <row r="14" spans="1:96" s="6" customFormat="1" ht="15.6" x14ac:dyDescent="0.3">
      <c r="B14" s="5"/>
      <c r="C14" s="5"/>
      <c r="D14" s="5"/>
      <c r="E14" s="5"/>
      <c r="F14" s="5"/>
      <c r="G14" s="5"/>
      <c r="H14" s="5"/>
      <c r="I14" s="5"/>
      <c r="J14" s="5"/>
      <c r="K14" s="5"/>
      <c r="L14" s="97" t="s">
        <v>413</v>
      </c>
      <c r="R14" s="5"/>
      <c r="S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Q14" s="74"/>
      <c r="CR14" s="74"/>
    </row>
    <row r="15" spans="1:96" s="6" customFormat="1" ht="15.6" x14ac:dyDescent="0.3">
      <c r="B15" s="5"/>
      <c r="C15" s="5"/>
      <c r="D15" s="5"/>
      <c r="E15" s="5"/>
      <c r="F15" s="5"/>
      <c r="G15" s="5"/>
      <c r="H15" s="5"/>
      <c r="I15" s="5"/>
      <c r="J15" s="5"/>
      <c r="K15" s="5"/>
      <c r="L15" s="97" t="s">
        <v>517</v>
      </c>
      <c r="R15" s="5"/>
      <c r="S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Q15" s="74"/>
      <c r="CR15" s="74"/>
    </row>
    <row r="16" spans="1:96" s="6" customFormat="1" ht="12" customHeight="1" x14ac:dyDescent="0.3">
      <c r="A16" s="3"/>
      <c r="B16" s="3"/>
      <c r="C16" s="4"/>
      <c r="D16" s="5"/>
      <c r="E16" s="5"/>
      <c r="G16" s="7"/>
      <c r="H16" s="7"/>
      <c r="L16" s="5"/>
      <c r="M16" s="7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Q16" s="74"/>
      <c r="CR16" s="74"/>
    </row>
    <row r="17" spans="1:198" s="6" customFormat="1" ht="15.6" x14ac:dyDescent="0.3">
      <c r="A17" s="8"/>
      <c r="B17" s="8"/>
      <c r="C17" s="4"/>
      <c r="D17" s="9" t="s">
        <v>516</v>
      </c>
      <c r="E17" s="9"/>
      <c r="F17" s="9"/>
      <c r="G17" s="9"/>
      <c r="H17" s="9"/>
      <c r="I17" s="9"/>
      <c r="J17" s="9"/>
      <c r="K17" s="9"/>
      <c r="CP17" s="74"/>
      <c r="CQ17" s="74"/>
      <c r="CR17" s="74"/>
    </row>
    <row r="18" spans="1:198" s="2" customFormat="1" ht="16.2" thickBot="1" x14ac:dyDescent="0.35">
      <c r="A18" s="10"/>
      <c r="B18" s="10"/>
      <c r="E18" s="11"/>
      <c r="F18" s="11"/>
      <c r="L18" s="70" t="s">
        <v>414</v>
      </c>
      <c r="CO18" s="75"/>
      <c r="CP18" s="75"/>
      <c r="CQ18" s="75"/>
      <c r="CR18" s="102"/>
      <c r="CS18" s="55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</row>
    <row r="19" spans="1:198" s="2" customFormat="1" ht="26.25" customHeight="1" x14ac:dyDescent="0.3">
      <c r="A19" s="48" t="s">
        <v>462</v>
      </c>
      <c r="B19" s="115" t="s">
        <v>37</v>
      </c>
      <c r="C19" s="118" t="s">
        <v>0</v>
      </c>
      <c r="D19" s="121" t="s">
        <v>15</v>
      </c>
      <c r="E19" s="104" t="s">
        <v>2</v>
      </c>
      <c r="F19" s="104" t="s">
        <v>3</v>
      </c>
      <c r="G19" s="104" t="s">
        <v>4</v>
      </c>
      <c r="H19" s="104" t="s">
        <v>563</v>
      </c>
      <c r="I19" s="104" t="s">
        <v>523</v>
      </c>
      <c r="J19" s="104" t="s">
        <v>539</v>
      </c>
      <c r="K19" s="104" t="s">
        <v>16</v>
      </c>
      <c r="L19" s="104" t="s">
        <v>5</v>
      </c>
      <c r="M19" s="104" t="s">
        <v>6</v>
      </c>
      <c r="N19" s="104" t="s">
        <v>540</v>
      </c>
      <c r="O19" s="104" t="s">
        <v>17</v>
      </c>
      <c r="P19" s="104" t="s">
        <v>451</v>
      </c>
      <c r="Q19" s="104" t="s">
        <v>558</v>
      </c>
      <c r="R19" s="104" t="s">
        <v>559</v>
      </c>
      <c r="S19" s="104" t="s">
        <v>18</v>
      </c>
      <c r="T19" s="124" t="s">
        <v>7</v>
      </c>
      <c r="U19" s="104" t="s">
        <v>19</v>
      </c>
      <c r="V19" s="104" t="s">
        <v>535</v>
      </c>
      <c r="W19" s="104" t="s">
        <v>8</v>
      </c>
      <c r="X19" s="104" t="s">
        <v>536</v>
      </c>
      <c r="Y19" s="104" t="s">
        <v>541</v>
      </c>
      <c r="Z19" s="104" t="s">
        <v>9</v>
      </c>
      <c r="AA19" s="104" t="s">
        <v>537</v>
      </c>
      <c r="AB19" s="104" t="s">
        <v>565</v>
      </c>
      <c r="AC19" s="104" t="s">
        <v>10</v>
      </c>
      <c r="AD19" s="104" t="s">
        <v>445</v>
      </c>
      <c r="AE19" s="104" t="s">
        <v>20</v>
      </c>
      <c r="AF19" s="104" t="s">
        <v>542</v>
      </c>
      <c r="AG19" s="104" t="s">
        <v>560</v>
      </c>
      <c r="AH19" s="104" t="s">
        <v>543</v>
      </c>
      <c r="AI19" s="104" t="s">
        <v>538</v>
      </c>
      <c r="AJ19" s="104" t="s">
        <v>561</v>
      </c>
      <c r="AK19" s="104" t="s">
        <v>11</v>
      </c>
      <c r="AL19" s="104" t="s">
        <v>544</v>
      </c>
      <c r="AM19" s="104" t="s">
        <v>421</v>
      </c>
      <c r="AN19" s="104" t="s">
        <v>21</v>
      </c>
      <c r="AO19" s="104" t="s">
        <v>22</v>
      </c>
      <c r="AP19" s="104" t="s">
        <v>23</v>
      </c>
      <c r="AQ19" s="104" t="s">
        <v>24</v>
      </c>
      <c r="AR19" s="104" t="s">
        <v>25</v>
      </c>
      <c r="AS19" s="104" t="s">
        <v>26</v>
      </c>
      <c r="AT19" s="104" t="s">
        <v>545</v>
      </c>
      <c r="AU19" s="104" t="s">
        <v>27</v>
      </c>
      <c r="AV19" s="104" t="s">
        <v>415</v>
      </c>
      <c r="AW19" s="104" t="s">
        <v>546</v>
      </c>
      <c r="AX19" s="104" t="s">
        <v>422</v>
      </c>
      <c r="AY19" s="109" t="s">
        <v>427</v>
      </c>
      <c r="AZ19" s="104" t="s">
        <v>547</v>
      </c>
      <c r="BA19" s="104" t="s">
        <v>423</v>
      </c>
      <c r="BB19" s="104" t="s">
        <v>548</v>
      </c>
      <c r="BC19" s="104" t="s">
        <v>549</v>
      </c>
      <c r="BD19" s="104" t="s">
        <v>550</v>
      </c>
      <c r="BE19" s="104" t="s">
        <v>28</v>
      </c>
      <c r="BF19" s="104" t="s">
        <v>29</v>
      </c>
      <c r="BG19" s="104" t="s">
        <v>551</v>
      </c>
      <c r="BH19" s="104" t="s">
        <v>611</v>
      </c>
      <c r="BI19" s="104" t="s">
        <v>552</v>
      </c>
      <c r="BJ19" s="104" t="s">
        <v>525</v>
      </c>
      <c r="BK19" s="111" t="s">
        <v>515</v>
      </c>
      <c r="BL19" s="104" t="s">
        <v>30</v>
      </c>
      <c r="BM19" s="104" t="s">
        <v>612</v>
      </c>
      <c r="BN19" s="104" t="s">
        <v>534</v>
      </c>
      <c r="BO19" s="104" t="s">
        <v>424</v>
      </c>
      <c r="BP19" s="104" t="s">
        <v>31</v>
      </c>
      <c r="BQ19" s="104" t="s">
        <v>32</v>
      </c>
      <c r="BR19" s="104" t="s">
        <v>12</v>
      </c>
      <c r="BS19" s="104" t="s">
        <v>518</v>
      </c>
      <c r="BT19" s="104" t="s">
        <v>519</v>
      </c>
      <c r="BU19" s="104" t="s">
        <v>34</v>
      </c>
      <c r="BV19" s="104" t="s">
        <v>452</v>
      </c>
      <c r="BW19" s="104" t="s">
        <v>524</v>
      </c>
      <c r="BX19" s="104" t="s">
        <v>425</v>
      </c>
      <c r="BY19" s="104" t="s">
        <v>14</v>
      </c>
      <c r="BZ19" s="104" t="s">
        <v>35</v>
      </c>
      <c r="CA19" s="104" t="s">
        <v>416</v>
      </c>
      <c r="CB19" s="104" t="s">
        <v>453</v>
      </c>
      <c r="CC19" s="104" t="s">
        <v>567</v>
      </c>
      <c r="CD19" s="104" t="s">
        <v>553</v>
      </c>
      <c r="CE19" s="104" t="s">
        <v>568</v>
      </c>
      <c r="CF19" s="104" t="s">
        <v>36</v>
      </c>
      <c r="CG19" s="104" t="s">
        <v>554</v>
      </c>
      <c r="CH19" s="104" t="s">
        <v>555</v>
      </c>
      <c r="CI19" s="104" t="s">
        <v>446</v>
      </c>
      <c r="CJ19" s="104" t="s">
        <v>556</v>
      </c>
      <c r="CK19" s="104" t="s">
        <v>417</v>
      </c>
      <c r="CL19" s="104" t="s">
        <v>557</v>
      </c>
      <c r="CM19" s="104" t="s">
        <v>562</v>
      </c>
      <c r="CN19" s="104" t="s">
        <v>426</v>
      </c>
      <c r="CO19" s="107" t="s">
        <v>614</v>
      </c>
      <c r="CP19" s="107" t="s">
        <v>571</v>
      </c>
      <c r="CQ19" s="107" t="s">
        <v>613</v>
      </c>
      <c r="CR19" s="107" t="s">
        <v>615</v>
      </c>
      <c r="CS19" s="54"/>
    </row>
    <row r="20" spans="1:198" s="2" customFormat="1" ht="66.75" customHeight="1" x14ac:dyDescent="0.3">
      <c r="A20" s="113" t="s">
        <v>461</v>
      </c>
      <c r="B20" s="116"/>
      <c r="C20" s="119"/>
      <c r="D20" s="122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2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10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12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8"/>
      <c r="CP20" s="108"/>
      <c r="CQ20" s="108"/>
      <c r="CR20" s="108"/>
      <c r="CS20" s="55"/>
    </row>
    <row r="21" spans="1:198" s="2" customFormat="1" ht="13.8" thickBot="1" x14ac:dyDescent="0.35">
      <c r="A21" s="114"/>
      <c r="B21" s="117"/>
      <c r="C21" s="120"/>
      <c r="D21" s="123"/>
      <c r="E21" s="1" t="s">
        <v>333</v>
      </c>
      <c r="F21" s="1" t="s">
        <v>334</v>
      </c>
      <c r="G21" s="1" t="s">
        <v>335</v>
      </c>
      <c r="H21" s="1" t="s">
        <v>336</v>
      </c>
      <c r="I21" s="1" t="s">
        <v>337</v>
      </c>
      <c r="J21" s="1" t="s">
        <v>338</v>
      </c>
      <c r="K21" s="1" t="s">
        <v>339</v>
      </c>
      <c r="L21" s="1" t="s">
        <v>340</v>
      </c>
      <c r="M21" s="1" t="s">
        <v>341</v>
      </c>
      <c r="N21" s="1" t="s">
        <v>342</v>
      </c>
      <c r="O21" s="1" t="s">
        <v>343</v>
      </c>
      <c r="P21" s="1" t="s">
        <v>344</v>
      </c>
      <c r="Q21" s="1" t="s">
        <v>345</v>
      </c>
      <c r="R21" s="1" t="s">
        <v>346</v>
      </c>
      <c r="S21" s="1" t="s">
        <v>347</v>
      </c>
      <c r="T21" s="1" t="s">
        <v>348</v>
      </c>
      <c r="U21" s="1" t="s">
        <v>349</v>
      </c>
      <c r="V21" s="1" t="s">
        <v>350</v>
      </c>
      <c r="W21" s="1" t="s">
        <v>351</v>
      </c>
      <c r="X21" s="1" t="s">
        <v>352</v>
      </c>
      <c r="Y21" s="1" t="s">
        <v>353</v>
      </c>
      <c r="Z21" s="1" t="s">
        <v>354</v>
      </c>
      <c r="AA21" s="1" t="s">
        <v>355</v>
      </c>
      <c r="AB21" s="1" t="s">
        <v>356</v>
      </c>
      <c r="AC21" s="1" t="s">
        <v>357</v>
      </c>
      <c r="AD21" s="73" t="s">
        <v>566</v>
      </c>
      <c r="AE21" s="1" t="s">
        <v>358</v>
      </c>
      <c r="AF21" s="1" t="s">
        <v>359</v>
      </c>
      <c r="AG21" s="1" t="s">
        <v>360</v>
      </c>
      <c r="AH21" s="1" t="s">
        <v>361</v>
      </c>
      <c r="AI21" s="1" t="s">
        <v>362</v>
      </c>
      <c r="AJ21" s="1" t="s">
        <v>363</v>
      </c>
      <c r="AK21" s="1" t="s">
        <v>364</v>
      </c>
      <c r="AL21" s="1" t="s">
        <v>365</v>
      </c>
      <c r="AM21" s="1" t="s">
        <v>366</v>
      </c>
      <c r="AN21" s="1" t="s">
        <v>367</v>
      </c>
      <c r="AO21" s="1" t="s">
        <v>368</v>
      </c>
      <c r="AP21" s="1" t="s">
        <v>369</v>
      </c>
      <c r="AQ21" s="1" t="s">
        <v>370</v>
      </c>
      <c r="AR21" s="1" t="s">
        <v>371</v>
      </c>
      <c r="AS21" s="1" t="s">
        <v>372</v>
      </c>
      <c r="AT21" s="1" t="s">
        <v>373</v>
      </c>
      <c r="AU21" s="1" t="s">
        <v>374</v>
      </c>
      <c r="AV21" s="1" t="s">
        <v>375</v>
      </c>
      <c r="AW21" s="1" t="s">
        <v>376</v>
      </c>
      <c r="AX21" s="1" t="s">
        <v>377</v>
      </c>
      <c r="AY21" s="47" t="s">
        <v>428</v>
      </c>
      <c r="AZ21" s="1" t="s">
        <v>378</v>
      </c>
      <c r="BA21" s="1" t="s">
        <v>379</v>
      </c>
      <c r="BB21" s="1" t="s">
        <v>380</v>
      </c>
      <c r="BC21" s="1" t="s">
        <v>381</v>
      </c>
      <c r="BD21" s="1" t="s">
        <v>382</v>
      </c>
      <c r="BE21" s="1" t="s">
        <v>383</v>
      </c>
      <c r="BF21" s="1" t="s">
        <v>384</v>
      </c>
      <c r="BG21" s="1" t="s">
        <v>385</v>
      </c>
      <c r="BH21" s="1" t="s">
        <v>585</v>
      </c>
      <c r="BI21" s="1" t="s">
        <v>386</v>
      </c>
      <c r="BJ21" s="1" t="s">
        <v>387</v>
      </c>
      <c r="BK21" s="1" t="s">
        <v>513</v>
      </c>
      <c r="BL21" s="1" t="s">
        <v>388</v>
      </c>
      <c r="BM21" s="1" t="s">
        <v>389</v>
      </c>
      <c r="BN21" s="1" t="s">
        <v>419</v>
      </c>
      <c r="BO21" s="1" t="s">
        <v>390</v>
      </c>
      <c r="BP21" s="1" t="s">
        <v>391</v>
      </c>
      <c r="BQ21" s="1" t="s">
        <v>392</v>
      </c>
      <c r="BR21" s="1" t="s">
        <v>393</v>
      </c>
      <c r="BS21" s="1" t="s">
        <v>394</v>
      </c>
      <c r="BT21" s="1" t="s">
        <v>395</v>
      </c>
      <c r="BU21" s="1" t="s">
        <v>396</v>
      </c>
      <c r="BV21" s="1" t="s">
        <v>397</v>
      </c>
      <c r="BW21" s="1" t="s">
        <v>398</v>
      </c>
      <c r="BX21" s="1" t="s">
        <v>399</v>
      </c>
      <c r="BY21" s="1" t="s">
        <v>400</v>
      </c>
      <c r="BZ21" s="1" t="s">
        <v>401</v>
      </c>
      <c r="CA21" s="1" t="s">
        <v>402</v>
      </c>
      <c r="CB21" s="1" t="s">
        <v>403</v>
      </c>
      <c r="CC21" s="1" t="s">
        <v>404</v>
      </c>
      <c r="CD21" s="1" t="s">
        <v>405</v>
      </c>
      <c r="CE21" s="1" t="s">
        <v>406</v>
      </c>
      <c r="CF21" s="1" t="s">
        <v>407</v>
      </c>
      <c r="CG21" s="1" t="s">
        <v>438</v>
      </c>
      <c r="CH21" s="1" t="s">
        <v>408</v>
      </c>
      <c r="CI21" s="1" t="s">
        <v>439</v>
      </c>
      <c r="CJ21" s="1" t="s">
        <v>500</v>
      </c>
      <c r="CK21" s="1" t="s">
        <v>409</v>
      </c>
      <c r="CL21" s="1" t="s">
        <v>410</v>
      </c>
      <c r="CM21" s="1" t="s">
        <v>411</v>
      </c>
      <c r="CN21" s="1" t="s">
        <v>412</v>
      </c>
      <c r="CO21" s="76" t="s">
        <v>572</v>
      </c>
      <c r="CP21" s="76" t="s">
        <v>573</v>
      </c>
      <c r="CQ21" s="76" t="s">
        <v>574</v>
      </c>
      <c r="CR21" s="76" t="s">
        <v>606</v>
      </c>
      <c r="CS21" s="55"/>
    </row>
    <row r="22" spans="1:198" s="2" customFormat="1" ht="2.25" customHeight="1" x14ac:dyDescent="0.3">
      <c r="A22" s="87"/>
      <c r="B22" s="56"/>
      <c r="C22" s="57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60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77"/>
      <c r="CP22" s="77"/>
      <c r="CQ22" s="77"/>
      <c r="CR22" s="77"/>
      <c r="CS22" s="55"/>
    </row>
    <row r="23" spans="1:198" s="52" customFormat="1" ht="31.2" x14ac:dyDescent="0.3">
      <c r="A23" s="88" t="s">
        <v>38</v>
      </c>
      <c r="B23" s="12" t="s">
        <v>1</v>
      </c>
      <c r="C23" s="13" t="s">
        <v>39</v>
      </c>
      <c r="D23" s="14">
        <f t="shared" ref="D23:AI23" si="0">SUM(D24+D26+D30+D44+D46+D51+D53)</f>
        <v>258904800</v>
      </c>
      <c r="E23" s="14">
        <f t="shared" si="0"/>
        <v>255863734</v>
      </c>
      <c r="F23" s="14">
        <f t="shared" si="0"/>
        <v>252056574</v>
      </c>
      <c r="G23" s="14">
        <f t="shared" si="0"/>
        <v>176553920</v>
      </c>
      <c r="H23" s="14">
        <f t="shared" si="0"/>
        <v>37424368</v>
      </c>
      <c r="I23" s="14">
        <f t="shared" si="0"/>
        <v>8477675</v>
      </c>
      <c r="J23" s="14">
        <f t="shared" si="0"/>
        <v>0</v>
      </c>
      <c r="K23" s="14">
        <f t="shared" si="0"/>
        <v>262526</v>
      </c>
      <c r="L23" s="14">
        <f t="shared" si="0"/>
        <v>0</v>
      </c>
      <c r="M23" s="14">
        <f t="shared" si="0"/>
        <v>0</v>
      </c>
      <c r="N23" s="14">
        <f t="shared" si="0"/>
        <v>5910501</v>
      </c>
      <c r="O23" s="14">
        <f t="shared" si="0"/>
        <v>2304648</v>
      </c>
      <c r="P23" s="14">
        <f t="shared" si="0"/>
        <v>1659995</v>
      </c>
      <c r="Q23" s="14">
        <f t="shared" si="0"/>
        <v>856</v>
      </c>
      <c r="R23" s="14">
        <f t="shared" si="0"/>
        <v>1659139</v>
      </c>
      <c r="S23" s="14">
        <f t="shared" si="0"/>
        <v>40000</v>
      </c>
      <c r="T23" s="14">
        <f t="shared" si="0"/>
        <v>4273192</v>
      </c>
      <c r="U23" s="14">
        <f t="shared" si="0"/>
        <v>6762996</v>
      </c>
      <c r="V23" s="14">
        <f t="shared" si="0"/>
        <v>951158</v>
      </c>
      <c r="W23" s="14">
        <f t="shared" si="0"/>
        <v>1761204</v>
      </c>
      <c r="X23" s="14">
        <f t="shared" si="0"/>
        <v>2928885</v>
      </c>
      <c r="Y23" s="14">
        <f t="shared" si="0"/>
        <v>297705</v>
      </c>
      <c r="Z23" s="14">
        <f t="shared" si="0"/>
        <v>138587</v>
      </c>
      <c r="AA23" s="14">
        <f t="shared" si="0"/>
        <v>287809</v>
      </c>
      <c r="AB23" s="14">
        <f t="shared" si="0"/>
        <v>0</v>
      </c>
      <c r="AC23" s="14">
        <f t="shared" si="0"/>
        <v>397648</v>
      </c>
      <c r="AD23" s="14">
        <f>SUM(AD24+AD26+AD30+AD44+AD46+AD51+AD53)</f>
        <v>10341</v>
      </c>
      <c r="AE23" s="14">
        <f t="shared" si="0"/>
        <v>16854087</v>
      </c>
      <c r="AF23" s="14">
        <f t="shared" si="0"/>
        <v>50000</v>
      </c>
      <c r="AG23" s="14">
        <f t="shared" si="0"/>
        <v>0</v>
      </c>
      <c r="AH23" s="14">
        <f t="shared" si="0"/>
        <v>527953</v>
      </c>
      <c r="AI23" s="14">
        <f t="shared" si="0"/>
        <v>215708</v>
      </c>
      <c r="AJ23" s="14">
        <f t="shared" ref="AJ23:BQ23" si="1">SUM(AJ24+AJ26+AJ30+AJ44+AJ46+AJ51+AJ53)</f>
        <v>0</v>
      </c>
      <c r="AK23" s="14">
        <f t="shared" si="1"/>
        <v>72605</v>
      </c>
      <c r="AL23" s="14">
        <f t="shared" si="1"/>
        <v>862726</v>
      </c>
      <c r="AM23" s="14">
        <f t="shared" si="1"/>
        <v>114170</v>
      </c>
      <c r="AN23" s="14">
        <f t="shared" si="1"/>
        <v>525297</v>
      </c>
      <c r="AO23" s="14">
        <f t="shared" si="1"/>
        <v>7613117</v>
      </c>
      <c r="AP23" s="14">
        <f t="shared" si="1"/>
        <v>3845</v>
      </c>
      <c r="AQ23" s="14">
        <f t="shared" si="1"/>
        <v>0</v>
      </c>
      <c r="AR23" s="14">
        <f t="shared" si="1"/>
        <v>839664</v>
      </c>
      <c r="AS23" s="14">
        <f t="shared" si="1"/>
        <v>327967</v>
      </c>
      <c r="AT23" s="14">
        <f t="shared" si="1"/>
        <v>0</v>
      </c>
      <c r="AU23" s="14">
        <f t="shared" si="1"/>
        <v>0</v>
      </c>
      <c r="AV23" s="14">
        <f t="shared" si="1"/>
        <v>0</v>
      </c>
      <c r="AW23" s="14">
        <f t="shared" si="1"/>
        <v>930833</v>
      </c>
      <c r="AX23" s="14">
        <f t="shared" si="1"/>
        <v>2111650</v>
      </c>
      <c r="AY23" s="14">
        <f t="shared" si="1"/>
        <v>517513</v>
      </c>
      <c r="AZ23" s="14">
        <f t="shared" si="1"/>
        <v>2141039</v>
      </c>
      <c r="BA23" s="14">
        <f t="shared" si="1"/>
        <v>3807160</v>
      </c>
      <c r="BB23" s="14">
        <f t="shared" si="1"/>
        <v>0</v>
      </c>
      <c r="BC23" s="14">
        <f t="shared" si="1"/>
        <v>0</v>
      </c>
      <c r="BD23" s="14">
        <f t="shared" si="1"/>
        <v>0</v>
      </c>
      <c r="BE23" s="14">
        <f t="shared" si="1"/>
        <v>0</v>
      </c>
      <c r="BF23" s="14">
        <f>SUM(BF24+BF26+BF30+BF44+BF46+BF51+BF53)</f>
        <v>0</v>
      </c>
      <c r="BG23" s="14">
        <f t="shared" si="1"/>
        <v>0</v>
      </c>
      <c r="BH23" s="14">
        <f t="shared" ref="BH23" si="2">SUM(BH24+BH26+BH30+BH44+BH46+BH51+BH53)</f>
        <v>0</v>
      </c>
      <c r="BI23" s="14">
        <f t="shared" si="1"/>
        <v>0</v>
      </c>
      <c r="BJ23" s="14">
        <f t="shared" si="1"/>
        <v>0</v>
      </c>
      <c r="BK23" s="14">
        <f t="shared" ref="BK23" si="3">SUM(BK24+BK26+BK30+BK44+BK46+BK51+BK53)</f>
        <v>0</v>
      </c>
      <c r="BL23" s="14">
        <f t="shared" si="1"/>
        <v>0</v>
      </c>
      <c r="BM23" s="14">
        <f t="shared" si="1"/>
        <v>0</v>
      </c>
      <c r="BN23" s="14">
        <f t="shared" si="1"/>
        <v>0</v>
      </c>
      <c r="BO23" s="14">
        <f t="shared" si="1"/>
        <v>3807160</v>
      </c>
      <c r="BP23" s="14">
        <f t="shared" si="1"/>
        <v>0</v>
      </c>
      <c r="BQ23" s="14">
        <f t="shared" si="1"/>
        <v>0</v>
      </c>
      <c r="BR23" s="14">
        <f t="shared" ref="BR23:CM23" si="4">SUM(BR24+BR26+BR30+BR44+BR46+BR51+BR53)</f>
        <v>10670</v>
      </c>
      <c r="BS23" s="14">
        <f t="shared" si="4"/>
        <v>0</v>
      </c>
      <c r="BT23" s="14">
        <f t="shared" si="4"/>
        <v>0</v>
      </c>
      <c r="BU23" s="14">
        <f t="shared" si="4"/>
        <v>0</v>
      </c>
      <c r="BV23" s="14">
        <f t="shared" si="4"/>
        <v>0</v>
      </c>
      <c r="BW23" s="14">
        <f t="shared" si="4"/>
        <v>0</v>
      </c>
      <c r="BX23" s="14">
        <f t="shared" si="4"/>
        <v>0</v>
      </c>
      <c r="BY23" s="14">
        <f t="shared" si="4"/>
        <v>3576490</v>
      </c>
      <c r="BZ23" s="14">
        <f t="shared" si="4"/>
        <v>220000</v>
      </c>
      <c r="CA23" s="14">
        <f t="shared" si="4"/>
        <v>3041066</v>
      </c>
      <c r="CB23" s="14">
        <f t="shared" si="4"/>
        <v>3041066</v>
      </c>
      <c r="CC23" s="14">
        <f t="shared" si="4"/>
        <v>2582730</v>
      </c>
      <c r="CD23" s="14">
        <f t="shared" si="4"/>
        <v>0</v>
      </c>
      <c r="CE23" s="14">
        <f t="shared" si="4"/>
        <v>2582730</v>
      </c>
      <c r="CF23" s="14">
        <f t="shared" si="4"/>
        <v>0</v>
      </c>
      <c r="CG23" s="14">
        <f t="shared" si="4"/>
        <v>0</v>
      </c>
      <c r="CH23" s="14">
        <f t="shared" si="4"/>
        <v>0</v>
      </c>
      <c r="CI23" s="14">
        <f t="shared" si="4"/>
        <v>0</v>
      </c>
      <c r="CJ23" s="14">
        <f t="shared" si="4"/>
        <v>0</v>
      </c>
      <c r="CK23" s="14">
        <f t="shared" si="4"/>
        <v>458336</v>
      </c>
      <c r="CL23" s="14">
        <f t="shared" si="4"/>
        <v>0</v>
      </c>
      <c r="CM23" s="14">
        <f t="shared" si="4"/>
        <v>458336</v>
      </c>
      <c r="CN23" s="14">
        <f>SUM(CN24+CN26+CN30+CN44+CN46+CN51+CN53)</f>
        <v>0</v>
      </c>
      <c r="CO23" s="14">
        <f t="shared" ref="CO23:CQ23" si="5">SUM(CO24+CO26+CO30+CO44+CO46+CO51+CO53)</f>
        <v>0</v>
      </c>
      <c r="CP23" s="14">
        <f t="shared" si="5"/>
        <v>0</v>
      </c>
      <c r="CQ23" s="14">
        <f t="shared" si="5"/>
        <v>0</v>
      </c>
      <c r="CR23" s="14">
        <f t="shared" ref="CR23" si="6">SUM(CR24+CR26+CR30+CR44+CR46+CR51+CR53)</f>
        <v>0</v>
      </c>
      <c r="CS23" s="51"/>
      <c r="GP23" s="2"/>
    </row>
    <row r="24" spans="1:198" s="52" customFormat="1" ht="31.2" x14ac:dyDescent="0.3">
      <c r="A24" s="89" t="s">
        <v>40</v>
      </c>
      <c r="B24" s="15" t="s">
        <v>1</v>
      </c>
      <c r="C24" s="16" t="s">
        <v>604</v>
      </c>
      <c r="D24" s="17">
        <f>SUM(D25)</f>
        <v>30384545</v>
      </c>
      <c r="E24" s="17">
        <f t="shared" ref="E24:BU24" si="7">SUM(E25)</f>
        <v>28248380</v>
      </c>
      <c r="F24" s="17">
        <f t="shared" si="7"/>
        <v>28248380</v>
      </c>
      <c r="G24" s="17">
        <f>G25</f>
        <v>13999081</v>
      </c>
      <c r="H24" s="17">
        <f>H25</f>
        <v>3402045</v>
      </c>
      <c r="I24" s="17">
        <f t="shared" si="7"/>
        <v>1675694</v>
      </c>
      <c r="J24" s="17">
        <f t="shared" si="7"/>
        <v>0</v>
      </c>
      <c r="K24" s="17">
        <f t="shared" si="7"/>
        <v>0</v>
      </c>
      <c r="L24" s="17">
        <f t="shared" si="7"/>
        <v>0</v>
      </c>
      <c r="M24" s="17">
        <f t="shared" si="7"/>
        <v>0</v>
      </c>
      <c r="N24" s="17">
        <f t="shared" si="7"/>
        <v>1237858</v>
      </c>
      <c r="O24" s="17">
        <f t="shared" si="7"/>
        <v>437836</v>
      </c>
      <c r="P24" s="17">
        <f t="shared" si="7"/>
        <v>633606</v>
      </c>
      <c r="Q24" s="17">
        <f t="shared" si="7"/>
        <v>856</v>
      </c>
      <c r="R24" s="17">
        <f t="shared" si="7"/>
        <v>632750</v>
      </c>
      <c r="S24" s="17">
        <f t="shared" si="7"/>
        <v>0</v>
      </c>
      <c r="T24" s="17">
        <f t="shared" si="7"/>
        <v>354306</v>
      </c>
      <c r="U24" s="17">
        <f t="shared" si="7"/>
        <v>1108439</v>
      </c>
      <c r="V24" s="17">
        <f t="shared" si="7"/>
        <v>183250</v>
      </c>
      <c r="W24" s="17">
        <f t="shared" si="7"/>
        <v>174679</v>
      </c>
      <c r="X24" s="17">
        <f t="shared" si="7"/>
        <v>518055</v>
      </c>
      <c r="Y24" s="17">
        <f t="shared" si="7"/>
        <v>45868</v>
      </c>
      <c r="Z24" s="17">
        <f t="shared" si="7"/>
        <v>33885</v>
      </c>
      <c r="AA24" s="17">
        <f t="shared" si="7"/>
        <v>0</v>
      </c>
      <c r="AB24" s="17">
        <f t="shared" si="7"/>
        <v>0</v>
      </c>
      <c r="AC24" s="17">
        <f t="shared" si="7"/>
        <v>152702</v>
      </c>
      <c r="AD24" s="17">
        <f t="shared" si="7"/>
        <v>0</v>
      </c>
      <c r="AE24" s="17">
        <f t="shared" si="7"/>
        <v>7075209</v>
      </c>
      <c r="AF24" s="17">
        <f t="shared" si="7"/>
        <v>0</v>
      </c>
      <c r="AG24" s="17">
        <f t="shared" si="7"/>
        <v>0</v>
      </c>
      <c r="AH24" s="17">
        <f t="shared" si="7"/>
        <v>65500</v>
      </c>
      <c r="AI24" s="17">
        <f t="shared" si="7"/>
        <v>55334</v>
      </c>
      <c r="AJ24" s="17">
        <f t="shared" si="7"/>
        <v>0</v>
      </c>
      <c r="AK24" s="17">
        <f t="shared" si="7"/>
        <v>14153</v>
      </c>
      <c r="AL24" s="17">
        <f t="shared" si="7"/>
        <v>818607</v>
      </c>
      <c r="AM24" s="17">
        <f t="shared" si="7"/>
        <v>7500</v>
      </c>
      <c r="AN24" s="17">
        <f t="shared" si="7"/>
        <v>265000</v>
      </c>
      <c r="AO24" s="17">
        <f t="shared" si="7"/>
        <v>5382939</v>
      </c>
      <c r="AP24" s="17">
        <f t="shared" si="7"/>
        <v>3663</v>
      </c>
      <c r="AQ24" s="17">
        <f t="shared" si="7"/>
        <v>0</v>
      </c>
      <c r="AR24" s="17">
        <f t="shared" si="7"/>
        <v>0</v>
      </c>
      <c r="AS24" s="17">
        <f t="shared" si="7"/>
        <v>13574</v>
      </c>
      <c r="AT24" s="17"/>
      <c r="AU24" s="17"/>
      <c r="AV24" s="17">
        <f t="shared" si="7"/>
        <v>0</v>
      </c>
      <c r="AW24" s="17">
        <f t="shared" si="7"/>
        <v>0</v>
      </c>
      <c r="AX24" s="17">
        <f t="shared" si="7"/>
        <v>0</v>
      </c>
      <c r="AY24" s="17"/>
      <c r="AZ24" s="17">
        <f t="shared" si="7"/>
        <v>448939</v>
      </c>
      <c r="BA24" s="17">
        <f t="shared" si="7"/>
        <v>0</v>
      </c>
      <c r="BB24" s="17">
        <f t="shared" si="7"/>
        <v>0</v>
      </c>
      <c r="BC24" s="17">
        <f t="shared" si="7"/>
        <v>0</v>
      </c>
      <c r="BD24" s="17">
        <f t="shared" si="7"/>
        <v>0</v>
      </c>
      <c r="BE24" s="17">
        <f t="shared" si="7"/>
        <v>0</v>
      </c>
      <c r="BF24" s="17">
        <f t="shared" si="7"/>
        <v>0</v>
      </c>
      <c r="BG24" s="17">
        <f t="shared" si="7"/>
        <v>0</v>
      </c>
      <c r="BH24" s="17">
        <f t="shared" si="7"/>
        <v>0</v>
      </c>
      <c r="BI24" s="17">
        <f t="shared" si="7"/>
        <v>0</v>
      </c>
      <c r="BJ24" s="17">
        <f t="shared" si="7"/>
        <v>0</v>
      </c>
      <c r="BK24" s="17">
        <f t="shared" si="7"/>
        <v>0</v>
      </c>
      <c r="BL24" s="17">
        <f t="shared" si="7"/>
        <v>0</v>
      </c>
      <c r="BM24" s="17">
        <f t="shared" si="7"/>
        <v>0</v>
      </c>
      <c r="BN24" s="17">
        <f t="shared" si="7"/>
        <v>0</v>
      </c>
      <c r="BO24" s="17">
        <f t="shared" si="7"/>
        <v>0</v>
      </c>
      <c r="BP24" s="17">
        <f t="shared" si="7"/>
        <v>0</v>
      </c>
      <c r="BQ24" s="17">
        <f t="shared" si="7"/>
        <v>0</v>
      </c>
      <c r="BR24" s="17">
        <f t="shared" si="7"/>
        <v>0</v>
      </c>
      <c r="BS24" s="17">
        <f t="shared" si="7"/>
        <v>0</v>
      </c>
      <c r="BT24" s="17">
        <f t="shared" si="7"/>
        <v>0</v>
      </c>
      <c r="BU24" s="17">
        <f t="shared" si="7"/>
        <v>0</v>
      </c>
      <c r="BV24" s="17">
        <f t="shared" ref="BV24:CN24" si="8">SUM(BV25)</f>
        <v>0</v>
      </c>
      <c r="BW24" s="17">
        <f t="shared" si="8"/>
        <v>0</v>
      </c>
      <c r="BX24" s="17">
        <f t="shared" si="8"/>
        <v>0</v>
      </c>
      <c r="BY24" s="17">
        <f t="shared" si="8"/>
        <v>0</v>
      </c>
      <c r="BZ24" s="17">
        <f t="shared" si="8"/>
        <v>0</v>
      </c>
      <c r="CA24" s="17">
        <f t="shared" si="8"/>
        <v>2136165</v>
      </c>
      <c r="CB24" s="17">
        <f t="shared" si="8"/>
        <v>2136165</v>
      </c>
      <c r="CC24" s="17">
        <f t="shared" si="8"/>
        <v>1677829</v>
      </c>
      <c r="CD24" s="17">
        <f t="shared" si="8"/>
        <v>0</v>
      </c>
      <c r="CE24" s="17">
        <f t="shared" si="8"/>
        <v>1677829</v>
      </c>
      <c r="CF24" s="17">
        <f t="shared" si="8"/>
        <v>0</v>
      </c>
      <c r="CG24" s="17">
        <f t="shared" si="8"/>
        <v>0</v>
      </c>
      <c r="CH24" s="17">
        <f t="shared" si="8"/>
        <v>0</v>
      </c>
      <c r="CI24" s="17">
        <f t="shared" si="8"/>
        <v>0</v>
      </c>
      <c r="CJ24" s="17">
        <f t="shared" si="8"/>
        <v>0</v>
      </c>
      <c r="CK24" s="17">
        <f t="shared" si="8"/>
        <v>458336</v>
      </c>
      <c r="CL24" s="17">
        <f t="shared" si="8"/>
        <v>0</v>
      </c>
      <c r="CM24" s="17">
        <f t="shared" si="8"/>
        <v>458336</v>
      </c>
      <c r="CN24" s="17">
        <f t="shared" si="8"/>
        <v>0</v>
      </c>
      <c r="CO24" s="64"/>
      <c r="CP24" s="64"/>
      <c r="CQ24" s="64"/>
      <c r="CR24" s="64"/>
      <c r="CS24" s="51"/>
      <c r="GP24" s="2"/>
    </row>
    <row r="25" spans="1:198" ht="15.6" x14ac:dyDescent="0.3">
      <c r="A25" s="90" t="s">
        <v>1</v>
      </c>
      <c r="B25" s="19" t="s">
        <v>41</v>
      </c>
      <c r="C25" s="20" t="s">
        <v>42</v>
      </c>
      <c r="D25" s="18">
        <f>SUM(E25+CA25)</f>
        <v>30384545</v>
      </c>
      <c r="E25" s="18">
        <f>SUM(F25+BA25)</f>
        <v>28248380</v>
      </c>
      <c r="F25" s="18">
        <f>SUM(G25+H25+I25+P25+S25+T25+U25+AE25+AD25)</f>
        <v>28248380</v>
      </c>
      <c r="G25" s="21">
        <v>13999081</v>
      </c>
      <c r="H25" s="21">
        <v>3402045</v>
      </c>
      <c r="I25" s="18">
        <f t="shared" ref="I25:I81" si="9">SUM(J25:O25)</f>
        <v>1675694</v>
      </c>
      <c r="J25" s="18">
        <v>0</v>
      </c>
      <c r="K25" s="21">
        <f>32000-32000</f>
        <v>0</v>
      </c>
      <c r="L25" s="21">
        <v>0</v>
      </c>
      <c r="M25" s="21">
        <v>0</v>
      </c>
      <c r="N25" s="21">
        <f>1888317-650459</f>
        <v>1237858</v>
      </c>
      <c r="O25" s="21">
        <f>832520-394684</f>
        <v>437836</v>
      </c>
      <c r="P25" s="18">
        <f t="shared" ref="P25:P81" si="10">SUM(Q25:R25)</f>
        <v>633606</v>
      </c>
      <c r="Q25" s="18">
        <v>856</v>
      </c>
      <c r="R25" s="18">
        <v>632750</v>
      </c>
      <c r="S25" s="18">
        <v>0</v>
      </c>
      <c r="T25" s="18">
        <v>354306</v>
      </c>
      <c r="U25" s="18">
        <f>SUM(V25:AC25)</f>
        <v>1108439</v>
      </c>
      <c r="V25" s="21">
        <v>183250</v>
      </c>
      <c r="W25" s="21">
        <f>102555+72124</f>
        <v>174679</v>
      </c>
      <c r="X25" s="21">
        <f>242807+275248</f>
        <v>518055</v>
      </c>
      <c r="Y25" s="21">
        <f>37203+8665</f>
        <v>45868</v>
      </c>
      <c r="Z25" s="21">
        <v>33885</v>
      </c>
      <c r="AA25" s="21">
        <v>0</v>
      </c>
      <c r="AB25" s="21">
        <v>0</v>
      </c>
      <c r="AC25" s="21">
        <f>41628+111074</f>
        <v>152702</v>
      </c>
      <c r="AD25" s="18">
        <v>0</v>
      </c>
      <c r="AE25" s="18">
        <f>SUM(AF25:AZ25)</f>
        <v>7075209</v>
      </c>
      <c r="AF25" s="18">
        <v>0</v>
      </c>
      <c r="AG25" s="18">
        <v>0</v>
      </c>
      <c r="AH25" s="21">
        <v>65500</v>
      </c>
      <c r="AI25" s="21">
        <f>112260-56926</f>
        <v>55334</v>
      </c>
      <c r="AJ25" s="21">
        <v>0</v>
      </c>
      <c r="AK25" s="21">
        <f>25455-11302</f>
        <v>14153</v>
      </c>
      <c r="AL25" s="21">
        <f>1000574-181967</f>
        <v>818607</v>
      </c>
      <c r="AM25" s="21">
        <f>15000-7500</f>
        <v>7500</v>
      </c>
      <c r="AN25" s="21">
        <f>310000-45000</f>
        <v>265000</v>
      </c>
      <c r="AO25" s="21">
        <v>5382939</v>
      </c>
      <c r="AP25" s="21">
        <f>7326-3663</f>
        <v>3663</v>
      </c>
      <c r="AQ25" s="21">
        <v>0</v>
      </c>
      <c r="AR25" s="21">
        <v>0</v>
      </c>
      <c r="AS25" s="21">
        <v>13574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>
        <v>0</v>
      </c>
      <c r="AZ25" s="21">
        <f>3916050-3467111</f>
        <v>448939</v>
      </c>
      <c r="BA25" s="18">
        <f>SUM(BB25+BF25+BJ25+BL25+BO25)</f>
        <v>0</v>
      </c>
      <c r="BB25" s="18">
        <f>SUM(BC25:BE25)</f>
        <v>0</v>
      </c>
      <c r="BC25" s="18">
        <v>0</v>
      </c>
      <c r="BD25" s="18">
        <v>0</v>
      </c>
      <c r="BE25" s="18">
        <v>0</v>
      </c>
      <c r="BF25" s="18">
        <f>SUM(BG25:BI25)</f>
        <v>0</v>
      </c>
      <c r="BG25" s="18">
        <v>0</v>
      </c>
      <c r="BH25" s="18">
        <v>0</v>
      </c>
      <c r="BI25" s="18">
        <v>0</v>
      </c>
      <c r="BJ25" s="18">
        <v>0</v>
      </c>
      <c r="BK25" s="18">
        <v>0</v>
      </c>
      <c r="BL25" s="18">
        <f t="shared" ref="BL25:BL81" si="11">SUM(BM25)</f>
        <v>0</v>
      </c>
      <c r="BM25" s="18">
        <v>0</v>
      </c>
      <c r="BN25" s="18">
        <v>0</v>
      </c>
      <c r="BO25" s="18">
        <f>SUM(BP25:BZ25)</f>
        <v>0</v>
      </c>
      <c r="BP25" s="18">
        <v>0</v>
      </c>
      <c r="BQ25" s="18">
        <v>0</v>
      </c>
      <c r="BR25" s="18">
        <v>0</v>
      </c>
      <c r="BS25" s="18">
        <v>0</v>
      </c>
      <c r="BT25" s="18">
        <v>0</v>
      </c>
      <c r="BU25" s="18">
        <v>0</v>
      </c>
      <c r="BV25" s="18">
        <v>0</v>
      </c>
      <c r="BW25" s="18">
        <v>0</v>
      </c>
      <c r="BX25" s="18">
        <v>0</v>
      </c>
      <c r="BY25" s="18">
        <f>31822-31822</f>
        <v>0</v>
      </c>
      <c r="BZ25" s="18">
        <v>0</v>
      </c>
      <c r="CA25" s="18">
        <f>SUM(CB25+CN25)</f>
        <v>2136165</v>
      </c>
      <c r="CB25" s="18">
        <f>SUM(CC25+CF25+CK25)</f>
        <v>2136165</v>
      </c>
      <c r="CC25" s="18">
        <f t="shared" ref="CC25:CC81" si="12">SUM(CD25:CE25)</f>
        <v>1677829</v>
      </c>
      <c r="CD25" s="18">
        <v>0</v>
      </c>
      <c r="CE25" s="18">
        <f>1850000-172171</f>
        <v>1677829</v>
      </c>
      <c r="CF25" s="18">
        <f>SUM(CG25:CJ25)</f>
        <v>0</v>
      </c>
      <c r="CG25" s="18">
        <v>0</v>
      </c>
      <c r="CH25" s="18">
        <v>0</v>
      </c>
      <c r="CI25" s="18">
        <v>0</v>
      </c>
      <c r="CJ25" s="18">
        <v>0</v>
      </c>
      <c r="CK25" s="18">
        <f>SUM(CL25:CM25)</f>
        <v>458336</v>
      </c>
      <c r="CL25" s="18"/>
      <c r="CM25" s="18">
        <f>561926-103590</f>
        <v>458336</v>
      </c>
      <c r="CN25" s="18">
        <v>0</v>
      </c>
      <c r="CO25" s="65"/>
      <c r="CP25" s="65"/>
      <c r="CQ25" s="65"/>
      <c r="CR25" s="65"/>
      <c r="CS25" s="46"/>
      <c r="GP25" s="2"/>
    </row>
    <row r="26" spans="1:198" s="52" customFormat="1" ht="31.2" x14ac:dyDescent="0.3">
      <c r="A26" s="89" t="s">
        <v>43</v>
      </c>
      <c r="B26" s="15" t="s">
        <v>1</v>
      </c>
      <c r="C26" s="16" t="s">
        <v>522</v>
      </c>
      <c r="D26" s="17">
        <f>SUM(D27:D29)</f>
        <v>43263852</v>
      </c>
      <c r="E26" s="17">
        <f t="shared" ref="E26:BU26" si="13">SUM(E27:E29)</f>
        <v>42983376</v>
      </c>
      <c r="F26" s="17">
        <f t="shared" si="13"/>
        <v>41201683</v>
      </c>
      <c r="G26" s="17">
        <f t="shared" si="13"/>
        <v>28928027</v>
      </c>
      <c r="H26" s="17">
        <f t="shared" si="13"/>
        <v>6950022</v>
      </c>
      <c r="I26" s="17">
        <f t="shared" si="13"/>
        <v>1543865</v>
      </c>
      <c r="J26" s="17">
        <f t="shared" si="13"/>
        <v>0</v>
      </c>
      <c r="K26" s="17">
        <f t="shared" si="13"/>
        <v>0</v>
      </c>
      <c r="L26" s="17">
        <f t="shared" si="13"/>
        <v>0</v>
      </c>
      <c r="M26" s="17">
        <f t="shared" si="13"/>
        <v>0</v>
      </c>
      <c r="N26" s="17">
        <f t="shared" si="13"/>
        <v>1307905</v>
      </c>
      <c r="O26" s="17">
        <f t="shared" si="13"/>
        <v>235960</v>
      </c>
      <c r="P26" s="17">
        <f t="shared" si="13"/>
        <v>212741</v>
      </c>
      <c r="Q26" s="17">
        <f t="shared" si="13"/>
        <v>0</v>
      </c>
      <c r="R26" s="17">
        <f t="shared" si="13"/>
        <v>212741</v>
      </c>
      <c r="S26" s="17">
        <f t="shared" si="13"/>
        <v>0</v>
      </c>
      <c r="T26" s="17">
        <f t="shared" si="13"/>
        <v>274402</v>
      </c>
      <c r="U26" s="17">
        <f t="shared" si="13"/>
        <v>304809</v>
      </c>
      <c r="V26" s="17">
        <f t="shared" si="13"/>
        <v>79520</v>
      </c>
      <c r="W26" s="17">
        <f t="shared" si="13"/>
        <v>30706</v>
      </c>
      <c r="X26" s="17">
        <f t="shared" si="13"/>
        <v>134662</v>
      </c>
      <c r="Y26" s="17">
        <f t="shared" si="13"/>
        <v>15421</v>
      </c>
      <c r="Z26" s="17">
        <f t="shared" si="13"/>
        <v>6271</v>
      </c>
      <c r="AA26" s="17">
        <f t="shared" si="13"/>
        <v>0</v>
      </c>
      <c r="AB26" s="17">
        <f t="shared" si="13"/>
        <v>0</v>
      </c>
      <c r="AC26" s="17">
        <f t="shared" si="13"/>
        <v>38229</v>
      </c>
      <c r="AD26" s="17">
        <f t="shared" si="13"/>
        <v>0</v>
      </c>
      <c r="AE26" s="17">
        <f t="shared" si="13"/>
        <v>2987817</v>
      </c>
      <c r="AF26" s="17">
        <f t="shared" si="13"/>
        <v>50000</v>
      </c>
      <c r="AG26" s="17">
        <f t="shared" si="13"/>
        <v>0</v>
      </c>
      <c r="AH26" s="17">
        <f t="shared" si="13"/>
        <v>52017</v>
      </c>
      <c r="AI26" s="17">
        <f t="shared" si="13"/>
        <v>330</v>
      </c>
      <c r="AJ26" s="17">
        <f t="shared" si="13"/>
        <v>0</v>
      </c>
      <c r="AK26" s="17">
        <f t="shared" si="13"/>
        <v>19979</v>
      </c>
      <c r="AL26" s="17">
        <f t="shared" si="13"/>
        <v>26500</v>
      </c>
      <c r="AM26" s="17">
        <f t="shared" si="13"/>
        <v>2302</v>
      </c>
      <c r="AN26" s="17">
        <f t="shared" si="13"/>
        <v>140713</v>
      </c>
      <c r="AO26" s="17">
        <f t="shared" si="13"/>
        <v>1381236</v>
      </c>
      <c r="AP26" s="17">
        <f t="shared" si="13"/>
        <v>0</v>
      </c>
      <c r="AQ26" s="17">
        <f t="shared" si="13"/>
        <v>0</v>
      </c>
      <c r="AR26" s="17">
        <f t="shared" si="13"/>
        <v>70698</v>
      </c>
      <c r="AS26" s="17">
        <f t="shared" si="13"/>
        <v>51491</v>
      </c>
      <c r="AT26" s="17"/>
      <c r="AU26" s="17"/>
      <c r="AV26" s="17">
        <f t="shared" si="13"/>
        <v>0</v>
      </c>
      <c r="AW26" s="17">
        <f t="shared" si="13"/>
        <v>0</v>
      </c>
      <c r="AX26" s="17">
        <f t="shared" si="13"/>
        <v>100320</v>
      </c>
      <c r="AY26" s="17"/>
      <c r="AZ26" s="17">
        <f t="shared" si="13"/>
        <v>1092231</v>
      </c>
      <c r="BA26" s="17">
        <f t="shared" si="13"/>
        <v>1781693</v>
      </c>
      <c r="BB26" s="17">
        <f t="shared" si="13"/>
        <v>0</v>
      </c>
      <c r="BC26" s="17">
        <f t="shared" si="13"/>
        <v>0</v>
      </c>
      <c r="BD26" s="17">
        <f t="shared" si="13"/>
        <v>0</v>
      </c>
      <c r="BE26" s="17">
        <f t="shared" si="13"/>
        <v>0</v>
      </c>
      <c r="BF26" s="17">
        <f t="shared" si="13"/>
        <v>0</v>
      </c>
      <c r="BG26" s="17">
        <f t="shared" si="13"/>
        <v>0</v>
      </c>
      <c r="BH26" s="17">
        <f t="shared" ref="BH26" si="14">SUM(BH27:BH29)</f>
        <v>0</v>
      </c>
      <c r="BI26" s="17">
        <f t="shared" si="13"/>
        <v>0</v>
      </c>
      <c r="BJ26" s="17">
        <f t="shared" si="13"/>
        <v>0</v>
      </c>
      <c r="BK26" s="17">
        <f t="shared" ref="BK26" si="15">SUM(BK27:BK29)</f>
        <v>0</v>
      </c>
      <c r="BL26" s="17">
        <f t="shared" si="13"/>
        <v>0</v>
      </c>
      <c r="BM26" s="17">
        <f t="shared" si="13"/>
        <v>0</v>
      </c>
      <c r="BN26" s="17">
        <f t="shared" ref="BN26" si="16">SUM(BN27:BN29)</f>
        <v>0</v>
      </c>
      <c r="BO26" s="17">
        <f>SUM(BO27:BO29)</f>
        <v>1781693</v>
      </c>
      <c r="BP26" s="17">
        <f t="shared" si="13"/>
        <v>0</v>
      </c>
      <c r="BQ26" s="17">
        <f t="shared" si="13"/>
        <v>0</v>
      </c>
      <c r="BR26" s="17">
        <f t="shared" si="13"/>
        <v>0</v>
      </c>
      <c r="BS26" s="17">
        <f t="shared" si="13"/>
        <v>0</v>
      </c>
      <c r="BT26" s="17">
        <f t="shared" si="13"/>
        <v>0</v>
      </c>
      <c r="BU26" s="17">
        <f t="shared" si="13"/>
        <v>0</v>
      </c>
      <c r="BV26" s="17">
        <f t="shared" ref="BV26:CN26" si="17">SUM(BV27:BV29)</f>
        <v>0</v>
      </c>
      <c r="BW26" s="17">
        <f t="shared" si="17"/>
        <v>0</v>
      </c>
      <c r="BX26" s="17">
        <f t="shared" si="17"/>
        <v>0</v>
      </c>
      <c r="BY26" s="17">
        <f t="shared" si="17"/>
        <v>1561693</v>
      </c>
      <c r="BZ26" s="17">
        <f t="shared" si="17"/>
        <v>220000</v>
      </c>
      <c r="CA26" s="17">
        <f t="shared" si="17"/>
        <v>280476</v>
      </c>
      <c r="CB26" s="17">
        <f t="shared" si="17"/>
        <v>280476</v>
      </c>
      <c r="CC26" s="17">
        <f t="shared" si="17"/>
        <v>280476</v>
      </c>
      <c r="CD26" s="17">
        <f t="shared" si="17"/>
        <v>0</v>
      </c>
      <c r="CE26" s="17">
        <f t="shared" si="17"/>
        <v>280476</v>
      </c>
      <c r="CF26" s="17">
        <f t="shared" si="17"/>
        <v>0</v>
      </c>
      <c r="CG26" s="17">
        <f t="shared" ref="CG26:CH26" si="18">SUM(CG27:CG29)</f>
        <v>0</v>
      </c>
      <c r="CH26" s="17">
        <f t="shared" si="18"/>
        <v>0</v>
      </c>
      <c r="CI26" s="17">
        <f t="shared" si="17"/>
        <v>0</v>
      </c>
      <c r="CJ26" s="17">
        <f t="shared" ref="CJ26" si="19">SUM(CJ27:CJ29)</f>
        <v>0</v>
      </c>
      <c r="CK26" s="17">
        <f t="shared" si="17"/>
        <v>0</v>
      </c>
      <c r="CL26" s="17">
        <f t="shared" ref="CL26" si="20">SUM(CL27:CL29)</f>
        <v>0</v>
      </c>
      <c r="CM26" s="17">
        <f t="shared" si="17"/>
        <v>0</v>
      </c>
      <c r="CN26" s="17">
        <f t="shared" si="17"/>
        <v>0</v>
      </c>
      <c r="CO26" s="64"/>
      <c r="CP26" s="64"/>
      <c r="CQ26" s="64"/>
      <c r="CR26" s="64"/>
      <c r="CS26" s="51"/>
    </row>
    <row r="27" spans="1:198" ht="15.6" x14ac:dyDescent="0.3">
      <c r="A27" s="90" t="s">
        <v>1</v>
      </c>
      <c r="B27" s="19" t="s">
        <v>44</v>
      </c>
      <c r="C27" s="20" t="s">
        <v>45</v>
      </c>
      <c r="D27" s="18">
        <f t="shared" ref="D27:D28" si="21">SUM(E27+CA27)</f>
        <v>29607034</v>
      </c>
      <c r="E27" s="18">
        <f>SUM(F27+BA27)</f>
        <v>29410705</v>
      </c>
      <c r="F27" s="18">
        <f>SUM(G27+H27+I27+P27+S27+T27+U27+AE27+AD27)</f>
        <v>27860214</v>
      </c>
      <c r="G27" s="21">
        <v>19200000</v>
      </c>
      <c r="H27" s="21">
        <v>4597654</v>
      </c>
      <c r="I27" s="18">
        <f t="shared" si="9"/>
        <v>998925</v>
      </c>
      <c r="J27" s="22"/>
      <c r="K27" s="22"/>
      <c r="L27" s="22"/>
      <c r="M27" s="22"/>
      <c r="N27" s="21">
        <f>1341004-448508</f>
        <v>892496</v>
      </c>
      <c r="O27" s="21">
        <f>212858-106429</f>
        <v>106429</v>
      </c>
      <c r="P27" s="18">
        <f t="shared" si="10"/>
        <v>200000</v>
      </c>
      <c r="Q27" s="22">
        <v>0</v>
      </c>
      <c r="R27" s="22">
        <v>200000</v>
      </c>
      <c r="S27" s="22">
        <v>0</v>
      </c>
      <c r="T27" s="21">
        <v>142334</v>
      </c>
      <c r="U27" s="18">
        <f>SUM(V27:AC27)</f>
        <v>87474</v>
      </c>
      <c r="V27" s="21">
        <v>35020</v>
      </c>
      <c r="W27" s="21">
        <f>1823+1089</f>
        <v>2912</v>
      </c>
      <c r="X27" s="21">
        <f>1951+45582</f>
        <v>47533</v>
      </c>
      <c r="Y27" s="21">
        <f>945+233</f>
        <v>1178</v>
      </c>
      <c r="Z27" s="21">
        <v>466</v>
      </c>
      <c r="AA27" s="21">
        <v>0</v>
      </c>
      <c r="AB27" s="21">
        <v>0</v>
      </c>
      <c r="AC27" s="21">
        <f>89+276</f>
        <v>365</v>
      </c>
      <c r="AD27" s="22">
        <v>0</v>
      </c>
      <c r="AE27" s="18">
        <f>SUM(AF27:AZ27)</f>
        <v>2633827</v>
      </c>
      <c r="AF27" s="22">
        <f>100000-50000</f>
        <v>50000</v>
      </c>
      <c r="AG27" s="22">
        <v>0</v>
      </c>
      <c r="AH27" s="21">
        <v>30100</v>
      </c>
      <c r="AI27" s="21">
        <f>100000-100000</f>
        <v>0</v>
      </c>
      <c r="AJ27" s="21">
        <v>0</v>
      </c>
      <c r="AK27" s="21">
        <f>31000-15500</f>
        <v>15500</v>
      </c>
      <c r="AL27" s="21">
        <v>25000</v>
      </c>
      <c r="AM27" s="21">
        <f>2000-948</f>
        <v>1052</v>
      </c>
      <c r="AN27" s="21">
        <f>165220-28485</f>
        <v>136735</v>
      </c>
      <c r="AO27" s="21">
        <f>1704033-443470</f>
        <v>1260563</v>
      </c>
      <c r="AP27" s="21">
        <v>0</v>
      </c>
      <c r="AQ27" s="21">
        <v>0</v>
      </c>
      <c r="AR27" s="21">
        <f>19553-3385</f>
        <v>16168</v>
      </c>
      <c r="AS27" s="21">
        <v>16692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f>1558629-476612</f>
        <v>1082017</v>
      </c>
      <c r="BA27" s="18">
        <f>SUM(BB27+BF27+BJ27+BL27+BO27)</f>
        <v>1550491</v>
      </c>
      <c r="BB27" s="18">
        <f>SUM(BC27:BE27)</f>
        <v>0</v>
      </c>
      <c r="BC27" s="18">
        <v>0</v>
      </c>
      <c r="BD27" s="18">
        <v>0</v>
      </c>
      <c r="BE27" s="18">
        <v>0</v>
      </c>
      <c r="BF27" s="18">
        <f t="shared" ref="BF27:BF28" si="22">SUM(BG27:BI27)</f>
        <v>0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f t="shared" si="11"/>
        <v>0</v>
      </c>
      <c r="BM27" s="18">
        <v>0</v>
      </c>
      <c r="BN27" s="18">
        <v>0</v>
      </c>
      <c r="BO27" s="18">
        <f>SUM(BP27:BZ27)</f>
        <v>1550491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  <c r="BU27" s="18">
        <v>0</v>
      </c>
      <c r="BV27" s="18">
        <v>0</v>
      </c>
      <c r="BW27" s="18">
        <v>0</v>
      </c>
      <c r="BX27" s="18">
        <v>0</v>
      </c>
      <c r="BY27" s="21">
        <f>1878566-328075</f>
        <v>1550491</v>
      </c>
      <c r="BZ27" s="18"/>
      <c r="CA27" s="18">
        <f>SUM(CB27+CN27)</f>
        <v>196329</v>
      </c>
      <c r="CB27" s="18">
        <f>SUM(CC27+CF27+CK27)</f>
        <v>196329</v>
      </c>
      <c r="CC27" s="18">
        <f t="shared" si="12"/>
        <v>196329</v>
      </c>
      <c r="CD27" s="18">
        <v>0</v>
      </c>
      <c r="CE27" s="21">
        <f>919287-722958</f>
        <v>196329</v>
      </c>
      <c r="CF27" s="18">
        <f>SUM(CG27:CJ27)</f>
        <v>0</v>
      </c>
      <c r="CG27" s="21"/>
      <c r="CH27" s="18">
        <v>0</v>
      </c>
      <c r="CI27" s="18">
        <v>0</v>
      </c>
      <c r="CJ27" s="18">
        <v>0</v>
      </c>
      <c r="CK27" s="18">
        <f>SUM(CL27:CM27)</f>
        <v>0</v>
      </c>
      <c r="CL27" s="18">
        <v>0</v>
      </c>
      <c r="CM27" s="18">
        <v>0</v>
      </c>
      <c r="CN27" s="18">
        <v>0</v>
      </c>
      <c r="CO27" s="65"/>
      <c r="CP27" s="65"/>
      <c r="CQ27" s="65"/>
      <c r="CR27" s="65"/>
      <c r="CS27" s="46"/>
      <c r="GP27" s="52"/>
    </row>
    <row r="28" spans="1:198" ht="15.6" x14ac:dyDescent="0.3">
      <c r="A28" s="90" t="s">
        <v>1</v>
      </c>
      <c r="B28" s="19" t="s">
        <v>46</v>
      </c>
      <c r="C28" s="20" t="s">
        <v>442</v>
      </c>
      <c r="D28" s="18">
        <f t="shared" si="21"/>
        <v>11621983</v>
      </c>
      <c r="E28" s="18">
        <f>SUM(F28+BA28)</f>
        <v>11542850</v>
      </c>
      <c r="F28" s="18">
        <f>SUM(G28+H28+I28+P28+S28+T28+U28+AE28+AD28)</f>
        <v>11315575</v>
      </c>
      <c r="G28" s="21">
        <v>8302554</v>
      </c>
      <c r="H28" s="21">
        <v>2019920</v>
      </c>
      <c r="I28" s="18">
        <f t="shared" si="9"/>
        <v>443817</v>
      </c>
      <c r="J28" s="22"/>
      <c r="K28" s="22"/>
      <c r="L28" s="22"/>
      <c r="M28" s="22"/>
      <c r="N28" s="21">
        <f>527104-131000-52407</f>
        <v>343697</v>
      </c>
      <c r="O28" s="21">
        <f>238229-37989-100120</f>
        <v>100120</v>
      </c>
      <c r="P28" s="18">
        <f t="shared" si="10"/>
        <v>0</v>
      </c>
      <c r="Q28" s="22">
        <v>0</v>
      </c>
      <c r="R28" s="22">
        <v>0</v>
      </c>
      <c r="S28" s="22">
        <v>0</v>
      </c>
      <c r="T28" s="21">
        <f>57826+9994</f>
        <v>67820</v>
      </c>
      <c r="U28" s="18">
        <f>SUM(V28:AC28)</f>
        <v>189662</v>
      </c>
      <c r="V28" s="21">
        <f>51168-6668</f>
        <v>44500</v>
      </c>
      <c r="W28" s="21">
        <f>13337+5288</f>
        <v>18625</v>
      </c>
      <c r="X28" s="21">
        <f>31928+38697</f>
        <v>70625</v>
      </c>
      <c r="Y28" s="21">
        <f>9957+2286</f>
        <v>12243</v>
      </c>
      <c r="Z28" s="21">
        <v>5805</v>
      </c>
      <c r="AA28" s="21">
        <v>0</v>
      </c>
      <c r="AB28" s="21">
        <v>0</v>
      </c>
      <c r="AC28" s="21">
        <f>13255+24609</f>
        <v>37864</v>
      </c>
      <c r="AD28" s="22">
        <v>0</v>
      </c>
      <c r="AE28" s="18">
        <f>SUM(AF28:AZ28)</f>
        <v>291802</v>
      </c>
      <c r="AF28" s="22"/>
      <c r="AG28" s="22">
        <v>0</v>
      </c>
      <c r="AH28" s="21">
        <v>14630</v>
      </c>
      <c r="AI28" s="21">
        <f>96000-95670</f>
        <v>330</v>
      </c>
      <c r="AJ28" s="21">
        <v>0</v>
      </c>
      <c r="AK28" s="21">
        <f>8959-4480</f>
        <v>4479</v>
      </c>
      <c r="AL28" s="21">
        <f>3000-1500</f>
        <v>1500</v>
      </c>
      <c r="AM28" s="21">
        <f>2500-1250</f>
        <v>1250</v>
      </c>
      <c r="AN28" s="21">
        <v>0</v>
      </c>
      <c r="AO28" s="21">
        <f>103560-500</f>
        <v>103060</v>
      </c>
      <c r="AP28" s="21">
        <v>0</v>
      </c>
      <c r="AQ28" s="21">
        <v>0</v>
      </c>
      <c r="AR28" s="21">
        <f>56470-31000</f>
        <v>25470</v>
      </c>
      <c r="AS28" s="21">
        <v>34799</v>
      </c>
      <c r="AT28" s="21">
        <v>0</v>
      </c>
      <c r="AU28" s="21">
        <v>0</v>
      </c>
      <c r="AV28" s="21">
        <v>0</v>
      </c>
      <c r="AW28" s="21">
        <v>0</v>
      </c>
      <c r="AX28" s="21">
        <v>100320</v>
      </c>
      <c r="AY28" s="21">
        <v>0</v>
      </c>
      <c r="AZ28" s="21">
        <f>11928-5964</f>
        <v>5964</v>
      </c>
      <c r="BA28" s="18">
        <f>SUM(BB28+BF28+BJ28+BL28+BO28)</f>
        <v>227275</v>
      </c>
      <c r="BB28" s="18">
        <f>SUM(BC28:BE28)</f>
        <v>0</v>
      </c>
      <c r="BC28" s="18">
        <v>0</v>
      </c>
      <c r="BD28" s="18">
        <v>0</v>
      </c>
      <c r="BE28" s="18">
        <v>0</v>
      </c>
      <c r="BF28" s="18">
        <f t="shared" si="22"/>
        <v>0</v>
      </c>
      <c r="BG28" s="18">
        <v>0</v>
      </c>
      <c r="BH28" s="18">
        <v>0</v>
      </c>
      <c r="BI28" s="18">
        <v>0</v>
      </c>
      <c r="BJ28" s="18">
        <v>0</v>
      </c>
      <c r="BK28" s="18">
        <v>0</v>
      </c>
      <c r="BL28" s="18">
        <f t="shared" si="11"/>
        <v>0</v>
      </c>
      <c r="BM28" s="18">
        <v>0</v>
      </c>
      <c r="BN28" s="18">
        <v>0</v>
      </c>
      <c r="BO28" s="18">
        <f>SUM(BP28:BZ28)</f>
        <v>227275</v>
      </c>
      <c r="BP28" s="18">
        <v>0</v>
      </c>
      <c r="BQ28" s="18">
        <v>0</v>
      </c>
      <c r="BR28" s="18">
        <v>0</v>
      </c>
      <c r="BS28" s="18">
        <v>0</v>
      </c>
      <c r="BT28" s="18">
        <v>0</v>
      </c>
      <c r="BU28" s="18">
        <v>0</v>
      </c>
      <c r="BV28" s="18">
        <v>0</v>
      </c>
      <c r="BW28" s="18">
        <v>0</v>
      </c>
      <c r="BX28" s="18">
        <v>0</v>
      </c>
      <c r="BY28" s="21">
        <v>7275</v>
      </c>
      <c r="BZ28" s="18">
        <v>220000</v>
      </c>
      <c r="CA28" s="18">
        <f>SUM(CB28+CN28)</f>
        <v>79133</v>
      </c>
      <c r="CB28" s="18">
        <f>SUM(CC28+CF28+CK28)</f>
        <v>79133</v>
      </c>
      <c r="CC28" s="18">
        <f t="shared" si="12"/>
        <v>79133</v>
      </c>
      <c r="CD28" s="18">
        <v>0</v>
      </c>
      <c r="CE28" s="21">
        <f>230000+165663-316530</f>
        <v>79133</v>
      </c>
      <c r="CF28" s="18">
        <f>SUM(CG28:CJ28)</f>
        <v>0</v>
      </c>
      <c r="CG28" s="21"/>
      <c r="CH28" s="18">
        <v>0</v>
      </c>
      <c r="CI28" s="18">
        <v>0</v>
      </c>
      <c r="CJ28" s="18">
        <v>0</v>
      </c>
      <c r="CK28" s="18">
        <f>SUM(CL28:CM28)</f>
        <v>0</v>
      </c>
      <c r="CL28" s="18">
        <v>0</v>
      </c>
      <c r="CM28" s="18"/>
      <c r="CN28" s="18">
        <v>0</v>
      </c>
      <c r="CO28" s="65"/>
      <c r="CP28" s="65"/>
      <c r="CQ28" s="65"/>
      <c r="CR28" s="65"/>
      <c r="CS28" s="46"/>
    </row>
    <row r="29" spans="1:198" ht="31.2" x14ac:dyDescent="0.3">
      <c r="A29" s="90" t="s">
        <v>1</v>
      </c>
      <c r="B29" s="19" t="s">
        <v>47</v>
      </c>
      <c r="C29" s="20" t="s">
        <v>48</v>
      </c>
      <c r="D29" s="18">
        <f>SUM(E29+CA29)</f>
        <v>2034835</v>
      </c>
      <c r="E29" s="18">
        <f>SUM(F29+BA29)</f>
        <v>2029821</v>
      </c>
      <c r="F29" s="18">
        <f>SUM(G29+H29+I29+P29+S29+T29+U29+AE29+AD29)</f>
        <v>2025894</v>
      </c>
      <c r="G29" s="21">
        <v>1425473</v>
      </c>
      <c r="H29" s="21">
        <v>332448</v>
      </c>
      <c r="I29" s="18">
        <f t="shared" si="9"/>
        <v>101123</v>
      </c>
      <c r="J29" s="22"/>
      <c r="K29" s="22"/>
      <c r="L29" s="22"/>
      <c r="M29" s="22"/>
      <c r="N29" s="21">
        <f>149052-70900-6440</f>
        <v>71712</v>
      </c>
      <c r="O29" s="21">
        <f>58823-29412</f>
        <v>29411</v>
      </c>
      <c r="P29" s="18">
        <f t="shared" si="10"/>
        <v>12741</v>
      </c>
      <c r="Q29" s="22">
        <v>0</v>
      </c>
      <c r="R29" s="22">
        <v>12741</v>
      </c>
      <c r="S29" s="22">
        <v>0</v>
      </c>
      <c r="T29" s="21">
        <v>64248</v>
      </c>
      <c r="U29" s="18">
        <f>SUM(V29:AC29)</f>
        <v>27673</v>
      </c>
      <c r="V29" s="21">
        <v>0</v>
      </c>
      <c r="W29" s="21">
        <f>7023+2146</f>
        <v>9169</v>
      </c>
      <c r="X29" s="21">
        <f>7971+8533</f>
        <v>16504</v>
      </c>
      <c r="Y29" s="21">
        <f>1654+346</f>
        <v>2000</v>
      </c>
      <c r="Z29" s="21">
        <v>0</v>
      </c>
      <c r="AA29" s="21">
        <v>0</v>
      </c>
      <c r="AB29" s="21">
        <v>0</v>
      </c>
      <c r="AC29" s="21">
        <v>0</v>
      </c>
      <c r="AD29" s="22">
        <v>0</v>
      </c>
      <c r="AE29" s="18">
        <f>SUM(AF29:AZ29)</f>
        <v>62188</v>
      </c>
      <c r="AF29" s="22"/>
      <c r="AG29" s="22">
        <v>0</v>
      </c>
      <c r="AH29" s="21">
        <v>7287</v>
      </c>
      <c r="AI29" s="21">
        <f>1226-1226</f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f>7956-3978</f>
        <v>3978</v>
      </c>
      <c r="AO29" s="21">
        <v>17613</v>
      </c>
      <c r="AP29" s="21">
        <v>0</v>
      </c>
      <c r="AQ29" s="21">
        <v>0</v>
      </c>
      <c r="AR29" s="21">
        <f>30760-8140+6440</f>
        <v>29060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  <c r="AY29" s="21">
        <v>0</v>
      </c>
      <c r="AZ29" s="21">
        <f>8500-4250</f>
        <v>4250</v>
      </c>
      <c r="BA29" s="18">
        <f>SUM(BB29+BF29+BJ29+BL29+BO29)</f>
        <v>3927</v>
      </c>
      <c r="BB29" s="18">
        <f>SUM(BC29:BE29)</f>
        <v>0</v>
      </c>
      <c r="BC29" s="18">
        <v>0</v>
      </c>
      <c r="BD29" s="18">
        <v>0</v>
      </c>
      <c r="BE29" s="18">
        <v>0</v>
      </c>
      <c r="BF29" s="18">
        <f>SUM(BG29:BI29)</f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f t="shared" si="11"/>
        <v>0</v>
      </c>
      <c r="BM29" s="18">
        <v>0</v>
      </c>
      <c r="BN29" s="18">
        <v>0</v>
      </c>
      <c r="BO29" s="18">
        <f>SUM(BP29:BZ29)</f>
        <v>3927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21">
        <f>7854-3927</f>
        <v>3927</v>
      </c>
      <c r="BZ29" s="18"/>
      <c r="CA29" s="18">
        <f>SUM(CB29+CN29)</f>
        <v>5014</v>
      </c>
      <c r="CB29" s="18">
        <f>SUM(CC29+CF29+CK29)</f>
        <v>5014</v>
      </c>
      <c r="CC29" s="18">
        <f t="shared" si="12"/>
        <v>5014</v>
      </c>
      <c r="CD29" s="18">
        <v>0</v>
      </c>
      <c r="CE29" s="21">
        <f>25069-20055</f>
        <v>5014</v>
      </c>
      <c r="CF29" s="18">
        <f>SUM(CG29:CJ29)</f>
        <v>0</v>
      </c>
      <c r="CG29" s="18">
        <v>0</v>
      </c>
      <c r="CH29" s="18">
        <v>0</v>
      </c>
      <c r="CI29" s="18">
        <v>0</v>
      </c>
      <c r="CJ29" s="18">
        <v>0</v>
      </c>
      <c r="CK29" s="18">
        <f>SUM(CL29:CM29)</f>
        <v>0</v>
      </c>
      <c r="CL29" s="18">
        <v>0</v>
      </c>
      <c r="CM29" s="18">
        <v>0</v>
      </c>
      <c r="CN29" s="18">
        <v>0</v>
      </c>
      <c r="CO29" s="65"/>
      <c r="CP29" s="65"/>
      <c r="CQ29" s="65"/>
      <c r="CR29" s="65"/>
      <c r="CS29" s="46"/>
      <c r="GP29" s="52"/>
    </row>
    <row r="30" spans="1:198" s="52" customFormat="1" ht="31.2" x14ac:dyDescent="0.3">
      <c r="A30" s="89" t="s">
        <v>49</v>
      </c>
      <c r="B30" s="15" t="s">
        <v>1</v>
      </c>
      <c r="C30" s="16" t="s">
        <v>521</v>
      </c>
      <c r="D30" s="17">
        <f t="shared" ref="D30:AS30" si="23">SUM(D31:D43)</f>
        <v>102407254</v>
      </c>
      <c r="E30" s="17">
        <f t="shared" si="23"/>
        <v>102141148</v>
      </c>
      <c r="F30" s="17">
        <f t="shared" si="23"/>
        <v>101949093</v>
      </c>
      <c r="G30" s="17">
        <f t="shared" si="23"/>
        <v>72184734</v>
      </c>
      <c r="H30" s="17">
        <f t="shared" si="23"/>
        <v>17329517</v>
      </c>
      <c r="I30" s="17">
        <f t="shared" si="23"/>
        <v>3097650</v>
      </c>
      <c r="J30" s="17">
        <f t="shared" si="23"/>
        <v>0</v>
      </c>
      <c r="K30" s="17">
        <f t="shared" si="23"/>
        <v>0</v>
      </c>
      <c r="L30" s="17">
        <f t="shared" si="23"/>
        <v>0</v>
      </c>
      <c r="M30" s="17">
        <f t="shared" si="23"/>
        <v>0</v>
      </c>
      <c r="N30" s="17">
        <f t="shared" si="23"/>
        <v>2421087</v>
      </c>
      <c r="O30" s="17">
        <f t="shared" si="23"/>
        <v>676563</v>
      </c>
      <c r="P30" s="17">
        <f t="shared" si="23"/>
        <v>738648</v>
      </c>
      <c r="Q30" s="17">
        <f t="shared" si="23"/>
        <v>0</v>
      </c>
      <c r="R30" s="17">
        <f t="shared" si="23"/>
        <v>738648</v>
      </c>
      <c r="S30" s="17">
        <f t="shared" si="23"/>
        <v>0</v>
      </c>
      <c r="T30" s="17">
        <f t="shared" si="23"/>
        <v>2174578</v>
      </c>
      <c r="U30" s="17">
        <f t="shared" si="23"/>
        <v>2459306</v>
      </c>
      <c r="V30" s="17">
        <f t="shared" si="23"/>
        <v>254604</v>
      </c>
      <c r="W30" s="17">
        <f t="shared" si="23"/>
        <v>941147</v>
      </c>
      <c r="X30" s="17">
        <f t="shared" si="23"/>
        <v>1019014</v>
      </c>
      <c r="Y30" s="17">
        <f t="shared" si="23"/>
        <v>105397</v>
      </c>
      <c r="Z30" s="17">
        <f t="shared" si="23"/>
        <v>50454</v>
      </c>
      <c r="AA30" s="17">
        <f t="shared" si="23"/>
        <v>2664</v>
      </c>
      <c r="AB30" s="17">
        <f t="shared" si="23"/>
        <v>0</v>
      </c>
      <c r="AC30" s="17">
        <f t="shared" si="23"/>
        <v>86026</v>
      </c>
      <c r="AD30" s="17">
        <f t="shared" si="23"/>
        <v>10341</v>
      </c>
      <c r="AE30" s="17">
        <f t="shared" si="23"/>
        <v>3954319</v>
      </c>
      <c r="AF30" s="17">
        <f t="shared" si="23"/>
        <v>0</v>
      </c>
      <c r="AG30" s="17">
        <f t="shared" si="23"/>
        <v>0</v>
      </c>
      <c r="AH30" s="17">
        <f t="shared" si="23"/>
        <v>134374</v>
      </c>
      <c r="AI30" s="17">
        <f t="shared" si="23"/>
        <v>26040</v>
      </c>
      <c r="AJ30" s="17">
        <f t="shared" si="23"/>
        <v>0</v>
      </c>
      <c r="AK30" s="17">
        <f t="shared" si="23"/>
        <v>11954</v>
      </c>
      <c r="AL30" s="17">
        <f t="shared" si="23"/>
        <v>1040</v>
      </c>
      <c r="AM30" s="17">
        <f t="shared" si="23"/>
        <v>100349</v>
      </c>
      <c r="AN30" s="17">
        <f t="shared" si="23"/>
        <v>107019</v>
      </c>
      <c r="AO30" s="17">
        <f t="shared" si="23"/>
        <v>520020</v>
      </c>
      <c r="AP30" s="17">
        <f t="shared" si="23"/>
        <v>0</v>
      </c>
      <c r="AQ30" s="17">
        <f t="shared" si="23"/>
        <v>0</v>
      </c>
      <c r="AR30" s="17">
        <f t="shared" si="23"/>
        <v>631768</v>
      </c>
      <c r="AS30" s="17">
        <f t="shared" si="23"/>
        <v>249306</v>
      </c>
      <c r="AT30" s="17"/>
      <c r="AU30" s="17"/>
      <c r="AV30" s="17">
        <f t="shared" ref="AV30:CM30" si="24">SUM(AV31:AV43)</f>
        <v>0</v>
      </c>
      <c r="AW30" s="17">
        <f t="shared" si="24"/>
        <v>0</v>
      </c>
      <c r="AX30" s="17">
        <f t="shared" si="24"/>
        <v>1868041</v>
      </c>
      <c r="AY30" s="17">
        <f t="shared" si="24"/>
        <v>176645</v>
      </c>
      <c r="AZ30" s="17">
        <f t="shared" si="24"/>
        <v>127763</v>
      </c>
      <c r="BA30" s="17">
        <f t="shared" si="24"/>
        <v>192055</v>
      </c>
      <c r="BB30" s="17">
        <f t="shared" si="24"/>
        <v>0</v>
      </c>
      <c r="BC30" s="17">
        <f t="shared" si="24"/>
        <v>0</v>
      </c>
      <c r="BD30" s="17">
        <f t="shared" si="24"/>
        <v>0</v>
      </c>
      <c r="BE30" s="17">
        <f t="shared" si="24"/>
        <v>0</v>
      </c>
      <c r="BF30" s="17">
        <f t="shared" si="24"/>
        <v>0</v>
      </c>
      <c r="BG30" s="17">
        <f t="shared" si="24"/>
        <v>0</v>
      </c>
      <c r="BH30" s="17">
        <f t="shared" ref="BH30" si="25">SUM(BH31:BH43)</f>
        <v>0</v>
      </c>
      <c r="BI30" s="17">
        <f t="shared" si="24"/>
        <v>0</v>
      </c>
      <c r="BJ30" s="17">
        <f t="shared" si="24"/>
        <v>0</v>
      </c>
      <c r="BK30" s="17">
        <f t="shared" ref="BK30" si="26">SUM(BK31:BK43)</f>
        <v>0</v>
      </c>
      <c r="BL30" s="17">
        <f t="shared" si="24"/>
        <v>0</v>
      </c>
      <c r="BM30" s="17">
        <f t="shared" si="24"/>
        <v>0</v>
      </c>
      <c r="BN30" s="17">
        <f t="shared" si="24"/>
        <v>0</v>
      </c>
      <c r="BO30" s="17">
        <f t="shared" si="24"/>
        <v>192055</v>
      </c>
      <c r="BP30" s="17">
        <f t="shared" si="24"/>
        <v>0</v>
      </c>
      <c r="BQ30" s="17">
        <f t="shared" si="24"/>
        <v>0</v>
      </c>
      <c r="BR30" s="17">
        <f t="shared" si="24"/>
        <v>10670</v>
      </c>
      <c r="BS30" s="17">
        <f t="shared" si="24"/>
        <v>0</v>
      </c>
      <c r="BT30" s="17">
        <f t="shared" si="24"/>
        <v>0</v>
      </c>
      <c r="BU30" s="17">
        <f t="shared" si="24"/>
        <v>0</v>
      </c>
      <c r="BV30" s="17">
        <f t="shared" si="24"/>
        <v>0</v>
      </c>
      <c r="BW30" s="17">
        <f t="shared" si="24"/>
        <v>0</v>
      </c>
      <c r="BX30" s="17">
        <f t="shared" si="24"/>
        <v>0</v>
      </c>
      <c r="BY30" s="17">
        <f t="shared" si="24"/>
        <v>181385</v>
      </c>
      <c r="BZ30" s="17">
        <f t="shared" si="24"/>
        <v>0</v>
      </c>
      <c r="CA30" s="17">
        <f t="shared" si="24"/>
        <v>266106</v>
      </c>
      <c r="CB30" s="17">
        <f t="shared" si="24"/>
        <v>266106</v>
      </c>
      <c r="CC30" s="17">
        <f t="shared" si="24"/>
        <v>266106</v>
      </c>
      <c r="CD30" s="17">
        <f t="shared" si="24"/>
        <v>0</v>
      </c>
      <c r="CE30" s="17">
        <f t="shared" si="24"/>
        <v>266106</v>
      </c>
      <c r="CF30" s="17">
        <f t="shared" si="24"/>
        <v>0</v>
      </c>
      <c r="CG30" s="17">
        <f t="shared" si="24"/>
        <v>0</v>
      </c>
      <c r="CH30" s="17">
        <f t="shared" si="24"/>
        <v>0</v>
      </c>
      <c r="CI30" s="17">
        <f t="shared" si="24"/>
        <v>0</v>
      </c>
      <c r="CJ30" s="17">
        <f t="shared" ref="CJ30" si="27">SUM(CJ31:CJ43)</f>
        <v>0</v>
      </c>
      <c r="CK30" s="17">
        <f t="shared" si="24"/>
        <v>0</v>
      </c>
      <c r="CL30" s="17">
        <f t="shared" si="24"/>
        <v>0</v>
      </c>
      <c r="CM30" s="17">
        <f t="shared" si="24"/>
        <v>0</v>
      </c>
      <c r="CN30" s="17">
        <f t="shared" ref="CN30" si="28">SUM(CN31:CN43)</f>
        <v>0</v>
      </c>
      <c r="CO30" s="64"/>
      <c r="CP30" s="64"/>
      <c r="CQ30" s="64"/>
      <c r="CR30" s="64"/>
      <c r="CS30" s="51"/>
      <c r="GP30" s="44"/>
    </row>
    <row r="31" spans="1:198" s="68" customFormat="1" ht="31.2" x14ac:dyDescent="0.3">
      <c r="A31" s="92" t="s">
        <v>1</v>
      </c>
      <c r="B31" s="62" t="s">
        <v>50</v>
      </c>
      <c r="C31" s="63" t="s">
        <v>51</v>
      </c>
      <c r="D31" s="65">
        <f t="shared" ref="D31:D43" si="29">SUM(E31+CA31)</f>
        <v>25205604</v>
      </c>
      <c r="E31" s="65">
        <f t="shared" ref="E31:E43" si="30">SUM(F31+BA31)</f>
        <v>25179435</v>
      </c>
      <c r="F31" s="65">
        <f t="shared" ref="F31:F43" si="31">SUM(G31+H31+I31+P31+S31+T31+U31+AE31+AD31)</f>
        <v>25179435</v>
      </c>
      <c r="G31" s="66">
        <v>18177072</v>
      </c>
      <c r="H31" s="66">
        <v>4342966</v>
      </c>
      <c r="I31" s="65">
        <f t="shared" si="9"/>
        <v>1001754</v>
      </c>
      <c r="J31" s="66">
        <v>0</v>
      </c>
      <c r="K31" s="66">
        <v>0</v>
      </c>
      <c r="L31" s="66">
        <v>0</v>
      </c>
      <c r="M31" s="66">
        <v>0</v>
      </c>
      <c r="N31" s="66">
        <f>948773-61188</f>
        <v>887585</v>
      </c>
      <c r="O31" s="66">
        <f>228338-114169</f>
        <v>114169</v>
      </c>
      <c r="P31" s="65">
        <f t="shared" si="10"/>
        <v>0</v>
      </c>
      <c r="Q31" s="66">
        <v>0</v>
      </c>
      <c r="R31" s="66">
        <v>0</v>
      </c>
      <c r="S31" s="66">
        <v>0</v>
      </c>
      <c r="T31" s="66">
        <v>227772</v>
      </c>
      <c r="U31" s="65">
        <f t="shared" ref="U31:U43" si="32">SUM(V31:AC31)</f>
        <v>530496</v>
      </c>
      <c r="V31" s="66">
        <v>43194</v>
      </c>
      <c r="W31" s="66">
        <f>83327+33617</f>
        <v>116944</v>
      </c>
      <c r="X31" s="66">
        <f>124298+175434</f>
        <v>299732</v>
      </c>
      <c r="Y31" s="66">
        <f>26720+4514</f>
        <v>31234</v>
      </c>
      <c r="Z31" s="66">
        <v>15602</v>
      </c>
      <c r="AA31" s="66">
        <f>44052-44051</f>
        <v>1</v>
      </c>
      <c r="AB31" s="66">
        <v>0</v>
      </c>
      <c r="AC31" s="66">
        <f>7549+16240</f>
        <v>23789</v>
      </c>
      <c r="AD31" s="65">
        <v>0</v>
      </c>
      <c r="AE31" s="65">
        <f t="shared" ref="AE31:AE43" si="33">SUM(AF31:AZ31)</f>
        <v>899375</v>
      </c>
      <c r="AF31" s="65"/>
      <c r="AG31" s="67">
        <v>0</v>
      </c>
      <c r="AH31" s="66">
        <v>43065</v>
      </c>
      <c r="AI31" s="66">
        <f>36076-21076</f>
        <v>15000</v>
      </c>
      <c r="AJ31" s="66">
        <v>0</v>
      </c>
      <c r="AK31" s="66">
        <f>2120-1060</f>
        <v>1060</v>
      </c>
      <c r="AL31" s="66">
        <v>0</v>
      </c>
      <c r="AM31" s="66">
        <f>150215-72859</f>
        <v>77356</v>
      </c>
      <c r="AN31" s="66">
        <f>69764-4735</f>
        <v>65029</v>
      </c>
      <c r="AO31" s="66">
        <v>45674</v>
      </c>
      <c r="AP31" s="66">
        <v>0</v>
      </c>
      <c r="AQ31" s="66">
        <v>0</v>
      </c>
      <c r="AR31" s="66">
        <f>372364-69672</f>
        <v>302692</v>
      </c>
      <c r="AS31" s="66">
        <v>7186</v>
      </c>
      <c r="AT31" s="66">
        <v>0</v>
      </c>
      <c r="AU31" s="66">
        <v>0</v>
      </c>
      <c r="AV31" s="66">
        <v>0</v>
      </c>
      <c r="AW31" s="66">
        <v>0</v>
      </c>
      <c r="AX31" s="66">
        <v>338180</v>
      </c>
      <c r="AY31" s="66">
        <v>0</v>
      </c>
      <c r="AZ31" s="66">
        <f>8267-4134</f>
        <v>4133</v>
      </c>
      <c r="BA31" s="65">
        <f t="shared" ref="BA31:BA43" si="34">SUM(BB31+BF31+BJ31+BL31+BO31)</f>
        <v>0</v>
      </c>
      <c r="BB31" s="65">
        <f t="shared" ref="BB31:BB43" si="35">SUM(BC31:BE31)</f>
        <v>0</v>
      </c>
      <c r="BC31" s="65">
        <v>0</v>
      </c>
      <c r="BD31" s="65">
        <v>0</v>
      </c>
      <c r="BE31" s="65">
        <v>0</v>
      </c>
      <c r="BF31" s="65">
        <f t="shared" ref="BF31:BF43" si="36">SUM(BG31:BI31)</f>
        <v>0</v>
      </c>
      <c r="BG31" s="65">
        <v>0</v>
      </c>
      <c r="BH31" s="65">
        <v>0</v>
      </c>
      <c r="BI31" s="65">
        <v>0</v>
      </c>
      <c r="BJ31" s="65">
        <v>0</v>
      </c>
      <c r="BK31" s="65">
        <v>0</v>
      </c>
      <c r="BL31" s="65">
        <f t="shared" si="11"/>
        <v>0</v>
      </c>
      <c r="BM31" s="65">
        <v>0</v>
      </c>
      <c r="BN31" s="65">
        <v>0</v>
      </c>
      <c r="BO31" s="65">
        <f t="shared" ref="BO31:BO43" si="37">SUM(BP31:BZ31)</f>
        <v>0</v>
      </c>
      <c r="BP31" s="65">
        <v>0</v>
      </c>
      <c r="BQ31" s="65">
        <v>0</v>
      </c>
      <c r="BR31" s="65">
        <v>0</v>
      </c>
      <c r="BS31" s="65">
        <v>0</v>
      </c>
      <c r="BT31" s="65">
        <v>0</v>
      </c>
      <c r="BU31" s="65">
        <v>0</v>
      </c>
      <c r="BV31" s="65">
        <v>0</v>
      </c>
      <c r="BW31" s="65">
        <v>0</v>
      </c>
      <c r="BX31" s="65">
        <v>0</v>
      </c>
      <c r="BY31" s="66">
        <v>0</v>
      </c>
      <c r="BZ31" s="66">
        <v>0</v>
      </c>
      <c r="CA31" s="65">
        <f t="shared" ref="CA31:CA43" si="38">SUM(CB31+CN31)</f>
        <v>26169</v>
      </c>
      <c r="CB31" s="65">
        <f t="shared" ref="CB31:CB43" si="39">SUM(CC31+CF31+CK31)</f>
        <v>26169</v>
      </c>
      <c r="CC31" s="65">
        <f t="shared" si="12"/>
        <v>26169</v>
      </c>
      <c r="CD31" s="65">
        <v>0</v>
      </c>
      <c r="CE31" s="66">
        <f>179998-153829</f>
        <v>26169</v>
      </c>
      <c r="CF31" s="65">
        <f t="shared" ref="CF31:CF43" si="40">SUM(CG31:CJ31)</f>
        <v>0</v>
      </c>
      <c r="CG31" s="65">
        <v>0</v>
      </c>
      <c r="CH31" s="65">
        <v>0</v>
      </c>
      <c r="CI31" s="65">
        <v>0</v>
      </c>
      <c r="CJ31" s="65">
        <v>0</v>
      </c>
      <c r="CK31" s="65">
        <f t="shared" ref="CK31:CK43" si="41">SUM(CL31:CM31)</f>
        <v>0</v>
      </c>
      <c r="CL31" s="65">
        <v>0</v>
      </c>
      <c r="CM31" s="65"/>
      <c r="CN31" s="65">
        <v>0</v>
      </c>
      <c r="CO31" s="65"/>
      <c r="CP31" s="65"/>
      <c r="CQ31" s="65"/>
      <c r="CR31" s="65"/>
      <c r="GP31" s="44"/>
    </row>
    <row r="32" spans="1:198" s="68" customFormat="1" ht="31.2" x14ac:dyDescent="0.3">
      <c r="A32" s="92" t="s">
        <v>1</v>
      </c>
      <c r="B32" s="62" t="s">
        <v>52</v>
      </c>
      <c r="C32" s="63" t="s">
        <v>53</v>
      </c>
      <c r="D32" s="65">
        <f t="shared" si="29"/>
        <v>5895867</v>
      </c>
      <c r="E32" s="65">
        <f t="shared" si="30"/>
        <v>5895867</v>
      </c>
      <c r="F32" s="65">
        <f t="shared" si="31"/>
        <v>5895867</v>
      </c>
      <c r="G32" s="66">
        <v>4306536</v>
      </c>
      <c r="H32" s="66">
        <v>1077065</v>
      </c>
      <c r="I32" s="65">
        <f t="shared" si="9"/>
        <v>114830</v>
      </c>
      <c r="J32" s="66"/>
      <c r="K32" s="66">
        <v>0</v>
      </c>
      <c r="L32" s="66">
        <v>0</v>
      </c>
      <c r="M32" s="66">
        <v>0</v>
      </c>
      <c r="N32" s="66">
        <f>100000-19709</f>
        <v>80291</v>
      </c>
      <c r="O32" s="66">
        <f>68828-30000-4289</f>
        <v>34539</v>
      </c>
      <c r="P32" s="65">
        <f t="shared" si="10"/>
        <v>0</v>
      </c>
      <c r="Q32" s="66">
        <v>0</v>
      </c>
      <c r="R32" s="66">
        <v>0</v>
      </c>
      <c r="S32" s="66">
        <v>0</v>
      </c>
      <c r="T32" s="66">
        <f>164212-40000-11700</f>
        <v>112512</v>
      </c>
      <c r="U32" s="65">
        <f t="shared" si="32"/>
        <v>166787</v>
      </c>
      <c r="V32" s="66">
        <f>2900-2900</f>
        <v>0</v>
      </c>
      <c r="W32" s="66">
        <f>67450-36464+10660</f>
        <v>41646</v>
      </c>
      <c r="X32" s="66">
        <f>50011-22890+30146+36013</f>
        <v>93280</v>
      </c>
      <c r="Y32" s="66">
        <f>8395-3512+603+80</f>
        <v>5566</v>
      </c>
      <c r="Z32" s="66">
        <f>1553-1553</f>
        <v>0</v>
      </c>
      <c r="AA32" s="66">
        <v>0</v>
      </c>
      <c r="AB32" s="66">
        <v>0</v>
      </c>
      <c r="AC32" s="66">
        <f>16295+10000</f>
        <v>26295</v>
      </c>
      <c r="AD32" s="65">
        <v>0</v>
      </c>
      <c r="AE32" s="65">
        <f t="shared" si="33"/>
        <v>118137</v>
      </c>
      <c r="AF32" s="65"/>
      <c r="AG32" s="67">
        <v>0</v>
      </c>
      <c r="AH32" s="66">
        <f>155000-150000</f>
        <v>5000</v>
      </c>
      <c r="AI32" s="66">
        <f>20000-15578</f>
        <v>4422</v>
      </c>
      <c r="AJ32" s="66">
        <v>0</v>
      </c>
      <c r="AK32" s="66">
        <f>900-450</f>
        <v>450</v>
      </c>
      <c r="AL32" s="66">
        <v>0</v>
      </c>
      <c r="AM32" s="66">
        <v>0</v>
      </c>
      <c r="AN32" s="66">
        <f>5000-2500</f>
        <v>2500</v>
      </c>
      <c r="AO32" s="66">
        <v>13130</v>
      </c>
      <c r="AP32" s="66">
        <v>0</v>
      </c>
      <c r="AQ32" s="66">
        <v>0</v>
      </c>
      <c r="AR32" s="66">
        <f>579341-526476-10000</f>
        <v>42865</v>
      </c>
      <c r="AS32" s="66">
        <v>20370</v>
      </c>
      <c r="AT32" s="66">
        <v>0</v>
      </c>
      <c r="AU32" s="66">
        <v>0</v>
      </c>
      <c r="AV32" s="66">
        <v>0</v>
      </c>
      <c r="AW32" s="66">
        <v>0</v>
      </c>
      <c r="AX32" s="66">
        <v>28900</v>
      </c>
      <c r="AY32" s="66">
        <v>0</v>
      </c>
      <c r="AZ32" s="66">
        <f>6000-5000-500</f>
        <v>500</v>
      </c>
      <c r="BA32" s="65">
        <f t="shared" si="34"/>
        <v>0</v>
      </c>
      <c r="BB32" s="65">
        <f t="shared" si="35"/>
        <v>0</v>
      </c>
      <c r="BC32" s="65">
        <v>0</v>
      </c>
      <c r="BD32" s="65">
        <v>0</v>
      </c>
      <c r="BE32" s="65">
        <v>0</v>
      </c>
      <c r="BF32" s="65">
        <f t="shared" si="36"/>
        <v>0</v>
      </c>
      <c r="BG32" s="65">
        <v>0</v>
      </c>
      <c r="BH32" s="65">
        <v>0</v>
      </c>
      <c r="BI32" s="65">
        <v>0</v>
      </c>
      <c r="BJ32" s="65">
        <v>0</v>
      </c>
      <c r="BK32" s="65">
        <v>0</v>
      </c>
      <c r="BL32" s="65">
        <f t="shared" si="11"/>
        <v>0</v>
      </c>
      <c r="BM32" s="65">
        <v>0</v>
      </c>
      <c r="BN32" s="65">
        <v>0</v>
      </c>
      <c r="BO32" s="65">
        <f t="shared" si="37"/>
        <v>0</v>
      </c>
      <c r="BP32" s="65">
        <v>0</v>
      </c>
      <c r="BQ32" s="65">
        <v>0</v>
      </c>
      <c r="BR32" s="65">
        <v>0</v>
      </c>
      <c r="BS32" s="65">
        <v>0</v>
      </c>
      <c r="BT32" s="65">
        <v>0</v>
      </c>
      <c r="BU32" s="65">
        <v>0</v>
      </c>
      <c r="BV32" s="65">
        <v>0</v>
      </c>
      <c r="BW32" s="65">
        <v>0</v>
      </c>
      <c r="BX32" s="65">
        <v>0</v>
      </c>
      <c r="BY32" s="66">
        <v>0</v>
      </c>
      <c r="BZ32" s="66">
        <v>0</v>
      </c>
      <c r="CA32" s="65">
        <f t="shared" si="38"/>
        <v>0</v>
      </c>
      <c r="CB32" s="65">
        <f t="shared" si="39"/>
        <v>0</v>
      </c>
      <c r="CC32" s="65">
        <f t="shared" si="12"/>
        <v>0</v>
      </c>
      <c r="CD32" s="65">
        <v>0</v>
      </c>
      <c r="CE32" s="66">
        <v>0</v>
      </c>
      <c r="CF32" s="65">
        <f t="shared" si="40"/>
        <v>0</v>
      </c>
      <c r="CG32" s="65">
        <v>0</v>
      </c>
      <c r="CH32" s="65">
        <v>0</v>
      </c>
      <c r="CI32" s="65">
        <v>0</v>
      </c>
      <c r="CJ32" s="65">
        <v>0</v>
      </c>
      <c r="CK32" s="65">
        <f t="shared" si="41"/>
        <v>0</v>
      </c>
      <c r="CL32" s="65">
        <v>0</v>
      </c>
      <c r="CM32" s="65">
        <v>0</v>
      </c>
      <c r="CN32" s="65">
        <v>0</v>
      </c>
      <c r="CO32" s="65"/>
      <c r="CP32" s="65"/>
      <c r="CQ32" s="65"/>
      <c r="CR32" s="65"/>
      <c r="GP32" s="44"/>
    </row>
    <row r="33" spans="1:198" s="68" customFormat="1" ht="31.2" x14ac:dyDescent="0.3">
      <c r="A33" s="92" t="s">
        <v>1</v>
      </c>
      <c r="B33" s="62" t="s">
        <v>54</v>
      </c>
      <c r="C33" s="63" t="s">
        <v>55</v>
      </c>
      <c r="D33" s="65">
        <f t="shared" si="29"/>
        <v>8922247</v>
      </c>
      <c r="E33" s="65">
        <f t="shared" si="30"/>
        <v>8922247</v>
      </c>
      <c r="F33" s="65">
        <f t="shared" si="31"/>
        <v>8911577</v>
      </c>
      <c r="G33" s="66">
        <v>5932896</v>
      </c>
      <c r="H33" s="66">
        <v>1410411</v>
      </c>
      <c r="I33" s="65">
        <f t="shared" si="9"/>
        <v>32868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f>235736-170000-32868</f>
        <v>32868</v>
      </c>
      <c r="P33" s="65">
        <f t="shared" si="10"/>
        <v>100000</v>
      </c>
      <c r="Q33" s="66">
        <v>0</v>
      </c>
      <c r="R33" s="66">
        <f>200000-100000</f>
        <v>100000</v>
      </c>
      <c r="S33" s="66">
        <v>0</v>
      </c>
      <c r="T33" s="66">
        <v>60000</v>
      </c>
      <c r="U33" s="65">
        <f t="shared" si="32"/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  <c r="AC33" s="66">
        <v>0</v>
      </c>
      <c r="AD33" s="65">
        <f>19182-8841</f>
        <v>10341</v>
      </c>
      <c r="AE33" s="65">
        <f t="shared" si="33"/>
        <v>1365061</v>
      </c>
      <c r="AF33" s="65"/>
      <c r="AG33" s="67">
        <v>0</v>
      </c>
      <c r="AH33" s="66">
        <v>4147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10754</v>
      </c>
      <c r="AP33" s="66">
        <v>0</v>
      </c>
      <c r="AQ33" s="66">
        <v>0</v>
      </c>
      <c r="AR33" s="66">
        <v>0</v>
      </c>
      <c r="AS33" s="66">
        <v>24000</v>
      </c>
      <c r="AT33" s="66">
        <v>0</v>
      </c>
      <c r="AU33" s="66">
        <v>0</v>
      </c>
      <c r="AV33" s="66">
        <v>0</v>
      </c>
      <c r="AW33" s="66">
        <v>0</v>
      </c>
      <c r="AX33" s="66">
        <f>1376160-50000</f>
        <v>1326160</v>
      </c>
      <c r="AY33" s="66">
        <v>0</v>
      </c>
      <c r="AZ33" s="66">
        <v>0</v>
      </c>
      <c r="BA33" s="65">
        <f t="shared" si="34"/>
        <v>10670</v>
      </c>
      <c r="BB33" s="65">
        <f t="shared" si="35"/>
        <v>0</v>
      </c>
      <c r="BC33" s="65">
        <v>0</v>
      </c>
      <c r="BD33" s="65">
        <v>0</v>
      </c>
      <c r="BE33" s="65">
        <v>0</v>
      </c>
      <c r="BF33" s="65">
        <f t="shared" si="36"/>
        <v>0</v>
      </c>
      <c r="BG33" s="65">
        <v>0</v>
      </c>
      <c r="BH33" s="65">
        <v>0</v>
      </c>
      <c r="BI33" s="65">
        <v>0</v>
      </c>
      <c r="BJ33" s="65">
        <v>0</v>
      </c>
      <c r="BK33" s="65">
        <v>0</v>
      </c>
      <c r="BL33" s="65">
        <f t="shared" si="11"/>
        <v>0</v>
      </c>
      <c r="BM33" s="65">
        <v>0</v>
      </c>
      <c r="BN33" s="65">
        <v>0</v>
      </c>
      <c r="BO33" s="65">
        <f t="shared" si="37"/>
        <v>10670</v>
      </c>
      <c r="BP33" s="65">
        <v>0</v>
      </c>
      <c r="BQ33" s="65">
        <v>0</v>
      </c>
      <c r="BR33" s="65">
        <v>10670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6">
        <v>0</v>
      </c>
      <c r="BZ33" s="66">
        <v>0</v>
      </c>
      <c r="CA33" s="65">
        <f t="shared" si="38"/>
        <v>0</v>
      </c>
      <c r="CB33" s="65">
        <f t="shared" si="39"/>
        <v>0</v>
      </c>
      <c r="CC33" s="65">
        <f t="shared" si="12"/>
        <v>0</v>
      </c>
      <c r="CD33" s="65">
        <v>0</v>
      </c>
      <c r="CE33" s="66">
        <f>144994-144994</f>
        <v>0</v>
      </c>
      <c r="CF33" s="65">
        <f t="shared" si="40"/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f t="shared" si="41"/>
        <v>0</v>
      </c>
      <c r="CL33" s="65">
        <v>0</v>
      </c>
      <c r="CM33" s="65">
        <v>0</v>
      </c>
      <c r="CN33" s="65">
        <v>0</v>
      </c>
      <c r="CO33" s="65"/>
      <c r="CP33" s="65"/>
      <c r="CQ33" s="65"/>
      <c r="CR33" s="65"/>
      <c r="GP33" s="52"/>
    </row>
    <row r="34" spans="1:198" s="68" customFormat="1" ht="15.6" x14ac:dyDescent="0.3">
      <c r="A34" s="92" t="s">
        <v>1</v>
      </c>
      <c r="B34" s="62" t="s">
        <v>56</v>
      </c>
      <c r="C34" s="63" t="s">
        <v>57</v>
      </c>
      <c r="D34" s="65">
        <f t="shared" si="29"/>
        <v>7879258</v>
      </c>
      <c r="E34" s="65">
        <f t="shared" si="30"/>
        <v>7879258</v>
      </c>
      <c r="F34" s="65">
        <f t="shared" si="31"/>
        <v>7875808</v>
      </c>
      <c r="G34" s="66">
        <v>4722335</v>
      </c>
      <c r="H34" s="66">
        <v>1125417</v>
      </c>
      <c r="I34" s="65">
        <f t="shared" si="9"/>
        <v>234297</v>
      </c>
      <c r="J34" s="66">
        <v>0</v>
      </c>
      <c r="K34" s="66">
        <v>0</v>
      </c>
      <c r="L34" s="66">
        <v>0</v>
      </c>
      <c r="M34" s="66">
        <v>0</v>
      </c>
      <c r="N34" s="66">
        <f>200000+12364</f>
        <v>212364</v>
      </c>
      <c r="O34" s="66">
        <f>43866-21933</f>
        <v>21933</v>
      </c>
      <c r="P34" s="65">
        <f t="shared" si="10"/>
        <v>19000</v>
      </c>
      <c r="Q34" s="66">
        <v>0</v>
      </c>
      <c r="R34" s="66">
        <v>19000</v>
      </c>
      <c r="S34" s="66">
        <v>0</v>
      </c>
      <c r="T34" s="66">
        <v>1375787</v>
      </c>
      <c r="U34" s="65">
        <f t="shared" si="32"/>
        <v>261463</v>
      </c>
      <c r="V34" s="66">
        <v>5000</v>
      </c>
      <c r="W34" s="66">
        <f>106002+39889</f>
        <v>145891</v>
      </c>
      <c r="X34" s="66">
        <f>34807+63309</f>
        <v>98116</v>
      </c>
      <c r="Y34" s="66">
        <f>6820+1636</f>
        <v>8456</v>
      </c>
      <c r="Z34" s="66">
        <v>4000</v>
      </c>
      <c r="AA34" s="66">
        <v>0</v>
      </c>
      <c r="AB34" s="66">
        <v>0</v>
      </c>
      <c r="AC34" s="66">
        <v>0</v>
      </c>
      <c r="AD34" s="65">
        <v>0</v>
      </c>
      <c r="AE34" s="65">
        <f t="shared" si="33"/>
        <v>137509</v>
      </c>
      <c r="AF34" s="65"/>
      <c r="AG34" s="67">
        <v>0</v>
      </c>
      <c r="AH34" s="66">
        <v>0</v>
      </c>
      <c r="AI34" s="66">
        <v>0</v>
      </c>
      <c r="AJ34" s="66">
        <v>0</v>
      </c>
      <c r="AK34" s="66">
        <v>0</v>
      </c>
      <c r="AL34" s="66">
        <v>0</v>
      </c>
      <c r="AM34" s="66">
        <v>0</v>
      </c>
      <c r="AN34" s="66">
        <v>0</v>
      </c>
      <c r="AO34" s="66">
        <v>13386</v>
      </c>
      <c r="AP34" s="66">
        <v>0</v>
      </c>
      <c r="AQ34" s="66">
        <v>0</v>
      </c>
      <c r="AR34" s="66">
        <f>99790-40587</f>
        <v>59203</v>
      </c>
      <c r="AS34" s="66">
        <v>64920</v>
      </c>
      <c r="AT34" s="66">
        <v>0</v>
      </c>
      <c r="AU34" s="66">
        <v>0</v>
      </c>
      <c r="AV34" s="66">
        <v>0</v>
      </c>
      <c r="AW34" s="66">
        <v>0</v>
      </c>
      <c r="AX34" s="66">
        <v>0</v>
      </c>
      <c r="AY34" s="66">
        <v>0</v>
      </c>
      <c r="AZ34" s="66">
        <v>0</v>
      </c>
      <c r="BA34" s="65">
        <f t="shared" si="34"/>
        <v>3450</v>
      </c>
      <c r="BB34" s="65">
        <f t="shared" si="35"/>
        <v>0</v>
      </c>
      <c r="BC34" s="65">
        <v>0</v>
      </c>
      <c r="BD34" s="65">
        <v>0</v>
      </c>
      <c r="BE34" s="65">
        <v>0</v>
      </c>
      <c r="BF34" s="65">
        <f t="shared" si="36"/>
        <v>0</v>
      </c>
      <c r="BG34" s="65">
        <v>0</v>
      </c>
      <c r="BH34" s="65">
        <v>0</v>
      </c>
      <c r="BI34" s="65">
        <v>0</v>
      </c>
      <c r="BJ34" s="65">
        <v>0</v>
      </c>
      <c r="BK34" s="65">
        <v>0</v>
      </c>
      <c r="BL34" s="65">
        <f t="shared" si="11"/>
        <v>0</v>
      </c>
      <c r="BM34" s="65">
        <v>0</v>
      </c>
      <c r="BN34" s="65">
        <v>0</v>
      </c>
      <c r="BO34" s="65">
        <f t="shared" si="37"/>
        <v>3450</v>
      </c>
      <c r="BP34" s="65">
        <v>0</v>
      </c>
      <c r="BQ34" s="65">
        <v>0</v>
      </c>
      <c r="BR34" s="65">
        <v>0</v>
      </c>
      <c r="BS34" s="65">
        <v>0</v>
      </c>
      <c r="BT34" s="65">
        <v>0</v>
      </c>
      <c r="BU34" s="65">
        <v>0</v>
      </c>
      <c r="BV34" s="65">
        <v>0</v>
      </c>
      <c r="BW34" s="65">
        <v>0</v>
      </c>
      <c r="BX34" s="65">
        <v>0</v>
      </c>
      <c r="BY34" s="66">
        <f>6901-3451</f>
        <v>3450</v>
      </c>
      <c r="BZ34" s="66">
        <v>0</v>
      </c>
      <c r="CA34" s="65">
        <f t="shared" si="38"/>
        <v>0</v>
      </c>
      <c r="CB34" s="65">
        <f t="shared" si="39"/>
        <v>0</v>
      </c>
      <c r="CC34" s="65">
        <f t="shared" si="12"/>
        <v>0</v>
      </c>
      <c r="CD34" s="65">
        <v>0</v>
      </c>
      <c r="CE34" s="66">
        <v>0</v>
      </c>
      <c r="CF34" s="65">
        <f t="shared" si="40"/>
        <v>0</v>
      </c>
      <c r="CG34" s="65">
        <v>0</v>
      </c>
      <c r="CH34" s="65">
        <v>0</v>
      </c>
      <c r="CI34" s="65">
        <v>0</v>
      </c>
      <c r="CJ34" s="65">
        <v>0</v>
      </c>
      <c r="CK34" s="65">
        <f t="shared" si="41"/>
        <v>0</v>
      </c>
      <c r="CL34" s="65">
        <v>0</v>
      </c>
      <c r="CM34" s="65">
        <v>0</v>
      </c>
      <c r="CN34" s="65">
        <v>0</v>
      </c>
      <c r="CO34" s="65"/>
      <c r="CP34" s="65"/>
      <c r="CQ34" s="65"/>
      <c r="CR34" s="65"/>
    </row>
    <row r="35" spans="1:198" s="68" customFormat="1" ht="15.6" x14ac:dyDescent="0.3">
      <c r="A35" s="92" t="s">
        <v>1</v>
      </c>
      <c r="B35" s="62" t="s">
        <v>58</v>
      </c>
      <c r="C35" s="63" t="s">
        <v>59</v>
      </c>
      <c r="D35" s="65">
        <f t="shared" si="29"/>
        <v>8024314</v>
      </c>
      <c r="E35" s="65">
        <f t="shared" si="30"/>
        <v>7989184</v>
      </c>
      <c r="F35" s="65">
        <f t="shared" si="31"/>
        <v>7989184</v>
      </c>
      <c r="G35" s="66">
        <v>5928844</v>
      </c>
      <c r="H35" s="66">
        <v>1428736</v>
      </c>
      <c r="I35" s="65">
        <f t="shared" si="9"/>
        <v>256462</v>
      </c>
      <c r="J35" s="66">
        <v>0</v>
      </c>
      <c r="K35" s="66">
        <f>22585-22585</f>
        <v>0</v>
      </c>
      <c r="L35" s="66"/>
      <c r="M35" s="66"/>
      <c r="N35" s="66">
        <f>206650-24077</f>
        <v>182573</v>
      </c>
      <c r="O35" s="66">
        <f>147779-73890</f>
        <v>73889</v>
      </c>
      <c r="P35" s="65">
        <f t="shared" si="10"/>
        <v>0</v>
      </c>
      <c r="Q35" s="66">
        <v>0</v>
      </c>
      <c r="R35" s="66">
        <v>0</v>
      </c>
      <c r="S35" s="66">
        <v>0</v>
      </c>
      <c r="T35" s="66">
        <v>83482</v>
      </c>
      <c r="U35" s="65">
        <f t="shared" si="32"/>
        <v>216623</v>
      </c>
      <c r="V35" s="66">
        <v>20094</v>
      </c>
      <c r="W35" s="66">
        <f>30803+12410</f>
        <v>43213</v>
      </c>
      <c r="X35" s="66">
        <f>44882+73271+2929</f>
        <v>121082</v>
      </c>
      <c r="Y35" s="66">
        <f>10773+1811</f>
        <v>12584</v>
      </c>
      <c r="Z35" s="66">
        <v>2578</v>
      </c>
      <c r="AA35" s="66">
        <v>0</v>
      </c>
      <c r="AB35" s="66">
        <v>0</v>
      </c>
      <c r="AC35" s="66">
        <f>6107+10965</f>
        <v>17072</v>
      </c>
      <c r="AD35" s="65">
        <v>0</v>
      </c>
      <c r="AE35" s="65">
        <f t="shared" si="33"/>
        <v>75037</v>
      </c>
      <c r="AF35" s="65"/>
      <c r="AG35" s="67">
        <v>0</v>
      </c>
      <c r="AH35" s="66">
        <v>15460</v>
      </c>
      <c r="AI35" s="66">
        <f>15000-15000</f>
        <v>0</v>
      </c>
      <c r="AJ35" s="66">
        <v>0</v>
      </c>
      <c r="AK35" s="66">
        <f>11078-5539</f>
        <v>5539</v>
      </c>
      <c r="AL35" s="66">
        <v>0</v>
      </c>
      <c r="AM35" s="66">
        <v>0</v>
      </c>
      <c r="AN35" s="66">
        <v>0</v>
      </c>
      <c r="AO35" s="66">
        <v>25026</v>
      </c>
      <c r="AP35" s="66">
        <v>0</v>
      </c>
      <c r="AQ35" s="66">
        <v>0</v>
      </c>
      <c r="AR35" s="66">
        <v>0</v>
      </c>
      <c r="AS35" s="66">
        <v>0</v>
      </c>
      <c r="AT35" s="66">
        <v>0</v>
      </c>
      <c r="AU35" s="66">
        <v>0</v>
      </c>
      <c r="AV35" s="66">
        <v>0</v>
      </c>
      <c r="AW35" s="66">
        <v>0</v>
      </c>
      <c r="AX35" s="66">
        <f>26352-2929</f>
        <v>23423</v>
      </c>
      <c r="AY35" s="66">
        <v>0</v>
      </c>
      <c r="AZ35" s="66">
        <f>11178-5589</f>
        <v>5589</v>
      </c>
      <c r="BA35" s="65">
        <f t="shared" si="34"/>
        <v>0</v>
      </c>
      <c r="BB35" s="65">
        <f t="shared" si="35"/>
        <v>0</v>
      </c>
      <c r="BC35" s="65">
        <v>0</v>
      </c>
      <c r="BD35" s="65">
        <v>0</v>
      </c>
      <c r="BE35" s="65">
        <v>0</v>
      </c>
      <c r="BF35" s="65">
        <f t="shared" si="36"/>
        <v>0</v>
      </c>
      <c r="BG35" s="65">
        <v>0</v>
      </c>
      <c r="BH35" s="65">
        <v>0</v>
      </c>
      <c r="BI35" s="65">
        <v>0</v>
      </c>
      <c r="BJ35" s="65">
        <v>0</v>
      </c>
      <c r="BK35" s="65">
        <v>0</v>
      </c>
      <c r="BL35" s="65">
        <f t="shared" si="11"/>
        <v>0</v>
      </c>
      <c r="BM35" s="65">
        <v>0</v>
      </c>
      <c r="BN35" s="65">
        <v>0</v>
      </c>
      <c r="BO35" s="65">
        <f t="shared" si="37"/>
        <v>0</v>
      </c>
      <c r="BP35" s="65">
        <v>0</v>
      </c>
      <c r="BQ35" s="65">
        <v>0</v>
      </c>
      <c r="BR35" s="65">
        <v>0</v>
      </c>
      <c r="BS35" s="65">
        <v>0</v>
      </c>
      <c r="BT35" s="65">
        <v>0</v>
      </c>
      <c r="BU35" s="65">
        <v>0</v>
      </c>
      <c r="BV35" s="65">
        <v>0</v>
      </c>
      <c r="BW35" s="65">
        <v>0</v>
      </c>
      <c r="BX35" s="65">
        <v>0</v>
      </c>
      <c r="BY35" s="66">
        <f>7285-7285</f>
        <v>0</v>
      </c>
      <c r="BZ35" s="66">
        <v>0</v>
      </c>
      <c r="CA35" s="65">
        <f t="shared" si="38"/>
        <v>35130</v>
      </c>
      <c r="CB35" s="65">
        <f t="shared" si="39"/>
        <v>35130</v>
      </c>
      <c r="CC35" s="65">
        <f t="shared" si="12"/>
        <v>35130</v>
      </c>
      <c r="CD35" s="65">
        <v>0</v>
      </c>
      <c r="CE35" s="66">
        <f>175651-140521</f>
        <v>35130</v>
      </c>
      <c r="CF35" s="65">
        <f t="shared" si="40"/>
        <v>0</v>
      </c>
      <c r="CG35" s="65">
        <v>0</v>
      </c>
      <c r="CH35" s="65">
        <v>0</v>
      </c>
      <c r="CI35" s="65">
        <v>0</v>
      </c>
      <c r="CJ35" s="65">
        <v>0</v>
      </c>
      <c r="CK35" s="65">
        <f t="shared" si="41"/>
        <v>0</v>
      </c>
      <c r="CL35" s="65">
        <v>0</v>
      </c>
      <c r="CM35" s="65"/>
      <c r="CN35" s="65">
        <v>0</v>
      </c>
      <c r="CO35" s="65"/>
      <c r="CP35" s="65"/>
      <c r="CQ35" s="65"/>
      <c r="CR35" s="65"/>
    </row>
    <row r="36" spans="1:198" s="68" customFormat="1" ht="31.2" x14ac:dyDescent="0.3">
      <c r="A36" s="92" t="s">
        <v>1</v>
      </c>
      <c r="B36" s="62" t="s">
        <v>60</v>
      </c>
      <c r="C36" s="63" t="s">
        <v>61</v>
      </c>
      <c r="D36" s="65">
        <f t="shared" si="29"/>
        <v>7066238</v>
      </c>
      <c r="E36" s="65">
        <f t="shared" si="30"/>
        <v>7061189</v>
      </c>
      <c r="F36" s="65">
        <f t="shared" si="31"/>
        <v>6888487</v>
      </c>
      <c r="G36" s="66">
        <v>4386202</v>
      </c>
      <c r="H36" s="66">
        <v>1067538</v>
      </c>
      <c r="I36" s="65">
        <f t="shared" si="9"/>
        <v>286316</v>
      </c>
      <c r="J36" s="66">
        <v>0</v>
      </c>
      <c r="K36" s="66">
        <f>7442-7442</f>
        <v>0</v>
      </c>
      <c r="L36" s="66"/>
      <c r="M36" s="66"/>
      <c r="N36" s="66">
        <f>263918-22069</f>
        <v>241849</v>
      </c>
      <c r="O36" s="66">
        <f>88934-44467</f>
        <v>44467</v>
      </c>
      <c r="P36" s="65">
        <f t="shared" si="10"/>
        <v>559648</v>
      </c>
      <c r="Q36" s="66">
        <v>0</v>
      </c>
      <c r="R36" s="66">
        <v>559648</v>
      </c>
      <c r="S36" s="66">
        <v>0</v>
      </c>
      <c r="T36" s="66">
        <v>52306</v>
      </c>
      <c r="U36" s="65">
        <f t="shared" si="32"/>
        <v>122842</v>
      </c>
      <c r="V36" s="66">
        <v>15418</v>
      </c>
      <c r="W36" s="66">
        <v>0</v>
      </c>
      <c r="X36" s="66">
        <f>41728+47932-18000</f>
        <v>71660</v>
      </c>
      <c r="Y36" s="66">
        <f>9191+2189</f>
        <v>11380</v>
      </c>
      <c r="Z36" s="66">
        <v>5514</v>
      </c>
      <c r="AA36" s="66">
        <v>0</v>
      </c>
      <c r="AB36" s="66">
        <v>0</v>
      </c>
      <c r="AC36" s="66">
        <f>9168+9702</f>
        <v>18870</v>
      </c>
      <c r="AD36" s="65">
        <v>0</v>
      </c>
      <c r="AE36" s="65">
        <f t="shared" si="33"/>
        <v>413635</v>
      </c>
      <c r="AF36" s="65"/>
      <c r="AG36" s="67">
        <v>0</v>
      </c>
      <c r="AH36" s="66">
        <v>8075</v>
      </c>
      <c r="AI36" s="66">
        <f>31615-28289</f>
        <v>3326</v>
      </c>
      <c r="AJ36" s="66">
        <v>0</v>
      </c>
      <c r="AK36" s="66">
        <v>0</v>
      </c>
      <c r="AL36" s="66">
        <f>2080-1040</f>
        <v>1040</v>
      </c>
      <c r="AM36" s="66">
        <f>102751-79823</f>
        <v>22928</v>
      </c>
      <c r="AN36" s="66">
        <f>48350-23860</f>
        <v>24490</v>
      </c>
      <c r="AO36" s="66">
        <f>499415-163603</f>
        <v>335812</v>
      </c>
      <c r="AP36" s="66">
        <v>0</v>
      </c>
      <c r="AQ36" s="66">
        <v>0</v>
      </c>
      <c r="AR36" s="66">
        <v>9768</v>
      </c>
      <c r="AS36" s="66">
        <v>4696</v>
      </c>
      <c r="AT36" s="66">
        <v>0</v>
      </c>
      <c r="AU36" s="66">
        <v>0</v>
      </c>
      <c r="AV36" s="66">
        <v>0</v>
      </c>
      <c r="AW36" s="66">
        <v>0</v>
      </c>
      <c r="AX36" s="66">
        <v>0</v>
      </c>
      <c r="AY36" s="66">
        <v>0</v>
      </c>
      <c r="AZ36" s="66">
        <f>7000-3500</f>
        <v>3500</v>
      </c>
      <c r="BA36" s="65">
        <f t="shared" si="34"/>
        <v>172702</v>
      </c>
      <c r="BB36" s="65">
        <f t="shared" si="35"/>
        <v>0</v>
      </c>
      <c r="BC36" s="65">
        <v>0</v>
      </c>
      <c r="BD36" s="65">
        <v>0</v>
      </c>
      <c r="BE36" s="65">
        <v>0</v>
      </c>
      <c r="BF36" s="65">
        <f t="shared" si="36"/>
        <v>0</v>
      </c>
      <c r="BG36" s="65">
        <v>0</v>
      </c>
      <c r="BH36" s="65">
        <v>0</v>
      </c>
      <c r="BI36" s="65">
        <v>0</v>
      </c>
      <c r="BJ36" s="65">
        <v>0</v>
      </c>
      <c r="BK36" s="65">
        <v>0</v>
      </c>
      <c r="BL36" s="65">
        <f t="shared" si="11"/>
        <v>0</v>
      </c>
      <c r="BM36" s="65">
        <v>0</v>
      </c>
      <c r="BN36" s="65">
        <v>0</v>
      </c>
      <c r="BO36" s="65">
        <f t="shared" si="37"/>
        <v>172702</v>
      </c>
      <c r="BP36" s="65">
        <v>0</v>
      </c>
      <c r="BQ36" s="65">
        <v>0</v>
      </c>
      <c r="BR36" s="65">
        <v>0</v>
      </c>
      <c r="BS36" s="65">
        <v>0</v>
      </c>
      <c r="BT36" s="65">
        <v>0</v>
      </c>
      <c r="BU36" s="65">
        <v>0</v>
      </c>
      <c r="BV36" s="65">
        <v>0</v>
      </c>
      <c r="BW36" s="65">
        <v>0</v>
      </c>
      <c r="BX36" s="65">
        <v>0</v>
      </c>
      <c r="BY36" s="66">
        <f>242068-69366</f>
        <v>172702</v>
      </c>
      <c r="BZ36" s="66">
        <v>0</v>
      </c>
      <c r="CA36" s="65">
        <f t="shared" si="38"/>
        <v>5049</v>
      </c>
      <c r="CB36" s="65">
        <f t="shared" si="39"/>
        <v>5049</v>
      </c>
      <c r="CC36" s="65">
        <f t="shared" si="12"/>
        <v>5049</v>
      </c>
      <c r="CD36" s="65">
        <v>0</v>
      </c>
      <c r="CE36" s="66">
        <f>25245-20196</f>
        <v>5049</v>
      </c>
      <c r="CF36" s="65">
        <f t="shared" si="40"/>
        <v>0</v>
      </c>
      <c r="CG36" s="65">
        <v>0</v>
      </c>
      <c r="CH36" s="65">
        <v>0</v>
      </c>
      <c r="CI36" s="65">
        <v>0</v>
      </c>
      <c r="CJ36" s="65">
        <v>0</v>
      </c>
      <c r="CK36" s="65">
        <f t="shared" si="41"/>
        <v>0</v>
      </c>
      <c r="CL36" s="65">
        <v>0</v>
      </c>
      <c r="CM36" s="65">
        <v>0</v>
      </c>
      <c r="CN36" s="65">
        <v>0</v>
      </c>
      <c r="CO36" s="65"/>
      <c r="CP36" s="65"/>
      <c r="CQ36" s="65"/>
      <c r="CR36" s="65"/>
    </row>
    <row r="37" spans="1:198" s="68" customFormat="1" ht="31.2" x14ac:dyDescent="0.3">
      <c r="A37" s="92" t="s">
        <v>1</v>
      </c>
      <c r="B37" s="62" t="s">
        <v>62</v>
      </c>
      <c r="C37" s="63" t="s">
        <v>63</v>
      </c>
      <c r="D37" s="65">
        <f t="shared" si="29"/>
        <v>10416297</v>
      </c>
      <c r="E37" s="65">
        <f t="shared" si="30"/>
        <v>10340797</v>
      </c>
      <c r="F37" s="65">
        <f t="shared" si="31"/>
        <v>10340797</v>
      </c>
      <c r="G37" s="66">
        <v>7436208</v>
      </c>
      <c r="H37" s="66">
        <v>1774477</v>
      </c>
      <c r="I37" s="65">
        <f t="shared" si="9"/>
        <v>546698</v>
      </c>
      <c r="J37" s="66">
        <v>0</v>
      </c>
      <c r="K37" s="66">
        <v>0</v>
      </c>
      <c r="L37" s="66"/>
      <c r="M37" s="66"/>
      <c r="N37" s="66">
        <f>406500-57450</f>
        <v>349050</v>
      </c>
      <c r="O37" s="66">
        <f>395297-197649</f>
        <v>197648</v>
      </c>
      <c r="P37" s="65">
        <f t="shared" si="10"/>
        <v>60000</v>
      </c>
      <c r="Q37" s="66">
        <v>0</v>
      </c>
      <c r="R37" s="66">
        <v>60000</v>
      </c>
      <c r="S37" s="66">
        <v>0</v>
      </c>
      <c r="T37" s="66">
        <v>88396</v>
      </c>
      <c r="U37" s="65">
        <f t="shared" si="32"/>
        <v>363347</v>
      </c>
      <c r="V37" s="66">
        <v>0</v>
      </c>
      <c r="W37" s="66">
        <f>163048+66182</f>
        <v>229230</v>
      </c>
      <c r="X37" s="66">
        <f>49093+54098</f>
        <v>103191</v>
      </c>
      <c r="Y37" s="66">
        <f>16995+2965</f>
        <v>19960</v>
      </c>
      <c r="Z37" s="66">
        <v>8303</v>
      </c>
      <c r="AA37" s="66">
        <f>3500-837</f>
        <v>2663</v>
      </c>
      <c r="AB37" s="66">
        <v>0</v>
      </c>
      <c r="AC37" s="66">
        <v>0</v>
      </c>
      <c r="AD37" s="65">
        <v>0</v>
      </c>
      <c r="AE37" s="65">
        <f t="shared" si="33"/>
        <v>71671</v>
      </c>
      <c r="AF37" s="65"/>
      <c r="AG37" s="67">
        <v>0</v>
      </c>
      <c r="AH37" s="66">
        <v>21504</v>
      </c>
      <c r="AI37" s="66">
        <f>76179-76179</f>
        <v>0</v>
      </c>
      <c r="AJ37" s="66">
        <v>0</v>
      </c>
      <c r="AK37" s="66">
        <f>600-169</f>
        <v>431</v>
      </c>
      <c r="AL37" s="66">
        <v>0</v>
      </c>
      <c r="AM37" s="66">
        <v>0</v>
      </c>
      <c r="AN37" s="66">
        <v>0</v>
      </c>
      <c r="AO37" s="66">
        <v>14550</v>
      </c>
      <c r="AP37" s="66">
        <v>0</v>
      </c>
      <c r="AQ37" s="66">
        <v>0</v>
      </c>
      <c r="AR37" s="66">
        <v>0</v>
      </c>
      <c r="AS37" s="66">
        <v>0</v>
      </c>
      <c r="AT37" s="66">
        <v>0</v>
      </c>
      <c r="AU37" s="66">
        <v>0</v>
      </c>
      <c r="AV37" s="66">
        <v>0</v>
      </c>
      <c r="AW37" s="66">
        <v>0</v>
      </c>
      <c r="AX37" s="66">
        <v>0</v>
      </c>
      <c r="AY37" s="66">
        <v>0</v>
      </c>
      <c r="AZ37" s="66">
        <f>70372-35186</f>
        <v>35186</v>
      </c>
      <c r="BA37" s="65">
        <f t="shared" si="34"/>
        <v>0</v>
      </c>
      <c r="BB37" s="65">
        <f t="shared" si="35"/>
        <v>0</v>
      </c>
      <c r="BC37" s="65">
        <v>0</v>
      </c>
      <c r="BD37" s="65">
        <v>0</v>
      </c>
      <c r="BE37" s="65">
        <v>0</v>
      </c>
      <c r="BF37" s="65">
        <f t="shared" si="36"/>
        <v>0</v>
      </c>
      <c r="BG37" s="65">
        <v>0</v>
      </c>
      <c r="BH37" s="65">
        <v>0</v>
      </c>
      <c r="BI37" s="65">
        <v>0</v>
      </c>
      <c r="BJ37" s="65">
        <v>0</v>
      </c>
      <c r="BK37" s="65">
        <v>0</v>
      </c>
      <c r="BL37" s="65">
        <f t="shared" si="11"/>
        <v>0</v>
      </c>
      <c r="BM37" s="65">
        <v>0</v>
      </c>
      <c r="BN37" s="65">
        <v>0</v>
      </c>
      <c r="BO37" s="65">
        <f t="shared" si="37"/>
        <v>0</v>
      </c>
      <c r="BP37" s="65">
        <v>0</v>
      </c>
      <c r="BQ37" s="65">
        <v>0</v>
      </c>
      <c r="BR37" s="65">
        <v>0</v>
      </c>
      <c r="BS37" s="65">
        <v>0</v>
      </c>
      <c r="BT37" s="65">
        <v>0</v>
      </c>
      <c r="BU37" s="65">
        <v>0</v>
      </c>
      <c r="BV37" s="65">
        <v>0</v>
      </c>
      <c r="BW37" s="65">
        <v>0</v>
      </c>
      <c r="BX37" s="65">
        <v>0</v>
      </c>
      <c r="BY37" s="66"/>
      <c r="BZ37" s="66">
        <v>0</v>
      </c>
      <c r="CA37" s="65">
        <f t="shared" si="38"/>
        <v>75500</v>
      </c>
      <c r="CB37" s="65">
        <f t="shared" si="39"/>
        <v>75500</v>
      </c>
      <c r="CC37" s="65">
        <f t="shared" si="12"/>
        <v>75500</v>
      </c>
      <c r="CD37" s="65">
        <v>0</v>
      </c>
      <c r="CE37" s="66">
        <v>75500</v>
      </c>
      <c r="CF37" s="65">
        <f t="shared" si="40"/>
        <v>0</v>
      </c>
      <c r="CG37" s="65">
        <v>0</v>
      </c>
      <c r="CH37" s="65"/>
      <c r="CI37" s="65">
        <v>0</v>
      </c>
      <c r="CJ37" s="65">
        <v>0</v>
      </c>
      <c r="CK37" s="65">
        <f t="shared" si="41"/>
        <v>0</v>
      </c>
      <c r="CL37" s="65">
        <v>0</v>
      </c>
      <c r="CM37" s="65">
        <v>0</v>
      </c>
      <c r="CN37" s="65">
        <v>0</v>
      </c>
      <c r="CO37" s="65"/>
      <c r="CP37" s="65"/>
      <c r="CQ37" s="65"/>
      <c r="CR37" s="65"/>
    </row>
    <row r="38" spans="1:198" s="68" customFormat="1" ht="15.6" x14ac:dyDescent="0.3">
      <c r="A38" s="92" t="s">
        <v>1</v>
      </c>
      <c r="B38" s="62" t="s">
        <v>64</v>
      </c>
      <c r="C38" s="63" t="s">
        <v>65</v>
      </c>
      <c r="D38" s="65">
        <f t="shared" si="29"/>
        <v>1240344</v>
      </c>
      <c r="E38" s="65">
        <f t="shared" si="30"/>
        <v>1238224</v>
      </c>
      <c r="F38" s="65">
        <f t="shared" si="31"/>
        <v>1238224</v>
      </c>
      <c r="G38" s="66">
        <v>931630</v>
      </c>
      <c r="H38" s="66">
        <v>219585</v>
      </c>
      <c r="I38" s="65">
        <f t="shared" si="9"/>
        <v>26035</v>
      </c>
      <c r="J38" s="66">
        <v>0</v>
      </c>
      <c r="K38" s="66">
        <v>0</v>
      </c>
      <c r="L38" s="66"/>
      <c r="M38" s="66"/>
      <c r="N38" s="66">
        <f>18035-3000</f>
        <v>15035</v>
      </c>
      <c r="O38" s="66">
        <f>22000-11000</f>
        <v>11000</v>
      </c>
      <c r="P38" s="65">
        <f t="shared" si="10"/>
        <v>0</v>
      </c>
      <c r="Q38" s="66">
        <v>0</v>
      </c>
      <c r="R38" s="66">
        <v>0</v>
      </c>
      <c r="S38" s="66">
        <v>0</v>
      </c>
      <c r="T38" s="66">
        <v>16003</v>
      </c>
      <c r="U38" s="65">
        <f t="shared" si="32"/>
        <v>25566</v>
      </c>
      <c r="V38" s="66">
        <v>0</v>
      </c>
      <c r="W38" s="66">
        <f>4899+2672</f>
        <v>7571</v>
      </c>
      <c r="X38" s="66">
        <f>4510+1250+10946</f>
        <v>16706</v>
      </c>
      <c r="Y38" s="66">
        <f>1056+233</f>
        <v>1289</v>
      </c>
      <c r="Z38" s="66">
        <v>0</v>
      </c>
      <c r="AA38" s="66">
        <v>0</v>
      </c>
      <c r="AB38" s="66">
        <v>0</v>
      </c>
      <c r="AC38" s="66">
        <v>0</v>
      </c>
      <c r="AD38" s="65">
        <v>0</v>
      </c>
      <c r="AE38" s="65">
        <f t="shared" si="33"/>
        <v>19405</v>
      </c>
      <c r="AF38" s="65"/>
      <c r="AG38" s="67">
        <v>0</v>
      </c>
      <c r="AH38" s="66">
        <v>2600</v>
      </c>
      <c r="AI38" s="66">
        <v>0</v>
      </c>
      <c r="AJ38" s="66">
        <v>0</v>
      </c>
      <c r="AK38" s="66">
        <v>0</v>
      </c>
      <c r="AL38" s="66">
        <v>0</v>
      </c>
      <c r="AM38" s="66">
        <v>0</v>
      </c>
      <c r="AN38" s="66">
        <v>0</v>
      </c>
      <c r="AO38" s="66">
        <v>5238</v>
      </c>
      <c r="AP38" s="66">
        <v>0</v>
      </c>
      <c r="AQ38" s="66">
        <v>0</v>
      </c>
      <c r="AR38" s="66">
        <v>0</v>
      </c>
      <c r="AS38" s="66">
        <v>11237</v>
      </c>
      <c r="AT38" s="66">
        <v>0</v>
      </c>
      <c r="AU38" s="66">
        <v>0</v>
      </c>
      <c r="AV38" s="66">
        <v>0</v>
      </c>
      <c r="AW38" s="66">
        <v>0</v>
      </c>
      <c r="AX38" s="66">
        <v>0</v>
      </c>
      <c r="AY38" s="66">
        <v>0</v>
      </c>
      <c r="AZ38" s="66">
        <f>660-330</f>
        <v>330</v>
      </c>
      <c r="BA38" s="65">
        <f t="shared" si="34"/>
        <v>0</v>
      </c>
      <c r="BB38" s="65">
        <f t="shared" si="35"/>
        <v>0</v>
      </c>
      <c r="BC38" s="65">
        <v>0</v>
      </c>
      <c r="BD38" s="65">
        <v>0</v>
      </c>
      <c r="BE38" s="65">
        <v>0</v>
      </c>
      <c r="BF38" s="65">
        <f t="shared" si="36"/>
        <v>0</v>
      </c>
      <c r="BG38" s="65">
        <v>0</v>
      </c>
      <c r="BH38" s="65">
        <v>0</v>
      </c>
      <c r="BI38" s="65">
        <v>0</v>
      </c>
      <c r="BJ38" s="65">
        <v>0</v>
      </c>
      <c r="BK38" s="65">
        <v>0</v>
      </c>
      <c r="BL38" s="65">
        <f t="shared" si="11"/>
        <v>0</v>
      </c>
      <c r="BM38" s="65">
        <v>0</v>
      </c>
      <c r="BN38" s="65">
        <v>0</v>
      </c>
      <c r="BO38" s="65">
        <f t="shared" si="37"/>
        <v>0</v>
      </c>
      <c r="BP38" s="65">
        <v>0</v>
      </c>
      <c r="BQ38" s="65">
        <v>0</v>
      </c>
      <c r="BR38" s="65">
        <v>0</v>
      </c>
      <c r="BS38" s="65">
        <v>0</v>
      </c>
      <c r="BT38" s="65">
        <v>0</v>
      </c>
      <c r="BU38" s="65">
        <v>0</v>
      </c>
      <c r="BV38" s="65">
        <v>0</v>
      </c>
      <c r="BW38" s="65">
        <v>0</v>
      </c>
      <c r="BX38" s="65">
        <v>0</v>
      </c>
      <c r="BY38" s="66"/>
      <c r="BZ38" s="66">
        <v>0</v>
      </c>
      <c r="CA38" s="65">
        <f t="shared" si="38"/>
        <v>2120</v>
      </c>
      <c r="CB38" s="65">
        <f t="shared" si="39"/>
        <v>2120</v>
      </c>
      <c r="CC38" s="65">
        <f t="shared" si="12"/>
        <v>2120</v>
      </c>
      <c r="CD38" s="65">
        <v>0</v>
      </c>
      <c r="CE38" s="66">
        <f>10600-8480</f>
        <v>2120</v>
      </c>
      <c r="CF38" s="65">
        <f t="shared" si="40"/>
        <v>0</v>
      </c>
      <c r="CG38" s="65">
        <v>0</v>
      </c>
      <c r="CH38" s="65">
        <v>0</v>
      </c>
      <c r="CI38" s="65">
        <v>0</v>
      </c>
      <c r="CJ38" s="65">
        <v>0</v>
      </c>
      <c r="CK38" s="65">
        <f t="shared" si="41"/>
        <v>0</v>
      </c>
      <c r="CL38" s="65">
        <v>0</v>
      </c>
      <c r="CM38" s="65">
        <v>0</v>
      </c>
      <c r="CN38" s="65">
        <v>0</v>
      </c>
      <c r="CO38" s="65"/>
      <c r="CP38" s="65"/>
      <c r="CQ38" s="65"/>
      <c r="CR38" s="65"/>
    </row>
    <row r="39" spans="1:198" s="46" customFormat="1" ht="31.2" x14ac:dyDescent="0.3">
      <c r="A39" s="93" t="s">
        <v>1</v>
      </c>
      <c r="B39" s="32" t="s">
        <v>66</v>
      </c>
      <c r="C39" s="33" t="s">
        <v>67</v>
      </c>
      <c r="D39" s="35">
        <f t="shared" si="29"/>
        <v>11850898</v>
      </c>
      <c r="E39" s="35">
        <f t="shared" si="30"/>
        <v>11850898</v>
      </c>
      <c r="F39" s="35">
        <f t="shared" si="31"/>
        <v>11850898</v>
      </c>
      <c r="G39" s="31">
        <f>11012931-1704985</f>
        <v>9307946</v>
      </c>
      <c r="H39" s="31">
        <f>2667693-426246</f>
        <v>2241447</v>
      </c>
      <c r="I39" s="35">
        <f t="shared" si="9"/>
        <v>18659</v>
      </c>
      <c r="J39" s="31">
        <v>0</v>
      </c>
      <c r="K39" s="31">
        <v>0</v>
      </c>
      <c r="L39" s="31"/>
      <c r="M39" s="31"/>
      <c r="N39" s="31">
        <f>18000-2714</f>
        <v>15286</v>
      </c>
      <c r="O39" s="31">
        <f>6747-3374</f>
        <v>3373</v>
      </c>
      <c r="P39" s="35">
        <f t="shared" si="10"/>
        <v>0</v>
      </c>
      <c r="Q39" s="31">
        <v>0</v>
      </c>
      <c r="R39" s="31">
        <v>0</v>
      </c>
      <c r="S39" s="31">
        <v>0</v>
      </c>
      <c r="T39" s="31">
        <v>24155</v>
      </c>
      <c r="U39" s="35">
        <f t="shared" si="32"/>
        <v>94525</v>
      </c>
      <c r="V39" s="31">
        <v>0</v>
      </c>
      <c r="W39" s="31">
        <f>53094+34873</f>
        <v>87967</v>
      </c>
      <c r="X39" s="31">
        <f>610+2802</f>
        <v>3412</v>
      </c>
      <c r="Y39" s="31">
        <f>63+492</f>
        <v>555</v>
      </c>
      <c r="Z39" s="31">
        <v>2591</v>
      </c>
      <c r="AA39" s="31">
        <v>0</v>
      </c>
      <c r="AB39" s="31">
        <v>0</v>
      </c>
      <c r="AC39" s="31">
        <v>0</v>
      </c>
      <c r="AD39" s="35">
        <v>0</v>
      </c>
      <c r="AE39" s="35">
        <f t="shared" si="33"/>
        <v>164166</v>
      </c>
      <c r="AF39" s="35"/>
      <c r="AG39" s="36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  <c r="AM39" s="31">
        <v>0</v>
      </c>
      <c r="AN39" s="31">
        <v>0</v>
      </c>
      <c r="AO39" s="31">
        <v>5244</v>
      </c>
      <c r="AP39" s="31">
        <v>0</v>
      </c>
      <c r="AQ39" s="31">
        <v>0</v>
      </c>
      <c r="AR39" s="31">
        <v>0</v>
      </c>
      <c r="AS39" s="31">
        <f>10000-2456</f>
        <v>7544</v>
      </c>
      <c r="AT39" s="31">
        <v>0</v>
      </c>
      <c r="AU39" s="31">
        <v>0</v>
      </c>
      <c r="AV39" s="31">
        <v>0</v>
      </c>
      <c r="AW39" s="31">
        <v>0</v>
      </c>
      <c r="AX39" s="31">
        <v>151378</v>
      </c>
      <c r="AY39" s="31">
        <v>0</v>
      </c>
      <c r="AZ39" s="31">
        <v>0</v>
      </c>
      <c r="BA39" s="35">
        <f t="shared" si="34"/>
        <v>0</v>
      </c>
      <c r="BB39" s="35">
        <f t="shared" si="35"/>
        <v>0</v>
      </c>
      <c r="BC39" s="35">
        <v>0</v>
      </c>
      <c r="BD39" s="35">
        <v>0</v>
      </c>
      <c r="BE39" s="35">
        <v>0</v>
      </c>
      <c r="BF39" s="35">
        <f t="shared" si="36"/>
        <v>0</v>
      </c>
      <c r="BG39" s="35">
        <v>0</v>
      </c>
      <c r="BH39" s="35">
        <v>0</v>
      </c>
      <c r="BI39" s="35">
        <v>0</v>
      </c>
      <c r="BJ39" s="35">
        <v>0</v>
      </c>
      <c r="BK39" s="35">
        <v>0</v>
      </c>
      <c r="BL39" s="35">
        <f t="shared" si="11"/>
        <v>0</v>
      </c>
      <c r="BM39" s="35">
        <v>0</v>
      </c>
      <c r="BN39" s="35">
        <v>0</v>
      </c>
      <c r="BO39" s="35">
        <f t="shared" si="37"/>
        <v>0</v>
      </c>
      <c r="BP39" s="35">
        <v>0</v>
      </c>
      <c r="BQ39" s="35">
        <v>0</v>
      </c>
      <c r="BR39" s="35">
        <v>0</v>
      </c>
      <c r="BS39" s="35">
        <v>0</v>
      </c>
      <c r="BT39" s="35">
        <v>0</v>
      </c>
      <c r="BU39" s="35">
        <v>0</v>
      </c>
      <c r="BV39" s="35">
        <v>0</v>
      </c>
      <c r="BW39" s="35">
        <v>0</v>
      </c>
      <c r="BX39" s="35">
        <v>0</v>
      </c>
      <c r="BY39" s="31"/>
      <c r="BZ39" s="31">
        <v>0</v>
      </c>
      <c r="CA39" s="35">
        <f t="shared" si="38"/>
        <v>0</v>
      </c>
      <c r="CB39" s="35">
        <f t="shared" si="39"/>
        <v>0</v>
      </c>
      <c r="CC39" s="35">
        <f t="shared" si="12"/>
        <v>0</v>
      </c>
      <c r="CD39" s="35">
        <v>0</v>
      </c>
      <c r="CE39" s="31">
        <v>0</v>
      </c>
      <c r="CF39" s="35">
        <f t="shared" si="40"/>
        <v>0</v>
      </c>
      <c r="CG39" s="35">
        <v>0</v>
      </c>
      <c r="CH39" s="35">
        <v>0</v>
      </c>
      <c r="CI39" s="35">
        <v>0</v>
      </c>
      <c r="CJ39" s="35">
        <v>0</v>
      </c>
      <c r="CK39" s="35">
        <f t="shared" si="41"/>
        <v>0</v>
      </c>
      <c r="CL39" s="35">
        <v>0</v>
      </c>
      <c r="CM39" s="35">
        <v>0</v>
      </c>
      <c r="CN39" s="35">
        <v>0</v>
      </c>
      <c r="CO39" s="35"/>
      <c r="CP39" s="35"/>
      <c r="CQ39" s="35"/>
      <c r="CR39" s="35"/>
      <c r="GP39" s="68"/>
    </row>
    <row r="40" spans="1:198" s="46" customFormat="1" ht="31.2" x14ac:dyDescent="0.3">
      <c r="A40" s="93" t="s">
        <v>1</v>
      </c>
      <c r="B40" s="32" t="s">
        <v>68</v>
      </c>
      <c r="C40" s="33" t="s">
        <v>69</v>
      </c>
      <c r="D40" s="35">
        <f t="shared" si="29"/>
        <v>3212121</v>
      </c>
      <c r="E40" s="35">
        <f t="shared" si="30"/>
        <v>3174296</v>
      </c>
      <c r="F40" s="35">
        <f t="shared" si="31"/>
        <v>3171996</v>
      </c>
      <c r="G40" s="31">
        <v>2166768</v>
      </c>
      <c r="H40" s="31">
        <v>539313</v>
      </c>
      <c r="I40" s="35">
        <f t="shared" si="9"/>
        <v>31830</v>
      </c>
      <c r="J40" s="31">
        <v>0</v>
      </c>
      <c r="K40" s="31">
        <v>0</v>
      </c>
      <c r="L40" s="31"/>
      <c r="M40" s="31"/>
      <c r="N40" s="31">
        <f>32000-3390</f>
        <v>28610</v>
      </c>
      <c r="O40" s="31">
        <f>6440-3220</f>
        <v>3220</v>
      </c>
      <c r="P40" s="35">
        <f t="shared" si="10"/>
        <v>0</v>
      </c>
      <c r="Q40" s="31">
        <v>0</v>
      </c>
      <c r="R40" s="31">
        <v>0</v>
      </c>
      <c r="S40" s="31">
        <v>0</v>
      </c>
      <c r="T40" s="31">
        <v>21828</v>
      </c>
      <c r="U40" s="35">
        <f t="shared" si="32"/>
        <v>283614</v>
      </c>
      <c r="V40" s="31">
        <f>167203-13419</f>
        <v>153784</v>
      </c>
      <c r="W40" s="31">
        <f>69214+32255</f>
        <v>101469</v>
      </c>
      <c r="X40" s="31">
        <f>9206+10640</f>
        <v>19846</v>
      </c>
      <c r="Y40" s="31">
        <f>2819+536</f>
        <v>3355</v>
      </c>
      <c r="Z40" s="31">
        <v>5160</v>
      </c>
      <c r="AA40" s="31">
        <v>0</v>
      </c>
      <c r="AB40" s="31">
        <v>0</v>
      </c>
      <c r="AC40" s="31">
        <v>0</v>
      </c>
      <c r="AD40" s="35">
        <v>0</v>
      </c>
      <c r="AE40" s="35">
        <f t="shared" si="33"/>
        <v>128643</v>
      </c>
      <c r="AF40" s="35"/>
      <c r="AG40" s="36">
        <v>0</v>
      </c>
      <c r="AH40" s="31">
        <v>0</v>
      </c>
      <c r="AI40" s="31">
        <v>0</v>
      </c>
      <c r="AJ40" s="31">
        <v>0</v>
      </c>
      <c r="AK40" s="31">
        <f>340-170</f>
        <v>170</v>
      </c>
      <c r="AL40" s="31">
        <v>0</v>
      </c>
      <c r="AM40" s="31">
        <f>130-65</f>
        <v>65</v>
      </c>
      <c r="AN40" s="31">
        <f>30000-15000</f>
        <v>15000</v>
      </c>
      <c r="AO40" s="31">
        <v>12212</v>
      </c>
      <c r="AP40" s="31">
        <v>0</v>
      </c>
      <c r="AQ40" s="31">
        <v>0</v>
      </c>
      <c r="AR40" s="31">
        <f>108091-6895</f>
        <v>101196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5">
        <f t="shared" si="34"/>
        <v>2300</v>
      </c>
      <c r="BB40" s="35">
        <f t="shared" si="35"/>
        <v>0</v>
      </c>
      <c r="BC40" s="35">
        <v>0</v>
      </c>
      <c r="BD40" s="35">
        <v>0</v>
      </c>
      <c r="BE40" s="35">
        <v>0</v>
      </c>
      <c r="BF40" s="35">
        <f t="shared" si="36"/>
        <v>0</v>
      </c>
      <c r="BG40" s="35">
        <v>0</v>
      </c>
      <c r="BH40" s="35">
        <v>0</v>
      </c>
      <c r="BI40" s="35">
        <v>0</v>
      </c>
      <c r="BJ40" s="35">
        <v>0</v>
      </c>
      <c r="BK40" s="35">
        <v>0</v>
      </c>
      <c r="BL40" s="35">
        <f t="shared" si="11"/>
        <v>0</v>
      </c>
      <c r="BM40" s="35">
        <v>0</v>
      </c>
      <c r="BN40" s="35">
        <v>0</v>
      </c>
      <c r="BO40" s="35">
        <f t="shared" si="37"/>
        <v>2300</v>
      </c>
      <c r="BP40" s="35">
        <v>0</v>
      </c>
      <c r="BQ40" s="35">
        <v>0</v>
      </c>
      <c r="BR40" s="35">
        <v>0</v>
      </c>
      <c r="BS40" s="35">
        <v>0</v>
      </c>
      <c r="BT40" s="35">
        <v>0</v>
      </c>
      <c r="BU40" s="35">
        <v>0</v>
      </c>
      <c r="BV40" s="35">
        <v>0</v>
      </c>
      <c r="BW40" s="35">
        <v>0</v>
      </c>
      <c r="BX40" s="35">
        <v>0</v>
      </c>
      <c r="BY40" s="31">
        <f>4601-2301</f>
        <v>2300</v>
      </c>
      <c r="BZ40" s="35">
        <v>0</v>
      </c>
      <c r="CA40" s="35">
        <f t="shared" si="38"/>
        <v>37825</v>
      </c>
      <c r="CB40" s="35">
        <f t="shared" si="39"/>
        <v>37825</v>
      </c>
      <c r="CC40" s="35">
        <f t="shared" si="12"/>
        <v>37825</v>
      </c>
      <c r="CD40" s="35">
        <v>0</v>
      </c>
      <c r="CE40" s="31">
        <f>198000-160175</f>
        <v>37825</v>
      </c>
      <c r="CF40" s="35">
        <f t="shared" si="40"/>
        <v>0</v>
      </c>
      <c r="CG40" s="35">
        <v>0</v>
      </c>
      <c r="CH40" s="35">
        <v>0</v>
      </c>
      <c r="CI40" s="35">
        <v>0</v>
      </c>
      <c r="CJ40" s="35">
        <v>0</v>
      </c>
      <c r="CK40" s="35">
        <f t="shared" si="41"/>
        <v>0</v>
      </c>
      <c r="CL40" s="35">
        <v>0</v>
      </c>
      <c r="CM40" s="35">
        <v>0</v>
      </c>
      <c r="CN40" s="35">
        <v>0</v>
      </c>
      <c r="CO40" s="35"/>
      <c r="CP40" s="35"/>
      <c r="CQ40" s="35"/>
      <c r="CR40" s="35"/>
      <c r="GP40" s="68"/>
    </row>
    <row r="41" spans="1:198" s="46" customFormat="1" ht="31.2" x14ac:dyDescent="0.3">
      <c r="A41" s="93" t="s">
        <v>1</v>
      </c>
      <c r="B41" s="32" t="s">
        <v>70</v>
      </c>
      <c r="C41" s="33" t="s">
        <v>420</v>
      </c>
      <c r="D41" s="35">
        <f t="shared" si="29"/>
        <v>5740658</v>
      </c>
      <c r="E41" s="35">
        <f t="shared" si="30"/>
        <v>5658345</v>
      </c>
      <c r="F41" s="35">
        <f t="shared" si="31"/>
        <v>5658345</v>
      </c>
      <c r="G41" s="31">
        <v>4124316</v>
      </c>
      <c r="H41" s="31">
        <v>982126</v>
      </c>
      <c r="I41" s="35">
        <f t="shared" si="9"/>
        <v>349516</v>
      </c>
      <c r="J41" s="31">
        <v>0</v>
      </c>
      <c r="K41" s="31"/>
      <c r="L41" s="31"/>
      <c r="M41" s="31"/>
      <c r="N41" s="31">
        <f>330000-15666</f>
        <v>314334</v>
      </c>
      <c r="O41" s="31">
        <f>55000-19818</f>
        <v>35182</v>
      </c>
      <c r="P41" s="35">
        <f t="shared" si="10"/>
        <v>0</v>
      </c>
      <c r="Q41" s="31">
        <v>0</v>
      </c>
      <c r="R41" s="31">
        <v>0</v>
      </c>
      <c r="S41" s="31">
        <v>0</v>
      </c>
      <c r="T41" s="31">
        <v>52015</v>
      </c>
      <c r="U41" s="35">
        <f t="shared" si="32"/>
        <v>85491</v>
      </c>
      <c r="V41" s="31">
        <v>0</v>
      </c>
      <c r="W41" s="31">
        <f>33645+2020</f>
        <v>35665</v>
      </c>
      <c r="X41" s="31">
        <f>18991+25805</f>
        <v>44796</v>
      </c>
      <c r="Y41" s="31">
        <f>1053+95</f>
        <v>1148</v>
      </c>
      <c r="Z41" s="31">
        <v>3882</v>
      </c>
      <c r="AA41" s="31">
        <v>0</v>
      </c>
      <c r="AB41" s="31">
        <v>0</v>
      </c>
      <c r="AC41" s="31">
        <v>0</v>
      </c>
      <c r="AD41" s="35">
        <v>0</v>
      </c>
      <c r="AE41" s="35">
        <f t="shared" si="33"/>
        <v>64881</v>
      </c>
      <c r="AF41" s="35"/>
      <c r="AG41" s="36">
        <v>0</v>
      </c>
      <c r="AH41" s="31">
        <v>10000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8730</v>
      </c>
      <c r="AP41" s="31">
        <v>0</v>
      </c>
      <c r="AQ41" s="31">
        <v>0</v>
      </c>
      <c r="AR41" s="31">
        <f>579-48</f>
        <v>531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1">
        <v>0</v>
      </c>
      <c r="AY41" s="31">
        <v>0</v>
      </c>
      <c r="AZ41" s="31">
        <f>91241-45621</f>
        <v>45620</v>
      </c>
      <c r="BA41" s="35">
        <f t="shared" si="34"/>
        <v>0</v>
      </c>
      <c r="BB41" s="35">
        <f t="shared" si="35"/>
        <v>0</v>
      </c>
      <c r="BC41" s="35">
        <v>0</v>
      </c>
      <c r="BD41" s="35">
        <v>0</v>
      </c>
      <c r="BE41" s="35">
        <v>0</v>
      </c>
      <c r="BF41" s="35">
        <f t="shared" si="36"/>
        <v>0</v>
      </c>
      <c r="BG41" s="35">
        <v>0</v>
      </c>
      <c r="BH41" s="35">
        <v>0</v>
      </c>
      <c r="BI41" s="35">
        <v>0</v>
      </c>
      <c r="BJ41" s="35">
        <v>0</v>
      </c>
      <c r="BK41" s="35">
        <v>0</v>
      </c>
      <c r="BL41" s="35">
        <f t="shared" si="11"/>
        <v>0</v>
      </c>
      <c r="BM41" s="35">
        <v>0</v>
      </c>
      <c r="BN41" s="35">
        <v>0</v>
      </c>
      <c r="BO41" s="35">
        <f t="shared" si="37"/>
        <v>0</v>
      </c>
      <c r="BP41" s="35">
        <v>0</v>
      </c>
      <c r="BQ41" s="35">
        <v>0</v>
      </c>
      <c r="BR41" s="35">
        <v>0</v>
      </c>
      <c r="BS41" s="35">
        <v>0</v>
      </c>
      <c r="BT41" s="35">
        <v>0</v>
      </c>
      <c r="BU41" s="35">
        <v>0</v>
      </c>
      <c r="BV41" s="35">
        <v>0</v>
      </c>
      <c r="BW41" s="35">
        <v>0</v>
      </c>
      <c r="BX41" s="35">
        <v>0</v>
      </c>
      <c r="BY41" s="31">
        <v>0</v>
      </c>
      <c r="BZ41" s="35">
        <v>0</v>
      </c>
      <c r="CA41" s="35">
        <f t="shared" si="38"/>
        <v>82313</v>
      </c>
      <c r="CB41" s="35">
        <f t="shared" si="39"/>
        <v>82313</v>
      </c>
      <c r="CC41" s="35">
        <f t="shared" si="12"/>
        <v>82313</v>
      </c>
      <c r="CD41" s="35">
        <v>0</v>
      </c>
      <c r="CE41" s="31">
        <f>199286-116973</f>
        <v>82313</v>
      </c>
      <c r="CF41" s="35">
        <f t="shared" si="40"/>
        <v>0</v>
      </c>
      <c r="CG41" s="35">
        <v>0</v>
      </c>
      <c r="CH41" s="35">
        <v>0</v>
      </c>
      <c r="CI41" s="35">
        <v>0</v>
      </c>
      <c r="CJ41" s="35">
        <v>0</v>
      </c>
      <c r="CK41" s="35">
        <f t="shared" si="41"/>
        <v>0</v>
      </c>
      <c r="CL41" s="35">
        <v>0</v>
      </c>
      <c r="CM41" s="35">
        <v>0</v>
      </c>
      <c r="CN41" s="35">
        <v>0</v>
      </c>
      <c r="CO41" s="35"/>
      <c r="CP41" s="35"/>
      <c r="CQ41" s="35"/>
      <c r="CR41" s="35"/>
      <c r="GP41" s="68"/>
    </row>
    <row r="42" spans="1:198" s="46" customFormat="1" ht="31.2" x14ac:dyDescent="0.3">
      <c r="A42" s="93" t="s">
        <v>1</v>
      </c>
      <c r="B42" s="32" t="s">
        <v>71</v>
      </c>
      <c r="C42" s="33" t="s">
        <v>72</v>
      </c>
      <c r="D42" s="35">
        <f t="shared" si="29"/>
        <v>920335</v>
      </c>
      <c r="E42" s="35">
        <f t="shared" si="30"/>
        <v>918335</v>
      </c>
      <c r="F42" s="35">
        <f t="shared" si="31"/>
        <v>915402</v>
      </c>
      <c r="G42" s="31">
        <v>652147</v>
      </c>
      <c r="H42" s="31">
        <v>147450</v>
      </c>
      <c r="I42" s="35">
        <f t="shared" si="9"/>
        <v>5500</v>
      </c>
      <c r="J42" s="31">
        <v>0</v>
      </c>
      <c r="K42" s="31"/>
      <c r="L42" s="31"/>
      <c r="M42" s="31"/>
      <c r="N42" s="31">
        <v>0</v>
      </c>
      <c r="O42" s="31">
        <f>11000-5500</f>
        <v>5500</v>
      </c>
      <c r="P42" s="35">
        <f t="shared" si="10"/>
        <v>0</v>
      </c>
      <c r="Q42" s="31">
        <v>0</v>
      </c>
      <c r="R42" s="31">
        <v>0</v>
      </c>
      <c r="S42" s="31">
        <v>0</v>
      </c>
      <c r="T42" s="31">
        <v>10333</v>
      </c>
      <c r="U42" s="35">
        <f t="shared" si="32"/>
        <v>15936</v>
      </c>
      <c r="V42" s="31">
        <v>0</v>
      </c>
      <c r="W42" s="31">
        <f>5557+2117</f>
        <v>7674</v>
      </c>
      <c r="X42" s="31">
        <f>3168+3747</f>
        <v>6915</v>
      </c>
      <c r="Y42" s="31">
        <f>567+86</f>
        <v>653</v>
      </c>
      <c r="Z42" s="31">
        <v>694</v>
      </c>
      <c r="AA42" s="31">
        <v>0</v>
      </c>
      <c r="AB42" s="31">
        <v>0</v>
      </c>
      <c r="AC42" s="31">
        <v>0</v>
      </c>
      <c r="AD42" s="35">
        <v>0</v>
      </c>
      <c r="AE42" s="35">
        <f t="shared" si="33"/>
        <v>84036</v>
      </c>
      <c r="AF42" s="35"/>
      <c r="AG42" s="36">
        <v>0</v>
      </c>
      <c r="AH42" s="31">
        <v>1300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8730</v>
      </c>
      <c r="AP42" s="31">
        <v>0</v>
      </c>
      <c r="AQ42" s="31">
        <v>0</v>
      </c>
      <c r="AR42" s="31">
        <f>19921-8432</f>
        <v>11489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>
        <v>59000</v>
      </c>
      <c r="AZ42" s="31">
        <f>7035-3518</f>
        <v>3517</v>
      </c>
      <c r="BA42" s="35">
        <f t="shared" si="34"/>
        <v>2933</v>
      </c>
      <c r="BB42" s="35">
        <f t="shared" si="35"/>
        <v>0</v>
      </c>
      <c r="BC42" s="35">
        <v>0</v>
      </c>
      <c r="BD42" s="35">
        <v>0</v>
      </c>
      <c r="BE42" s="35">
        <v>0</v>
      </c>
      <c r="BF42" s="35">
        <f t="shared" si="36"/>
        <v>0</v>
      </c>
      <c r="BG42" s="35">
        <v>0</v>
      </c>
      <c r="BH42" s="35">
        <v>0</v>
      </c>
      <c r="BI42" s="35">
        <v>0</v>
      </c>
      <c r="BJ42" s="35">
        <v>0</v>
      </c>
      <c r="BK42" s="35">
        <v>0</v>
      </c>
      <c r="BL42" s="35">
        <f t="shared" si="11"/>
        <v>0</v>
      </c>
      <c r="BM42" s="35">
        <v>0</v>
      </c>
      <c r="BN42" s="35">
        <v>0</v>
      </c>
      <c r="BO42" s="35">
        <f t="shared" si="37"/>
        <v>2933</v>
      </c>
      <c r="BP42" s="35">
        <v>0</v>
      </c>
      <c r="BQ42" s="35">
        <v>0</v>
      </c>
      <c r="BR42" s="35">
        <v>0</v>
      </c>
      <c r="BS42" s="35">
        <v>0</v>
      </c>
      <c r="BT42" s="35">
        <v>0</v>
      </c>
      <c r="BU42" s="35">
        <v>0</v>
      </c>
      <c r="BV42" s="35">
        <v>0</v>
      </c>
      <c r="BW42" s="35">
        <v>0</v>
      </c>
      <c r="BX42" s="35">
        <v>0</v>
      </c>
      <c r="BY42" s="31">
        <f>4601-1668</f>
        <v>2933</v>
      </c>
      <c r="BZ42" s="35">
        <v>0</v>
      </c>
      <c r="CA42" s="35">
        <f t="shared" si="38"/>
        <v>2000</v>
      </c>
      <c r="CB42" s="35">
        <f t="shared" si="39"/>
        <v>2000</v>
      </c>
      <c r="CC42" s="35">
        <f t="shared" si="12"/>
        <v>2000</v>
      </c>
      <c r="CD42" s="35">
        <v>0</v>
      </c>
      <c r="CE42" s="31">
        <f>10000-8000</f>
        <v>2000</v>
      </c>
      <c r="CF42" s="35">
        <f t="shared" si="40"/>
        <v>0</v>
      </c>
      <c r="CG42" s="35">
        <v>0</v>
      </c>
      <c r="CH42" s="35">
        <v>0</v>
      </c>
      <c r="CI42" s="35">
        <v>0</v>
      </c>
      <c r="CJ42" s="35">
        <v>0</v>
      </c>
      <c r="CK42" s="35">
        <f t="shared" si="41"/>
        <v>0</v>
      </c>
      <c r="CL42" s="35">
        <v>0</v>
      </c>
      <c r="CM42" s="35">
        <v>0</v>
      </c>
      <c r="CN42" s="35">
        <v>0</v>
      </c>
      <c r="CO42" s="35"/>
      <c r="CP42" s="35"/>
      <c r="CQ42" s="35"/>
      <c r="CR42" s="35"/>
    </row>
    <row r="43" spans="1:198" s="46" customFormat="1" ht="31.2" x14ac:dyDescent="0.3">
      <c r="A43" s="93" t="s">
        <v>1</v>
      </c>
      <c r="B43" s="32" t="s">
        <v>74</v>
      </c>
      <c r="C43" s="33" t="s">
        <v>569</v>
      </c>
      <c r="D43" s="35">
        <f t="shared" si="29"/>
        <v>6033073</v>
      </c>
      <c r="E43" s="35">
        <f t="shared" si="30"/>
        <v>6033073</v>
      </c>
      <c r="F43" s="35">
        <f t="shared" si="31"/>
        <v>6033073</v>
      </c>
      <c r="G43" s="31">
        <v>4111834</v>
      </c>
      <c r="H43" s="31">
        <v>972986</v>
      </c>
      <c r="I43" s="35">
        <f t="shared" si="9"/>
        <v>192885</v>
      </c>
      <c r="J43" s="31">
        <v>0</v>
      </c>
      <c r="K43" s="31"/>
      <c r="L43" s="31"/>
      <c r="M43" s="31"/>
      <c r="N43" s="31">
        <f>114992-20882</f>
        <v>94110</v>
      </c>
      <c r="O43" s="31">
        <f>211498-105749-6974</f>
        <v>98775</v>
      </c>
      <c r="P43" s="35">
        <f t="shared" si="10"/>
        <v>0</v>
      </c>
      <c r="Q43" s="31">
        <v>0</v>
      </c>
      <c r="R43" s="31">
        <v>0</v>
      </c>
      <c r="S43" s="31">
        <v>0</v>
      </c>
      <c r="T43" s="31">
        <v>49989</v>
      </c>
      <c r="U43" s="35">
        <f t="shared" si="32"/>
        <v>292616</v>
      </c>
      <c r="V43" s="31">
        <v>17114</v>
      </c>
      <c r="W43" s="31">
        <f>107792+16085</f>
        <v>123877</v>
      </c>
      <c r="X43" s="31">
        <f>81102+26056+33120</f>
        <v>140278</v>
      </c>
      <c r="Y43" s="31">
        <f>8301+916</f>
        <v>9217</v>
      </c>
      <c r="Z43" s="31">
        <v>2130</v>
      </c>
      <c r="AA43" s="31">
        <v>0</v>
      </c>
      <c r="AB43" s="31">
        <v>0</v>
      </c>
      <c r="AC43" s="31">
        <v>0</v>
      </c>
      <c r="AD43" s="35">
        <v>0</v>
      </c>
      <c r="AE43" s="35">
        <f t="shared" si="33"/>
        <v>412763</v>
      </c>
      <c r="AF43" s="35"/>
      <c r="AG43" s="36">
        <v>0</v>
      </c>
      <c r="AH43" s="31">
        <v>23223</v>
      </c>
      <c r="AI43" s="31">
        <f>189624-186332</f>
        <v>3292</v>
      </c>
      <c r="AJ43" s="31">
        <v>0</v>
      </c>
      <c r="AK43" s="31">
        <f>6204-1900</f>
        <v>4304</v>
      </c>
      <c r="AL43" s="31">
        <v>0</v>
      </c>
      <c r="AM43" s="31">
        <v>0</v>
      </c>
      <c r="AN43" s="31">
        <v>0</v>
      </c>
      <c r="AO43" s="31">
        <v>21534</v>
      </c>
      <c r="AP43" s="31">
        <v>0</v>
      </c>
      <c r="AQ43" s="31">
        <v>0</v>
      </c>
      <c r="AR43" s="31">
        <v>104024</v>
      </c>
      <c r="AS43" s="31">
        <f>152500-43147</f>
        <v>109353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117645</v>
      </c>
      <c r="AZ43" s="31">
        <f>58777-29389</f>
        <v>29388</v>
      </c>
      <c r="BA43" s="35">
        <f t="shared" si="34"/>
        <v>0</v>
      </c>
      <c r="BB43" s="35">
        <f t="shared" si="35"/>
        <v>0</v>
      </c>
      <c r="BC43" s="35">
        <v>0</v>
      </c>
      <c r="BD43" s="35">
        <v>0</v>
      </c>
      <c r="BE43" s="35">
        <v>0</v>
      </c>
      <c r="BF43" s="35">
        <f t="shared" si="36"/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f t="shared" si="11"/>
        <v>0</v>
      </c>
      <c r="BM43" s="35">
        <v>0</v>
      </c>
      <c r="BN43" s="35">
        <v>0</v>
      </c>
      <c r="BO43" s="35">
        <f t="shared" si="37"/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5">
        <v>0</v>
      </c>
      <c r="BV43" s="35">
        <v>0</v>
      </c>
      <c r="BW43" s="35">
        <v>0</v>
      </c>
      <c r="BX43" s="35">
        <v>0</v>
      </c>
      <c r="BY43" s="31">
        <v>0</v>
      </c>
      <c r="BZ43" s="35">
        <v>0</v>
      </c>
      <c r="CA43" s="35">
        <f t="shared" si="38"/>
        <v>0</v>
      </c>
      <c r="CB43" s="35">
        <f t="shared" si="39"/>
        <v>0</v>
      </c>
      <c r="CC43" s="35">
        <f t="shared" si="12"/>
        <v>0</v>
      </c>
      <c r="CD43" s="35">
        <v>0</v>
      </c>
      <c r="CE43" s="31">
        <v>0</v>
      </c>
      <c r="CF43" s="35">
        <f t="shared" si="40"/>
        <v>0</v>
      </c>
      <c r="CG43" s="35">
        <v>0</v>
      </c>
      <c r="CH43" s="35"/>
      <c r="CI43" s="35">
        <v>0</v>
      </c>
      <c r="CJ43" s="35">
        <v>0</v>
      </c>
      <c r="CK43" s="35">
        <f t="shared" si="41"/>
        <v>0</v>
      </c>
      <c r="CL43" s="35">
        <v>0</v>
      </c>
      <c r="CM43" s="35"/>
      <c r="CN43" s="35">
        <v>0</v>
      </c>
      <c r="CO43" s="35"/>
      <c r="CP43" s="35"/>
      <c r="CQ43" s="35"/>
      <c r="CR43" s="35"/>
    </row>
    <row r="44" spans="1:198" s="52" customFormat="1" ht="31.2" x14ac:dyDescent="0.3">
      <c r="A44" s="89" t="s">
        <v>75</v>
      </c>
      <c r="B44" s="15" t="s">
        <v>1</v>
      </c>
      <c r="C44" s="16" t="s">
        <v>76</v>
      </c>
      <c r="D44" s="17">
        <f>SUM(D45)</f>
        <v>46201213</v>
      </c>
      <c r="E44" s="17">
        <f t="shared" ref="E44:BU44" si="42">SUM(E45)</f>
        <v>45879406</v>
      </c>
      <c r="F44" s="17">
        <f t="shared" si="42"/>
        <v>44054811</v>
      </c>
      <c r="G44" s="17">
        <f t="shared" si="42"/>
        <v>35352008</v>
      </c>
      <c r="H44" s="17">
        <f t="shared" si="42"/>
        <v>3541522</v>
      </c>
      <c r="I44" s="17">
        <f t="shared" si="42"/>
        <v>1284911</v>
      </c>
      <c r="J44" s="17">
        <f t="shared" si="42"/>
        <v>0</v>
      </c>
      <c r="K44" s="17">
        <f t="shared" si="42"/>
        <v>262526</v>
      </c>
      <c r="L44" s="17">
        <f t="shared" si="42"/>
        <v>0</v>
      </c>
      <c r="M44" s="17">
        <f t="shared" si="42"/>
        <v>0</v>
      </c>
      <c r="N44" s="17">
        <f t="shared" si="42"/>
        <v>472710</v>
      </c>
      <c r="O44" s="17">
        <f t="shared" si="42"/>
        <v>549675</v>
      </c>
      <c r="P44" s="17">
        <f t="shared" si="42"/>
        <v>0</v>
      </c>
      <c r="Q44" s="17">
        <f t="shared" si="42"/>
        <v>0</v>
      </c>
      <c r="R44" s="17">
        <f t="shared" si="42"/>
        <v>0</v>
      </c>
      <c r="S44" s="17">
        <f t="shared" si="42"/>
        <v>0</v>
      </c>
      <c r="T44" s="17">
        <f t="shared" si="42"/>
        <v>891347</v>
      </c>
      <c r="U44" s="17">
        <f t="shared" si="42"/>
        <v>1242915</v>
      </c>
      <c r="V44" s="17">
        <f t="shared" si="42"/>
        <v>254654</v>
      </c>
      <c r="W44" s="17">
        <f t="shared" si="42"/>
        <v>116484</v>
      </c>
      <c r="X44" s="17">
        <f t="shared" si="42"/>
        <v>721755</v>
      </c>
      <c r="Y44" s="17">
        <f t="shared" si="42"/>
        <v>50260</v>
      </c>
      <c r="Z44" s="17">
        <f t="shared" si="42"/>
        <v>17713</v>
      </c>
      <c r="AA44" s="17">
        <f t="shared" si="42"/>
        <v>0</v>
      </c>
      <c r="AB44" s="17">
        <f t="shared" si="42"/>
        <v>0</v>
      </c>
      <c r="AC44" s="17">
        <f t="shared" si="42"/>
        <v>82049</v>
      </c>
      <c r="AD44" s="17">
        <f t="shared" si="42"/>
        <v>0</v>
      </c>
      <c r="AE44" s="17">
        <f t="shared" si="42"/>
        <v>1742108</v>
      </c>
      <c r="AF44" s="17">
        <f t="shared" si="42"/>
        <v>0</v>
      </c>
      <c r="AG44" s="17">
        <f t="shared" si="42"/>
        <v>0</v>
      </c>
      <c r="AH44" s="17">
        <f t="shared" si="42"/>
        <v>193750</v>
      </c>
      <c r="AI44" s="17">
        <f t="shared" si="42"/>
        <v>80000</v>
      </c>
      <c r="AJ44" s="17">
        <f t="shared" si="42"/>
        <v>0</v>
      </c>
      <c r="AK44" s="17">
        <f t="shared" si="42"/>
        <v>20993</v>
      </c>
      <c r="AL44" s="17">
        <f t="shared" si="42"/>
        <v>6364</v>
      </c>
      <c r="AM44" s="17">
        <f t="shared" si="42"/>
        <v>4019</v>
      </c>
      <c r="AN44" s="17">
        <f t="shared" si="42"/>
        <v>0</v>
      </c>
      <c r="AO44" s="17">
        <f t="shared" si="42"/>
        <v>22407</v>
      </c>
      <c r="AP44" s="17">
        <f t="shared" si="42"/>
        <v>0</v>
      </c>
      <c r="AQ44" s="17">
        <f t="shared" si="42"/>
        <v>0</v>
      </c>
      <c r="AR44" s="17">
        <f t="shared" si="42"/>
        <v>79914</v>
      </c>
      <c r="AS44" s="17">
        <f t="shared" si="42"/>
        <v>0</v>
      </c>
      <c r="AT44" s="17"/>
      <c r="AU44" s="17"/>
      <c r="AV44" s="17">
        <f t="shared" si="42"/>
        <v>0</v>
      </c>
      <c r="AW44" s="17">
        <f t="shared" si="42"/>
        <v>930833</v>
      </c>
      <c r="AX44" s="17">
        <f t="shared" si="42"/>
        <v>0</v>
      </c>
      <c r="AY44" s="17"/>
      <c r="AZ44" s="17">
        <f t="shared" si="42"/>
        <v>403828</v>
      </c>
      <c r="BA44" s="17">
        <f t="shared" si="42"/>
        <v>1824595</v>
      </c>
      <c r="BB44" s="17">
        <f t="shared" si="42"/>
        <v>0</v>
      </c>
      <c r="BC44" s="17">
        <f t="shared" si="42"/>
        <v>0</v>
      </c>
      <c r="BD44" s="17">
        <f t="shared" si="42"/>
        <v>0</v>
      </c>
      <c r="BE44" s="17">
        <f t="shared" si="42"/>
        <v>0</v>
      </c>
      <c r="BF44" s="17">
        <f t="shared" si="42"/>
        <v>0</v>
      </c>
      <c r="BG44" s="17">
        <f t="shared" si="42"/>
        <v>0</v>
      </c>
      <c r="BH44" s="17">
        <f t="shared" si="42"/>
        <v>0</v>
      </c>
      <c r="BI44" s="17">
        <f t="shared" si="42"/>
        <v>0</v>
      </c>
      <c r="BJ44" s="17">
        <f t="shared" si="42"/>
        <v>0</v>
      </c>
      <c r="BK44" s="17">
        <f t="shared" si="42"/>
        <v>0</v>
      </c>
      <c r="BL44" s="17">
        <f t="shared" si="42"/>
        <v>0</v>
      </c>
      <c r="BM44" s="17">
        <f t="shared" si="42"/>
        <v>0</v>
      </c>
      <c r="BN44" s="17">
        <f t="shared" si="42"/>
        <v>0</v>
      </c>
      <c r="BO44" s="17">
        <f t="shared" si="42"/>
        <v>1824595</v>
      </c>
      <c r="BP44" s="17">
        <f t="shared" si="42"/>
        <v>0</v>
      </c>
      <c r="BQ44" s="17">
        <f t="shared" si="42"/>
        <v>0</v>
      </c>
      <c r="BR44" s="17">
        <f t="shared" si="42"/>
        <v>0</v>
      </c>
      <c r="BS44" s="17">
        <f t="shared" si="42"/>
        <v>0</v>
      </c>
      <c r="BT44" s="17">
        <f t="shared" si="42"/>
        <v>0</v>
      </c>
      <c r="BU44" s="17">
        <f t="shared" si="42"/>
        <v>0</v>
      </c>
      <c r="BV44" s="17">
        <f t="shared" ref="BV44:CN44" si="43">SUM(BV45)</f>
        <v>0</v>
      </c>
      <c r="BW44" s="17">
        <f t="shared" si="43"/>
        <v>0</v>
      </c>
      <c r="BX44" s="17">
        <f t="shared" si="43"/>
        <v>0</v>
      </c>
      <c r="BY44" s="17">
        <f t="shared" si="43"/>
        <v>1824595</v>
      </c>
      <c r="BZ44" s="17">
        <f t="shared" si="43"/>
        <v>0</v>
      </c>
      <c r="CA44" s="17">
        <f t="shared" si="43"/>
        <v>321807</v>
      </c>
      <c r="CB44" s="17">
        <f t="shared" si="43"/>
        <v>321807</v>
      </c>
      <c r="CC44" s="17">
        <f t="shared" si="43"/>
        <v>321807</v>
      </c>
      <c r="CD44" s="17">
        <f t="shared" si="43"/>
        <v>0</v>
      </c>
      <c r="CE44" s="17">
        <f t="shared" si="43"/>
        <v>321807</v>
      </c>
      <c r="CF44" s="17">
        <f t="shared" si="43"/>
        <v>0</v>
      </c>
      <c r="CG44" s="17">
        <f t="shared" si="43"/>
        <v>0</v>
      </c>
      <c r="CH44" s="17">
        <f t="shared" si="43"/>
        <v>0</v>
      </c>
      <c r="CI44" s="17">
        <f t="shared" si="43"/>
        <v>0</v>
      </c>
      <c r="CJ44" s="17">
        <f t="shared" si="43"/>
        <v>0</v>
      </c>
      <c r="CK44" s="17">
        <f t="shared" si="43"/>
        <v>0</v>
      </c>
      <c r="CL44" s="17">
        <f t="shared" si="43"/>
        <v>0</v>
      </c>
      <c r="CM44" s="17">
        <f t="shared" si="43"/>
        <v>0</v>
      </c>
      <c r="CN44" s="17">
        <f t="shared" si="43"/>
        <v>0</v>
      </c>
      <c r="CO44" s="64"/>
      <c r="CP44" s="64"/>
      <c r="CQ44" s="64"/>
      <c r="CR44" s="64"/>
      <c r="CS44" s="51"/>
      <c r="GP44" s="46"/>
    </row>
    <row r="45" spans="1:198" s="68" customFormat="1" ht="15.6" x14ac:dyDescent="0.3">
      <c r="A45" s="92" t="s">
        <v>1</v>
      </c>
      <c r="B45" s="62" t="s">
        <v>73</v>
      </c>
      <c r="C45" s="63" t="s">
        <v>441</v>
      </c>
      <c r="D45" s="65">
        <f>SUM(E45+CA45)</f>
        <v>46201213</v>
      </c>
      <c r="E45" s="65">
        <f>SUM(F45+BA45)</f>
        <v>45879406</v>
      </c>
      <c r="F45" s="65">
        <f>SUM(G45+H45+I45+P45+S45+T45+U45+AE45+AD45)</f>
        <v>44054811</v>
      </c>
      <c r="G45" s="66">
        <f>35265853+86155</f>
        <v>35352008</v>
      </c>
      <c r="H45" s="66">
        <v>3541522</v>
      </c>
      <c r="I45" s="65">
        <f t="shared" si="9"/>
        <v>1284911</v>
      </c>
      <c r="J45" s="65">
        <v>0</v>
      </c>
      <c r="K45" s="66">
        <v>262526</v>
      </c>
      <c r="L45" s="66">
        <v>0</v>
      </c>
      <c r="M45" s="66">
        <v>0</v>
      </c>
      <c r="N45" s="66">
        <f>631094-158384</f>
        <v>472710</v>
      </c>
      <c r="O45" s="66">
        <f>1099350-549675</f>
        <v>549675</v>
      </c>
      <c r="P45" s="65">
        <f t="shared" si="10"/>
        <v>0</v>
      </c>
      <c r="Q45" s="66"/>
      <c r="R45" s="66"/>
      <c r="S45" s="66"/>
      <c r="T45" s="66">
        <v>891347</v>
      </c>
      <c r="U45" s="65">
        <f>SUM(V45:AC45)</f>
        <v>1242915</v>
      </c>
      <c r="V45" s="66">
        <v>254654</v>
      </c>
      <c r="W45" s="66">
        <f>87624+28860</f>
        <v>116484</v>
      </c>
      <c r="X45" s="66">
        <f>325332+396423</f>
        <v>721755</v>
      </c>
      <c r="Y45" s="66">
        <f>41612+8648</f>
        <v>50260</v>
      </c>
      <c r="Z45" s="66">
        <v>17713</v>
      </c>
      <c r="AA45" s="66">
        <v>0</v>
      </c>
      <c r="AB45" s="66">
        <v>0</v>
      </c>
      <c r="AC45" s="66">
        <f>31873+50176</f>
        <v>82049</v>
      </c>
      <c r="AD45" s="65">
        <v>0</v>
      </c>
      <c r="AE45" s="65">
        <f>SUM(AF45:AZ45)</f>
        <v>1742108</v>
      </c>
      <c r="AF45" s="65">
        <v>0</v>
      </c>
      <c r="AG45" s="65">
        <v>0</v>
      </c>
      <c r="AH45" s="66">
        <v>193750</v>
      </c>
      <c r="AI45" s="66">
        <f>277854-197854</f>
        <v>80000</v>
      </c>
      <c r="AJ45" s="66">
        <v>0</v>
      </c>
      <c r="AK45" s="66">
        <f>32268-11275</f>
        <v>20993</v>
      </c>
      <c r="AL45" s="66">
        <f>12729-6365</f>
        <v>6364</v>
      </c>
      <c r="AM45" s="66">
        <f>7671-3652</f>
        <v>4019</v>
      </c>
      <c r="AN45" s="66">
        <v>0</v>
      </c>
      <c r="AO45" s="66">
        <v>22407</v>
      </c>
      <c r="AP45" s="66">
        <v>0</v>
      </c>
      <c r="AQ45" s="66">
        <v>0</v>
      </c>
      <c r="AR45" s="66">
        <f>82719-2805</f>
        <v>79914</v>
      </c>
      <c r="AS45" s="66">
        <v>0</v>
      </c>
      <c r="AT45" s="66">
        <v>0</v>
      </c>
      <c r="AU45" s="66">
        <v>0</v>
      </c>
      <c r="AV45" s="66">
        <v>0</v>
      </c>
      <c r="AW45" s="66">
        <f>1016988-86155</f>
        <v>930833</v>
      </c>
      <c r="AX45" s="66">
        <v>0</v>
      </c>
      <c r="AY45" s="66">
        <v>0</v>
      </c>
      <c r="AZ45" s="66">
        <v>403828</v>
      </c>
      <c r="BA45" s="65">
        <f>SUM(BB45+BF45+BJ45+BL45+BO45)</f>
        <v>1824595</v>
      </c>
      <c r="BB45" s="65">
        <f>SUM(BC45:BE45)</f>
        <v>0</v>
      </c>
      <c r="BC45" s="65">
        <v>0</v>
      </c>
      <c r="BD45" s="65">
        <v>0</v>
      </c>
      <c r="BE45" s="65">
        <v>0</v>
      </c>
      <c r="BF45" s="65">
        <f>SUM(BG45:BI45)</f>
        <v>0</v>
      </c>
      <c r="BG45" s="65">
        <v>0</v>
      </c>
      <c r="BH45" s="65">
        <v>0</v>
      </c>
      <c r="BI45" s="65">
        <v>0</v>
      </c>
      <c r="BJ45" s="65">
        <v>0</v>
      </c>
      <c r="BK45" s="65">
        <v>0</v>
      </c>
      <c r="BL45" s="65">
        <f t="shared" si="11"/>
        <v>0</v>
      </c>
      <c r="BM45" s="65">
        <v>0</v>
      </c>
      <c r="BN45" s="65">
        <v>0</v>
      </c>
      <c r="BO45" s="65">
        <f>SUM(BP45:BZ45)</f>
        <v>1824595</v>
      </c>
      <c r="BP45" s="65">
        <v>0</v>
      </c>
      <c r="BQ45" s="65">
        <v>0</v>
      </c>
      <c r="BR45" s="65">
        <v>0</v>
      </c>
      <c r="BS45" s="65">
        <v>0</v>
      </c>
      <c r="BT45" s="65">
        <v>0</v>
      </c>
      <c r="BU45" s="65">
        <v>0</v>
      </c>
      <c r="BV45" s="65">
        <v>0</v>
      </c>
      <c r="BW45" s="65">
        <v>0</v>
      </c>
      <c r="BX45" s="65">
        <v>0</v>
      </c>
      <c r="BY45" s="66">
        <f>2308702-484107</f>
        <v>1824595</v>
      </c>
      <c r="BZ45" s="65">
        <v>0</v>
      </c>
      <c r="CA45" s="65">
        <f>SUM(CB45+CN45)</f>
        <v>321807</v>
      </c>
      <c r="CB45" s="65">
        <f>SUM(CC45+CF45+CK45)</f>
        <v>321807</v>
      </c>
      <c r="CC45" s="65">
        <f t="shared" si="12"/>
        <v>321807</v>
      </c>
      <c r="CD45" s="65">
        <v>0</v>
      </c>
      <c r="CE45" s="66">
        <f>583907+203755-465855</f>
        <v>321807</v>
      </c>
      <c r="CF45" s="65">
        <f>SUM(CG45:CJ45)</f>
        <v>0</v>
      </c>
      <c r="CG45" s="65">
        <v>0</v>
      </c>
      <c r="CH45" s="65">
        <v>0</v>
      </c>
      <c r="CI45" s="65">
        <v>0</v>
      </c>
      <c r="CJ45" s="65">
        <v>0</v>
      </c>
      <c r="CK45" s="65">
        <f>SUM(CL45:CM45)</f>
        <v>0</v>
      </c>
      <c r="CL45" s="65"/>
      <c r="CM45" s="66"/>
      <c r="CN45" s="65">
        <v>0</v>
      </c>
      <c r="CO45" s="65"/>
      <c r="CP45" s="65"/>
      <c r="CQ45" s="65"/>
      <c r="CR45" s="65"/>
      <c r="GP45" s="46"/>
    </row>
    <row r="46" spans="1:198" s="52" customFormat="1" ht="31.2" x14ac:dyDescent="0.3">
      <c r="A46" s="89" t="s">
        <v>77</v>
      </c>
      <c r="B46" s="15" t="s">
        <v>1</v>
      </c>
      <c r="C46" s="16" t="s">
        <v>78</v>
      </c>
      <c r="D46" s="17">
        <f t="shared" ref="D46:AS46" si="44">SUM(D47:D50)</f>
        <v>17630394</v>
      </c>
      <c r="E46" s="17">
        <f t="shared" si="44"/>
        <v>17608882</v>
      </c>
      <c r="F46" s="17">
        <f t="shared" si="44"/>
        <v>17608882</v>
      </c>
      <c r="G46" s="17">
        <f t="shared" si="44"/>
        <v>12844788</v>
      </c>
      <c r="H46" s="17">
        <f t="shared" si="44"/>
        <v>3033182</v>
      </c>
      <c r="I46" s="17">
        <f t="shared" si="44"/>
        <v>379673</v>
      </c>
      <c r="J46" s="17">
        <f t="shared" si="44"/>
        <v>0</v>
      </c>
      <c r="K46" s="17">
        <f t="shared" si="44"/>
        <v>0</v>
      </c>
      <c r="L46" s="17">
        <f t="shared" si="44"/>
        <v>0</v>
      </c>
      <c r="M46" s="17">
        <f t="shared" si="44"/>
        <v>0</v>
      </c>
      <c r="N46" s="17">
        <f t="shared" si="44"/>
        <v>204386</v>
      </c>
      <c r="O46" s="17">
        <f t="shared" si="44"/>
        <v>175287</v>
      </c>
      <c r="P46" s="17">
        <f t="shared" si="44"/>
        <v>50000</v>
      </c>
      <c r="Q46" s="17">
        <f t="shared" si="44"/>
        <v>0</v>
      </c>
      <c r="R46" s="17">
        <f t="shared" si="44"/>
        <v>50000</v>
      </c>
      <c r="S46" s="17">
        <f t="shared" si="44"/>
        <v>40000</v>
      </c>
      <c r="T46" s="17">
        <f t="shared" si="44"/>
        <v>263045</v>
      </c>
      <c r="U46" s="17">
        <f t="shared" si="44"/>
        <v>724642</v>
      </c>
      <c r="V46" s="17">
        <f t="shared" si="44"/>
        <v>61096</v>
      </c>
      <c r="W46" s="17">
        <f t="shared" si="44"/>
        <v>128694</v>
      </c>
      <c r="X46" s="17">
        <f t="shared" si="44"/>
        <v>191708</v>
      </c>
      <c r="Y46" s="17">
        <f t="shared" si="44"/>
        <v>23100</v>
      </c>
      <c r="Z46" s="17">
        <f t="shared" si="44"/>
        <v>13337</v>
      </c>
      <c r="AA46" s="17">
        <f t="shared" si="44"/>
        <v>268065</v>
      </c>
      <c r="AB46" s="17">
        <f t="shared" si="44"/>
        <v>0</v>
      </c>
      <c r="AC46" s="17">
        <f t="shared" si="44"/>
        <v>38642</v>
      </c>
      <c r="AD46" s="17">
        <f t="shared" si="44"/>
        <v>0</v>
      </c>
      <c r="AE46" s="17">
        <f t="shared" si="44"/>
        <v>273552</v>
      </c>
      <c r="AF46" s="17">
        <f t="shared" si="44"/>
        <v>0</v>
      </c>
      <c r="AG46" s="17">
        <f t="shared" si="44"/>
        <v>0</v>
      </c>
      <c r="AH46" s="17">
        <f t="shared" si="44"/>
        <v>53157</v>
      </c>
      <c r="AI46" s="17">
        <f t="shared" si="44"/>
        <v>0</v>
      </c>
      <c r="AJ46" s="17">
        <f t="shared" si="44"/>
        <v>0</v>
      </c>
      <c r="AK46" s="17">
        <f t="shared" si="44"/>
        <v>4223</v>
      </c>
      <c r="AL46" s="17">
        <f t="shared" si="44"/>
        <v>132</v>
      </c>
      <c r="AM46" s="17">
        <f t="shared" si="44"/>
        <v>0</v>
      </c>
      <c r="AN46" s="17">
        <f t="shared" si="44"/>
        <v>12565</v>
      </c>
      <c r="AO46" s="17">
        <f t="shared" si="44"/>
        <v>7566</v>
      </c>
      <c r="AP46" s="17">
        <f t="shared" si="44"/>
        <v>182</v>
      </c>
      <c r="AQ46" s="17">
        <f t="shared" si="44"/>
        <v>0</v>
      </c>
      <c r="AR46" s="17">
        <f t="shared" si="44"/>
        <v>57284</v>
      </c>
      <c r="AS46" s="17">
        <f t="shared" si="44"/>
        <v>0</v>
      </c>
      <c r="AT46" s="17"/>
      <c r="AU46" s="17"/>
      <c r="AV46" s="17">
        <f>SUM(AV47:AV50)</f>
        <v>0</v>
      </c>
      <c r="AW46" s="17">
        <f>SUM(AW47:AW50)</f>
        <v>0</v>
      </c>
      <c r="AX46" s="17">
        <f>SUM(AX47:AX50)</f>
        <v>75165</v>
      </c>
      <c r="AY46" s="17"/>
      <c r="AZ46" s="17">
        <f t="shared" ref="AZ46:CM46" si="45">SUM(AZ47:AZ50)</f>
        <v>63278</v>
      </c>
      <c r="BA46" s="17">
        <f t="shared" si="45"/>
        <v>0</v>
      </c>
      <c r="BB46" s="17">
        <f t="shared" si="45"/>
        <v>0</v>
      </c>
      <c r="BC46" s="17">
        <f t="shared" si="45"/>
        <v>0</v>
      </c>
      <c r="BD46" s="17">
        <f t="shared" si="45"/>
        <v>0</v>
      </c>
      <c r="BE46" s="17">
        <f t="shared" si="45"/>
        <v>0</v>
      </c>
      <c r="BF46" s="17">
        <f t="shared" si="45"/>
        <v>0</v>
      </c>
      <c r="BG46" s="17">
        <f t="shared" si="45"/>
        <v>0</v>
      </c>
      <c r="BH46" s="17">
        <f t="shared" ref="BH46" si="46">SUM(BH47:BH50)</f>
        <v>0</v>
      </c>
      <c r="BI46" s="17">
        <f t="shared" si="45"/>
        <v>0</v>
      </c>
      <c r="BJ46" s="17">
        <f t="shared" si="45"/>
        <v>0</v>
      </c>
      <c r="BK46" s="17">
        <f t="shared" ref="BK46" si="47">SUM(BK47:BK50)</f>
        <v>0</v>
      </c>
      <c r="BL46" s="17">
        <f t="shared" si="45"/>
        <v>0</v>
      </c>
      <c r="BM46" s="17">
        <f t="shared" si="45"/>
        <v>0</v>
      </c>
      <c r="BN46" s="17">
        <f t="shared" si="45"/>
        <v>0</v>
      </c>
      <c r="BO46" s="17">
        <f t="shared" si="45"/>
        <v>0</v>
      </c>
      <c r="BP46" s="17">
        <f t="shared" si="45"/>
        <v>0</v>
      </c>
      <c r="BQ46" s="17">
        <f t="shared" si="45"/>
        <v>0</v>
      </c>
      <c r="BR46" s="17">
        <f t="shared" si="45"/>
        <v>0</v>
      </c>
      <c r="BS46" s="17">
        <f t="shared" si="45"/>
        <v>0</v>
      </c>
      <c r="BT46" s="17">
        <f t="shared" si="45"/>
        <v>0</v>
      </c>
      <c r="BU46" s="17">
        <f t="shared" si="45"/>
        <v>0</v>
      </c>
      <c r="BV46" s="17">
        <f t="shared" si="45"/>
        <v>0</v>
      </c>
      <c r="BW46" s="17">
        <f t="shared" si="45"/>
        <v>0</v>
      </c>
      <c r="BX46" s="17">
        <f t="shared" si="45"/>
        <v>0</v>
      </c>
      <c r="BY46" s="17">
        <f t="shared" si="45"/>
        <v>0</v>
      </c>
      <c r="BZ46" s="17">
        <f t="shared" si="45"/>
        <v>0</v>
      </c>
      <c r="CA46" s="17">
        <f t="shared" si="45"/>
        <v>21512</v>
      </c>
      <c r="CB46" s="17">
        <f t="shared" si="45"/>
        <v>21512</v>
      </c>
      <c r="CC46" s="17">
        <f t="shared" si="45"/>
        <v>21512</v>
      </c>
      <c r="CD46" s="17">
        <f t="shared" si="45"/>
        <v>0</v>
      </c>
      <c r="CE46" s="17">
        <f t="shared" si="45"/>
        <v>21512</v>
      </c>
      <c r="CF46" s="17">
        <f t="shared" si="45"/>
        <v>0</v>
      </c>
      <c r="CG46" s="17">
        <f t="shared" si="45"/>
        <v>0</v>
      </c>
      <c r="CH46" s="17">
        <f t="shared" si="45"/>
        <v>0</v>
      </c>
      <c r="CI46" s="17">
        <f t="shared" si="45"/>
        <v>0</v>
      </c>
      <c r="CJ46" s="17">
        <f t="shared" si="45"/>
        <v>0</v>
      </c>
      <c r="CK46" s="17">
        <f t="shared" si="45"/>
        <v>0</v>
      </c>
      <c r="CL46" s="17">
        <f t="shared" si="45"/>
        <v>0</v>
      </c>
      <c r="CM46" s="17">
        <f t="shared" si="45"/>
        <v>0</v>
      </c>
      <c r="CN46" s="17">
        <f>SUM(CN47:CN50)</f>
        <v>0</v>
      </c>
      <c r="CO46" s="64"/>
      <c r="CP46" s="64"/>
      <c r="CQ46" s="64"/>
      <c r="CR46" s="64"/>
      <c r="CS46" s="51"/>
      <c r="GP46" s="46"/>
    </row>
    <row r="47" spans="1:198" s="68" customFormat="1" ht="15.6" x14ac:dyDescent="0.3">
      <c r="A47" s="92" t="s">
        <v>1</v>
      </c>
      <c r="B47" s="62" t="s">
        <v>50</v>
      </c>
      <c r="C47" s="63" t="s">
        <v>315</v>
      </c>
      <c r="D47" s="65">
        <f t="shared" ref="D47:D50" si="48">SUM(E47+CA47)</f>
        <v>1658242</v>
      </c>
      <c r="E47" s="65">
        <f>SUM(F47+BA47)</f>
        <v>1658242</v>
      </c>
      <c r="F47" s="65">
        <f>SUM(G47+H47+I47+P47+S47+T47+U47+AE47+AD47)</f>
        <v>1658242</v>
      </c>
      <c r="G47" s="66">
        <v>1015440</v>
      </c>
      <c r="H47" s="66">
        <v>253860</v>
      </c>
      <c r="I47" s="65">
        <f t="shared" si="9"/>
        <v>18065</v>
      </c>
      <c r="J47" s="65">
        <v>0</v>
      </c>
      <c r="K47" s="65">
        <v>0</v>
      </c>
      <c r="L47" s="65">
        <v>0</v>
      </c>
      <c r="M47" s="65">
        <v>0</v>
      </c>
      <c r="N47" s="66">
        <f>19788-9223</f>
        <v>10565</v>
      </c>
      <c r="O47" s="66">
        <f>15000-7500</f>
        <v>7500</v>
      </c>
      <c r="P47" s="65">
        <f t="shared" si="10"/>
        <v>50000</v>
      </c>
      <c r="Q47" s="66">
        <v>0</v>
      </c>
      <c r="R47" s="66">
        <v>50000</v>
      </c>
      <c r="S47" s="66">
        <v>40000</v>
      </c>
      <c r="T47" s="66">
        <v>28175</v>
      </c>
      <c r="U47" s="65">
        <f t="shared" ref="U47:U50" si="49">SUM(V47:AC47)</f>
        <v>212520</v>
      </c>
      <c r="V47" s="66">
        <v>0</v>
      </c>
      <c r="W47" s="66">
        <v>0</v>
      </c>
      <c r="X47" s="66">
        <v>0</v>
      </c>
      <c r="Y47" s="66">
        <v>0</v>
      </c>
      <c r="Z47" s="66">
        <v>0</v>
      </c>
      <c r="AA47" s="66">
        <v>212520</v>
      </c>
      <c r="AB47" s="66">
        <v>0</v>
      </c>
      <c r="AC47" s="66">
        <v>0</v>
      </c>
      <c r="AD47" s="65">
        <v>0</v>
      </c>
      <c r="AE47" s="65">
        <f>SUM(AF47:AZ47)</f>
        <v>40182</v>
      </c>
      <c r="AF47" s="65">
        <v>0</v>
      </c>
      <c r="AG47" s="65">
        <v>0</v>
      </c>
      <c r="AH47" s="66">
        <v>10000</v>
      </c>
      <c r="AI47" s="66">
        <v>0</v>
      </c>
      <c r="AJ47" s="66">
        <v>0</v>
      </c>
      <c r="AK47" s="66">
        <v>0</v>
      </c>
      <c r="AL47" s="66">
        <v>0</v>
      </c>
      <c r="AM47" s="66">
        <v>0</v>
      </c>
      <c r="AN47" s="66">
        <v>0</v>
      </c>
      <c r="AO47" s="66">
        <v>0</v>
      </c>
      <c r="AP47" s="66">
        <v>0</v>
      </c>
      <c r="AQ47" s="66">
        <v>0</v>
      </c>
      <c r="AR47" s="66">
        <v>0</v>
      </c>
      <c r="AS47" s="66">
        <v>0</v>
      </c>
      <c r="AT47" s="66">
        <v>0</v>
      </c>
      <c r="AU47" s="66">
        <v>0</v>
      </c>
      <c r="AV47" s="66">
        <v>0</v>
      </c>
      <c r="AW47" s="66">
        <v>0</v>
      </c>
      <c r="AX47" s="66">
        <v>0</v>
      </c>
      <c r="AY47" s="66">
        <v>0</v>
      </c>
      <c r="AZ47" s="66">
        <f>60365-30183</f>
        <v>30182</v>
      </c>
      <c r="BA47" s="65">
        <f t="shared" ref="BA47:BA50" si="50">SUM(BB47+BF47+BJ47+BL47+BO47)</f>
        <v>0</v>
      </c>
      <c r="BB47" s="65">
        <f>SUM(BC47:BE47)</f>
        <v>0</v>
      </c>
      <c r="BC47" s="65">
        <v>0</v>
      </c>
      <c r="BD47" s="65">
        <v>0</v>
      </c>
      <c r="BE47" s="65">
        <v>0</v>
      </c>
      <c r="BF47" s="65">
        <f t="shared" ref="BF47:BF50" si="51">SUM(BG47:BI47)</f>
        <v>0</v>
      </c>
      <c r="BG47" s="65">
        <v>0</v>
      </c>
      <c r="BH47" s="65">
        <v>0</v>
      </c>
      <c r="BI47" s="65">
        <v>0</v>
      </c>
      <c r="BJ47" s="65">
        <v>0</v>
      </c>
      <c r="BK47" s="65">
        <v>0</v>
      </c>
      <c r="BL47" s="65">
        <f t="shared" si="11"/>
        <v>0</v>
      </c>
      <c r="BM47" s="65">
        <v>0</v>
      </c>
      <c r="BN47" s="65">
        <v>0</v>
      </c>
      <c r="BO47" s="65">
        <f>SUM(BP47:BZ47)</f>
        <v>0</v>
      </c>
      <c r="BP47" s="65">
        <v>0</v>
      </c>
      <c r="BQ47" s="65">
        <v>0</v>
      </c>
      <c r="BR47" s="65">
        <v>0</v>
      </c>
      <c r="BS47" s="65">
        <v>0</v>
      </c>
      <c r="BT47" s="65">
        <v>0</v>
      </c>
      <c r="BU47" s="65">
        <v>0</v>
      </c>
      <c r="BV47" s="65">
        <v>0</v>
      </c>
      <c r="BW47" s="65">
        <v>0</v>
      </c>
      <c r="BX47" s="65">
        <v>0</v>
      </c>
      <c r="BY47" s="66">
        <v>0</v>
      </c>
      <c r="BZ47" s="65">
        <v>0</v>
      </c>
      <c r="CA47" s="65">
        <f>SUM(CB47+CN47)</f>
        <v>0</v>
      </c>
      <c r="CB47" s="65">
        <f>SUM(CC47+CF47+CK47)</f>
        <v>0</v>
      </c>
      <c r="CC47" s="65">
        <f t="shared" si="12"/>
        <v>0</v>
      </c>
      <c r="CD47" s="65">
        <v>0</v>
      </c>
      <c r="CE47" s="66"/>
      <c r="CF47" s="65">
        <f>SUM(CG47:CJ47)</f>
        <v>0</v>
      </c>
      <c r="CG47" s="65">
        <v>0</v>
      </c>
      <c r="CH47" s="65">
        <v>0</v>
      </c>
      <c r="CI47" s="65">
        <v>0</v>
      </c>
      <c r="CJ47" s="65">
        <v>0</v>
      </c>
      <c r="CK47" s="65">
        <f>SUM(CL47:CM47)</f>
        <v>0</v>
      </c>
      <c r="CL47" s="65">
        <v>0</v>
      </c>
      <c r="CM47" s="65">
        <v>0</v>
      </c>
      <c r="CN47" s="65">
        <v>0</v>
      </c>
      <c r="CO47" s="65"/>
      <c r="CP47" s="65"/>
      <c r="CQ47" s="65"/>
      <c r="CR47" s="65"/>
      <c r="GP47" s="52"/>
    </row>
    <row r="48" spans="1:198" s="46" customFormat="1" ht="15.6" x14ac:dyDescent="0.3">
      <c r="A48" s="93" t="s">
        <v>1</v>
      </c>
      <c r="B48" s="32" t="s">
        <v>50</v>
      </c>
      <c r="C48" s="33" t="s">
        <v>316</v>
      </c>
      <c r="D48" s="35">
        <f t="shared" si="48"/>
        <v>870411</v>
      </c>
      <c r="E48" s="35">
        <f>SUM(F48+BA48)</f>
        <v>858711</v>
      </c>
      <c r="F48" s="35">
        <f>SUM(G48+H48+I48+P48+S48+T48+U48+AE48+AD48)</f>
        <v>858711</v>
      </c>
      <c r="G48" s="31">
        <f>1018800-394800</f>
        <v>624000</v>
      </c>
      <c r="H48" s="31">
        <f>254700-98700</f>
        <v>156000</v>
      </c>
      <c r="I48" s="35">
        <f t="shared" si="9"/>
        <v>24066</v>
      </c>
      <c r="J48" s="35">
        <v>0</v>
      </c>
      <c r="K48" s="35">
        <v>0</v>
      </c>
      <c r="L48" s="35">
        <v>0</v>
      </c>
      <c r="M48" s="35">
        <v>0</v>
      </c>
      <c r="N48" s="31">
        <f>19788-6125</f>
        <v>13663</v>
      </c>
      <c r="O48" s="31">
        <f>38056-27653</f>
        <v>10403</v>
      </c>
      <c r="P48" s="35">
        <f t="shared" si="10"/>
        <v>0</v>
      </c>
      <c r="Q48" s="31">
        <v>0</v>
      </c>
      <c r="R48" s="31">
        <v>0</v>
      </c>
      <c r="S48" s="31">
        <v>0</v>
      </c>
      <c r="T48" s="31">
        <v>10609</v>
      </c>
      <c r="U48" s="35">
        <f t="shared" si="49"/>
        <v>13351</v>
      </c>
      <c r="V48" s="31">
        <v>3130</v>
      </c>
      <c r="W48" s="31">
        <f>2166+881</f>
        <v>3047</v>
      </c>
      <c r="X48" s="31">
        <f>1652+5522</f>
        <v>7174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5">
        <v>0</v>
      </c>
      <c r="AE48" s="35">
        <f>SUM(AF48:AZ48)</f>
        <v>30685</v>
      </c>
      <c r="AF48" s="35">
        <v>0</v>
      </c>
      <c r="AG48" s="35">
        <v>0</v>
      </c>
      <c r="AH48" s="31">
        <f>2785-900</f>
        <v>1885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f>96800-68000</f>
        <v>28800</v>
      </c>
      <c r="BA48" s="35">
        <f t="shared" si="50"/>
        <v>0</v>
      </c>
      <c r="BB48" s="35">
        <f>SUM(BC48:BE48)</f>
        <v>0</v>
      </c>
      <c r="BC48" s="35">
        <v>0</v>
      </c>
      <c r="BD48" s="35">
        <v>0</v>
      </c>
      <c r="BE48" s="35">
        <v>0</v>
      </c>
      <c r="BF48" s="35">
        <f t="shared" si="51"/>
        <v>0</v>
      </c>
      <c r="BG48" s="35">
        <v>0</v>
      </c>
      <c r="BH48" s="35">
        <v>0</v>
      </c>
      <c r="BI48" s="35">
        <v>0</v>
      </c>
      <c r="BJ48" s="35">
        <v>0</v>
      </c>
      <c r="BK48" s="35">
        <v>0</v>
      </c>
      <c r="BL48" s="35">
        <f t="shared" si="11"/>
        <v>0</v>
      </c>
      <c r="BM48" s="35">
        <v>0</v>
      </c>
      <c r="BN48" s="35">
        <v>0</v>
      </c>
      <c r="BO48" s="35">
        <f>SUM(BP48:BZ48)</f>
        <v>0</v>
      </c>
      <c r="BP48" s="35">
        <v>0</v>
      </c>
      <c r="BQ48" s="35">
        <v>0</v>
      </c>
      <c r="BR48" s="35">
        <v>0</v>
      </c>
      <c r="BS48" s="35">
        <v>0</v>
      </c>
      <c r="BT48" s="35">
        <v>0</v>
      </c>
      <c r="BU48" s="35">
        <v>0</v>
      </c>
      <c r="BV48" s="35">
        <v>0</v>
      </c>
      <c r="BW48" s="35">
        <v>0</v>
      </c>
      <c r="BX48" s="35">
        <v>0</v>
      </c>
      <c r="BY48" s="31">
        <v>0</v>
      </c>
      <c r="BZ48" s="35">
        <v>0</v>
      </c>
      <c r="CA48" s="35">
        <f>SUM(CB48+CN48)</f>
        <v>11700</v>
      </c>
      <c r="CB48" s="35">
        <f>SUM(CC48+CF48+CK48)</f>
        <v>11700</v>
      </c>
      <c r="CC48" s="35">
        <f t="shared" si="12"/>
        <v>11700</v>
      </c>
      <c r="CD48" s="35">
        <v>0</v>
      </c>
      <c r="CE48" s="31">
        <f>157700-146000</f>
        <v>11700</v>
      </c>
      <c r="CF48" s="35">
        <f>SUM(CG48:CJ48)</f>
        <v>0</v>
      </c>
      <c r="CG48" s="35">
        <v>0</v>
      </c>
      <c r="CH48" s="35">
        <v>0</v>
      </c>
      <c r="CI48" s="35">
        <v>0</v>
      </c>
      <c r="CJ48" s="35">
        <v>0</v>
      </c>
      <c r="CK48" s="35">
        <f>SUM(CL48:CM48)</f>
        <v>0</v>
      </c>
      <c r="CL48" s="35">
        <v>0</v>
      </c>
      <c r="CM48" s="35">
        <v>0</v>
      </c>
      <c r="CN48" s="35">
        <v>0</v>
      </c>
      <c r="CO48" s="35"/>
      <c r="CP48" s="35"/>
      <c r="CQ48" s="35"/>
      <c r="CR48" s="35"/>
      <c r="GP48" s="68"/>
    </row>
    <row r="49" spans="1:198" s="46" customFormat="1" ht="15.6" x14ac:dyDescent="0.3">
      <c r="A49" s="93" t="s">
        <v>1</v>
      </c>
      <c r="B49" s="32" t="s">
        <v>58</v>
      </c>
      <c r="C49" s="33" t="s">
        <v>443</v>
      </c>
      <c r="D49" s="35">
        <f t="shared" si="48"/>
        <v>9958442</v>
      </c>
      <c r="E49" s="35">
        <f>SUM(F49+BA49)</f>
        <v>9955986</v>
      </c>
      <c r="F49" s="35">
        <f>SUM(G49+H49+I49+P49+S49+T49+U49+AE49+AD49)</f>
        <v>9955986</v>
      </c>
      <c r="G49" s="31">
        <f>7390621+80000</f>
        <v>7470621</v>
      </c>
      <c r="H49" s="31">
        <f>1773543-80000</f>
        <v>1693543</v>
      </c>
      <c r="I49" s="35">
        <f t="shared" si="9"/>
        <v>202646</v>
      </c>
      <c r="J49" s="35">
        <v>0</v>
      </c>
      <c r="K49" s="35">
        <v>0</v>
      </c>
      <c r="L49" s="35">
        <v>0</v>
      </c>
      <c r="M49" s="35">
        <v>0</v>
      </c>
      <c r="N49" s="31">
        <f>96863-6304-1000</f>
        <v>89559</v>
      </c>
      <c r="O49" s="31">
        <f>226174-113087</f>
        <v>113087</v>
      </c>
      <c r="P49" s="35">
        <f t="shared" si="10"/>
        <v>0</v>
      </c>
      <c r="Q49" s="31">
        <v>0</v>
      </c>
      <c r="R49" s="31">
        <v>0</v>
      </c>
      <c r="S49" s="31">
        <v>0</v>
      </c>
      <c r="T49" s="31">
        <v>137832</v>
      </c>
      <c r="U49" s="35">
        <f t="shared" si="49"/>
        <v>357704</v>
      </c>
      <c r="V49" s="31">
        <f>56966+1000</f>
        <v>57966</v>
      </c>
      <c r="W49" s="31">
        <f>54429+19157</f>
        <v>73586</v>
      </c>
      <c r="X49" s="31">
        <f>67733+75766+5533</f>
        <v>149032</v>
      </c>
      <c r="Y49" s="31">
        <f>14774+2262</f>
        <v>17036</v>
      </c>
      <c r="Z49" s="31">
        <v>6607</v>
      </c>
      <c r="AA49" s="31">
        <f>20701-2656</f>
        <v>18045</v>
      </c>
      <c r="AB49" s="31">
        <v>0</v>
      </c>
      <c r="AC49" s="31">
        <f>12247+23185</f>
        <v>35432</v>
      </c>
      <c r="AD49" s="35">
        <v>0</v>
      </c>
      <c r="AE49" s="35">
        <f>SUM(AF49:AZ49)</f>
        <v>93640</v>
      </c>
      <c r="AF49" s="35">
        <v>0</v>
      </c>
      <c r="AG49" s="35">
        <v>0</v>
      </c>
      <c r="AH49" s="31">
        <v>31272</v>
      </c>
      <c r="AI49" s="31">
        <f>38382-38382</f>
        <v>0</v>
      </c>
      <c r="AJ49" s="31">
        <v>0</v>
      </c>
      <c r="AK49" s="31">
        <f>7681-3841</f>
        <v>3840</v>
      </c>
      <c r="AL49" s="31">
        <f>265-133</f>
        <v>132</v>
      </c>
      <c r="AM49" s="31">
        <v>0</v>
      </c>
      <c r="AN49" s="31">
        <f>14630-2065</f>
        <v>12565</v>
      </c>
      <c r="AO49" s="31">
        <v>7566</v>
      </c>
      <c r="AP49" s="31">
        <f>365-183</f>
        <v>182</v>
      </c>
      <c r="AQ49" s="31">
        <v>0</v>
      </c>
      <c r="AR49" s="31">
        <f>46934-14016</f>
        <v>32918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5165</v>
      </c>
      <c r="AY49" s="31">
        <v>0</v>
      </c>
      <c r="AZ49" s="31">
        <f>55560-55560</f>
        <v>0</v>
      </c>
      <c r="BA49" s="35">
        <f>SUM(BB49+BF49+BJ49+BL49+BO49)</f>
        <v>0</v>
      </c>
      <c r="BB49" s="35">
        <f>SUM(BC49:BE49)</f>
        <v>0</v>
      </c>
      <c r="BC49" s="35">
        <v>0</v>
      </c>
      <c r="BD49" s="35">
        <v>0</v>
      </c>
      <c r="BE49" s="35">
        <v>0</v>
      </c>
      <c r="BF49" s="35">
        <f t="shared" si="51"/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f t="shared" si="11"/>
        <v>0</v>
      </c>
      <c r="BM49" s="35">
        <v>0</v>
      </c>
      <c r="BN49" s="35">
        <v>0</v>
      </c>
      <c r="BO49" s="35">
        <f>SUM(BP49:BZ49)</f>
        <v>0</v>
      </c>
      <c r="BP49" s="35">
        <v>0</v>
      </c>
      <c r="BQ49" s="35">
        <v>0</v>
      </c>
      <c r="BR49" s="35">
        <v>0</v>
      </c>
      <c r="BS49" s="35">
        <v>0</v>
      </c>
      <c r="BT49" s="35">
        <v>0</v>
      </c>
      <c r="BU49" s="35">
        <v>0</v>
      </c>
      <c r="BV49" s="35">
        <v>0</v>
      </c>
      <c r="BW49" s="35">
        <v>0</v>
      </c>
      <c r="BX49" s="35">
        <v>0</v>
      </c>
      <c r="BY49" s="31">
        <f>2684-2684</f>
        <v>0</v>
      </c>
      <c r="BZ49" s="35">
        <v>0</v>
      </c>
      <c r="CA49" s="35">
        <f>SUM(CB49+CN49)</f>
        <v>2456</v>
      </c>
      <c r="CB49" s="35">
        <f>SUM(CC49+CF49+CK49)</f>
        <v>2456</v>
      </c>
      <c r="CC49" s="35">
        <f t="shared" si="12"/>
        <v>2456</v>
      </c>
      <c r="CD49" s="35">
        <v>0</v>
      </c>
      <c r="CE49" s="31">
        <f>39946-31957-5533</f>
        <v>2456</v>
      </c>
      <c r="CF49" s="35">
        <f>SUM(CG49:CJ49)</f>
        <v>0</v>
      </c>
      <c r="CG49" s="35">
        <v>0</v>
      </c>
      <c r="CH49" s="35">
        <v>0</v>
      </c>
      <c r="CI49" s="35">
        <v>0</v>
      </c>
      <c r="CJ49" s="35">
        <v>0</v>
      </c>
      <c r="CK49" s="35">
        <f>SUM(CL49:CM49)</f>
        <v>0</v>
      </c>
      <c r="CL49" s="35">
        <v>0</v>
      </c>
      <c r="CM49" s="35">
        <v>0</v>
      </c>
      <c r="CN49" s="35">
        <v>0</v>
      </c>
      <c r="CO49" s="35"/>
      <c r="CP49" s="35"/>
      <c r="CQ49" s="35"/>
      <c r="CR49" s="35"/>
      <c r="GP49" s="52"/>
    </row>
    <row r="50" spans="1:198" s="46" customFormat="1" ht="31.2" x14ac:dyDescent="0.3">
      <c r="A50" s="93" t="s">
        <v>1</v>
      </c>
      <c r="B50" s="32" t="s">
        <v>62</v>
      </c>
      <c r="C50" s="33" t="s">
        <v>79</v>
      </c>
      <c r="D50" s="35">
        <f t="shared" si="48"/>
        <v>5143299</v>
      </c>
      <c r="E50" s="35">
        <f>SUM(F50+BA50)</f>
        <v>5135943</v>
      </c>
      <c r="F50" s="35">
        <f>SUM(G50+H50+I50+P50+S50+T50+U50+AE50+AD50)</f>
        <v>5135943</v>
      </c>
      <c r="G50" s="31">
        <v>3734727</v>
      </c>
      <c r="H50" s="31">
        <v>929779</v>
      </c>
      <c r="I50" s="35">
        <f t="shared" si="9"/>
        <v>134896</v>
      </c>
      <c r="J50" s="35">
        <v>0</v>
      </c>
      <c r="K50" s="35">
        <v>0</v>
      </c>
      <c r="L50" s="35">
        <v>0</v>
      </c>
      <c r="M50" s="35">
        <v>0</v>
      </c>
      <c r="N50" s="31">
        <f>170162-79563</f>
        <v>90599</v>
      </c>
      <c r="O50" s="31">
        <f>88595-44298</f>
        <v>44297</v>
      </c>
      <c r="P50" s="35">
        <f t="shared" si="10"/>
        <v>0</v>
      </c>
      <c r="Q50" s="31">
        <v>0</v>
      </c>
      <c r="R50" s="31">
        <v>0</v>
      </c>
      <c r="S50" s="31">
        <v>0</v>
      </c>
      <c r="T50" s="31">
        <v>86429</v>
      </c>
      <c r="U50" s="35">
        <f t="shared" si="49"/>
        <v>141067</v>
      </c>
      <c r="V50" s="31">
        <v>0</v>
      </c>
      <c r="W50" s="31">
        <f>37390+14671</f>
        <v>52061</v>
      </c>
      <c r="X50" s="31">
        <f>16949+18553</f>
        <v>35502</v>
      </c>
      <c r="Y50" s="31">
        <f>5198+866</f>
        <v>6064</v>
      </c>
      <c r="Z50" s="31">
        <v>6730</v>
      </c>
      <c r="AA50" s="31">
        <v>37500</v>
      </c>
      <c r="AB50" s="31">
        <v>0</v>
      </c>
      <c r="AC50" s="31">
        <f>1084+2126</f>
        <v>3210</v>
      </c>
      <c r="AD50" s="35">
        <v>0</v>
      </c>
      <c r="AE50" s="35">
        <f>SUM(AF50:AZ50)</f>
        <v>109045</v>
      </c>
      <c r="AF50" s="35">
        <v>0</v>
      </c>
      <c r="AG50" s="35">
        <v>0</v>
      </c>
      <c r="AH50" s="31">
        <v>10000</v>
      </c>
      <c r="AI50" s="31">
        <v>0</v>
      </c>
      <c r="AJ50" s="31">
        <v>0</v>
      </c>
      <c r="AK50" s="31">
        <f>517-134</f>
        <v>383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f>25209-843</f>
        <v>24366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70000</v>
      </c>
      <c r="AY50" s="31">
        <v>0</v>
      </c>
      <c r="AZ50" s="31">
        <f>8593-4297</f>
        <v>4296</v>
      </c>
      <c r="BA50" s="35">
        <f t="shared" si="50"/>
        <v>0</v>
      </c>
      <c r="BB50" s="35">
        <f>SUM(BC50:BE50)</f>
        <v>0</v>
      </c>
      <c r="BC50" s="35">
        <v>0</v>
      </c>
      <c r="BD50" s="35">
        <v>0</v>
      </c>
      <c r="BE50" s="35">
        <v>0</v>
      </c>
      <c r="BF50" s="35">
        <f t="shared" si="51"/>
        <v>0</v>
      </c>
      <c r="BG50" s="35">
        <v>0</v>
      </c>
      <c r="BH50" s="35">
        <v>0</v>
      </c>
      <c r="BI50" s="35">
        <v>0</v>
      </c>
      <c r="BJ50" s="35">
        <v>0</v>
      </c>
      <c r="BK50" s="35">
        <v>0</v>
      </c>
      <c r="BL50" s="35">
        <f t="shared" si="11"/>
        <v>0</v>
      </c>
      <c r="BM50" s="35">
        <v>0</v>
      </c>
      <c r="BN50" s="35">
        <v>0</v>
      </c>
      <c r="BO50" s="35">
        <f>SUM(BP50:BZ50)</f>
        <v>0</v>
      </c>
      <c r="BP50" s="35">
        <v>0</v>
      </c>
      <c r="BQ50" s="35">
        <v>0</v>
      </c>
      <c r="BR50" s="35">
        <v>0</v>
      </c>
      <c r="BS50" s="35">
        <v>0</v>
      </c>
      <c r="BT50" s="35">
        <v>0</v>
      </c>
      <c r="BU50" s="35">
        <v>0</v>
      </c>
      <c r="BV50" s="35">
        <v>0</v>
      </c>
      <c r="BW50" s="35">
        <v>0</v>
      </c>
      <c r="BX50" s="35">
        <v>0</v>
      </c>
      <c r="BY50" s="31">
        <v>0</v>
      </c>
      <c r="BZ50" s="35">
        <v>0</v>
      </c>
      <c r="CA50" s="35">
        <f>SUM(CB50+CN50)</f>
        <v>7356</v>
      </c>
      <c r="CB50" s="35">
        <f>SUM(CC50+CF50+CK50)</f>
        <v>7356</v>
      </c>
      <c r="CC50" s="35">
        <f t="shared" si="12"/>
        <v>7356</v>
      </c>
      <c r="CD50" s="35">
        <v>0</v>
      </c>
      <c r="CE50" s="31">
        <f>20000-12644</f>
        <v>7356</v>
      </c>
      <c r="CF50" s="35">
        <f>SUM(CG50:CJ50)</f>
        <v>0</v>
      </c>
      <c r="CG50" s="35">
        <v>0</v>
      </c>
      <c r="CH50" s="35">
        <v>0</v>
      </c>
      <c r="CI50" s="35">
        <v>0</v>
      </c>
      <c r="CJ50" s="35">
        <v>0</v>
      </c>
      <c r="CK50" s="35">
        <f>SUM(CL50:CM50)</f>
        <v>0</v>
      </c>
      <c r="CL50" s="35">
        <v>0</v>
      </c>
      <c r="CM50" s="35">
        <v>0</v>
      </c>
      <c r="CN50" s="35">
        <v>0</v>
      </c>
      <c r="CO50" s="35"/>
      <c r="CP50" s="35"/>
      <c r="CQ50" s="35"/>
      <c r="CR50" s="35"/>
      <c r="GP50" s="68"/>
    </row>
    <row r="51" spans="1:198" s="52" customFormat="1" ht="15.6" x14ac:dyDescent="0.3">
      <c r="A51" s="89" t="s">
        <v>80</v>
      </c>
      <c r="B51" s="15" t="s">
        <v>1</v>
      </c>
      <c r="C51" s="16" t="s">
        <v>81</v>
      </c>
      <c r="D51" s="17">
        <f t="shared" ref="D51:AX51" si="52">SUM(D52:D52)</f>
        <v>4529271</v>
      </c>
      <c r="E51" s="17">
        <f t="shared" si="52"/>
        <v>4529271</v>
      </c>
      <c r="F51" s="17">
        <f t="shared" si="52"/>
        <v>4529271</v>
      </c>
      <c r="G51" s="17">
        <f t="shared" si="52"/>
        <v>3520240</v>
      </c>
      <c r="H51" s="17">
        <f t="shared" si="52"/>
        <v>843705</v>
      </c>
      <c r="I51" s="17">
        <f t="shared" si="52"/>
        <v>28799</v>
      </c>
      <c r="J51" s="17">
        <f t="shared" si="52"/>
        <v>0</v>
      </c>
      <c r="K51" s="17">
        <f t="shared" si="52"/>
        <v>0</v>
      </c>
      <c r="L51" s="17">
        <f t="shared" si="52"/>
        <v>0</v>
      </c>
      <c r="M51" s="17">
        <f t="shared" si="52"/>
        <v>0</v>
      </c>
      <c r="N51" s="17">
        <f t="shared" si="52"/>
        <v>0</v>
      </c>
      <c r="O51" s="17">
        <f t="shared" si="52"/>
        <v>28799</v>
      </c>
      <c r="P51" s="17">
        <f t="shared" si="52"/>
        <v>0</v>
      </c>
      <c r="Q51" s="17">
        <f t="shared" si="52"/>
        <v>0</v>
      </c>
      <c r="R51" s="17">
        <f t="shared" si="52"/>
        <v>0</v>
      </c>
      <c r="S51" s="17">
        <f t="shared" si="52"/>
        <v>0</v>
      </c>
      <c r="T51" s="17">
        <f t="shared" si="52"/>
        <v>55486</v>
      </c>
      <c r="U51" s="17">
        <f t="shared" si="52"/>
        <v>69066</v>
      </c>
      <c r="V51" s="17">
        <f t="shared" si="52"/>
        <v>8183</v>
      </c>
      <c r="W51" s="17">
        <f t="shared" si="52"/>
        <v>27737</v>
      </c>
      <c r="X51" s="17">
        <f t="shared" si="52"/>
        <v>11403</v>
      </c>
      <c r="Y51" s="17">
        <f t="shared" si="52"/>
        <v>4392</v>
      </c>
      <c r="Z51" s="17">
        <f t="shared" si="52"/>
        <v>271</v>
      </c>
      <c r="AA51" s="17">
        <f t="shared" si="52"/>
        <v>17080</v>
      </c>
      <c r="AB51" s="17">
        <f t="shared" si="52"/>
        <v>0</v>
      </c>
      <c r="AC51" s="17">
        <f t="shared" si="52"/>
        <v>0</v>
      </c>
      <c r="AD51" s="17">
        <f t="shared" si="52"/>
        <v>0</v>
      </c>
      <c r="AE51" s="17">
        <f t="shared" si="52"/>
        <v>11975</v>
      </c>
      <c r="AF51" s="17">
        <f t="shared" si="52"/>
        <v>0</v>
      </c>
      <c r="AG51" s="17">
        <f t="shared" si="52"/>
        <v>0</v>
      </c>
      <c r="AH51" s="17">
        <f t="shared" si="52"/>
        <v>1971</v>
      </c>
      <c r="AI51" s="17">
        <f t="shared" si="52"/>
        <v>10004</v>
      </c>
      <c r="AJ51" s="17">
        <f t="shared" si="52"/>
        <v>0</v>
      </c>
      <c r="AK51" s="17">
        <f t="shared" si="52"/>
        <v>0</v>
      </c>
      <c r="AL51" s="17">
        <f t="shared" si="52"/>
        <v>0</v>
      </c>
      <c r="AM51" s="17">
        <f t="shared" si="52"/>
        <v>0</v>
      </c>
      <c r="AN51" s="17">
        <f t="shared" si="52"/>
        <v>0</v>
      </c>
      <c r="AO51" s="17">
        <f t="shared" si="52"/>
        <v>0</v>
      </c>
      <c r="AP51" s="17">
        <f t="shared" si="52"/>
        <v>0</v>
      </c>
      <c r="AQ51" s="17">
        <f t="shared" si="52"/>
        <v>0</v>
      </c>
      <c r="AR51" s="17">
        <f t="shared" si="52"/>
        <v>0</v>
      </c>
      <c r="AS51" s="17">
        <f t="shared" si="52"/>
        <v>0</v>
      </c>
      <c r="AT51" s="17">
        <f t="shared" si="52"/>
        <v>0</v>
      </c>
      <c r="AU51" s="17">
        <f t="shared" si="52"/>
        <v>0</v>
      </c>
      <c r="AV51" s="17">
        <f t="shared" si="52"/>
        <v>0</v>
      </c>
      <c r="AW51" s="17">
        <f t="shared" si="52"/>
        <v>0</v>
      </c>
      <c r="AX51" s="17">
        <f t="shared" si="52"/>
        <v>0</v>
      </c>
      <c r="AY51" s="17"/>
      <c r="AZ51" s="17">
        <f t="shared" ref="AZ51:CN51" si="53">SUM(AZ52:AZ52)</f>
        <v>0</v>
      </c>
      <c r="BA51" s="17">
        <f t="shared" si="53"/>
        <v>0</v>
      </c>
      <c r="BB51" s="17">
        <f t="shared" si="53"/>
        <v>0</v>
      </c>
      <c r="BC51" s="17">
        <f t="shared" si="53"/>
        <v>0</v>
      </c>
      <c r="BD51" s="17">
        <f t="shared" si="53"/>
        <v>0</v>
      </c>
      <c r="BE51" s="17">
        <f t="shared" si="53"/>
        <v>0</v>
      </c>
      <c r="BF51" s="17">
        <f t="shared" si="53"/>
        <v>0</v>
      </c>
      <c r="BG51" s="17">
        <f t="shared" si="53"/>
        <v>0</v>
      </c>
      <c r="BH51" s="17">
        <f t="shared" si="53"/>
        <v>0</v>
      </c>
      <c r="BI51" s="17">
        <f t="shared" si="53"/>
        <v>0</v>
      </c>
      <c r="BJ51" s="17">
        <f t="shared" si="53"/>
        <v>0</v>
      </c>
      <c r="BK51" s="17">
        <f t="shared" si="53"/>
        <v>0</v>
      </c>
      <c r="BL51" s="17">
        <f t="shared" si="53"/>
        <v>0</v>
      </c>
      <c r="BM51" s="17">
        <f t="shared" si="53"/>
        <v>0</v>
      </c>
      <c r="BN51" s="17">
        <f t="shared" si="53"/>
        <v>0</v>
      </c>
      <c r="BO51" s="17">
        <f t="shared" si="53"/>
        <v>0</v>
      </c>
      <c r="BP51" s="17">
        <f t="shared" si="53"/>
        <v>0</v>
      </c>
      <c r="BQ51" s="17">
        <f t="shared" si="53"/>
        <v>0</v>
      </c>
      <c r="BR51" s="17">
        <f t="shared" si="53"/>
        <v>0</v>
      </c>
      <c r="BS51" s="17">
        <f t="shared" si="53"/>
        <v>0</v>
      </c>
      <c r="BT51" s="17">
        <f t="shared" si="53"/>
        <v>0</v>
      </c>
      <c r="BU51" s="17">
        <f t="shared" si="53"/>
        <v>0</v>
      </c>
      <c r="BV51" s="17">
        <f t="shared" si="53"/>
        <v>0</v>
      </c>
      <c r="BW51" s="17">
        <f t="shared" si="53"/>
        <v>0</v>
      </c>
      <c r="BX51" s="17">
        <f t="shared" si="53"/>
        <v>0</v>
      </c>
      <c r="BY51" s="17">
        <f t="shared" si="53"/>
        <v>0</v>
      </c>
      <c r="BZ51" s="17">
        <f t="shared" si="53"/>
        <v>0</v>
      </c>
      <c r="CA51" s="17">
        <f t="shared" si="53"/>
        <v>0</v>
      </c>
      <c r="CB51" s="17">
        <f t="shared" si="53"/>
        <v>0</v>
      </c>
      <c r="CC51" s="17">
        <f t="shared" si="53"/>
        <v>0</v>
      </c>
      <c r="CD51" s="17">
        <f t="shared" si="53"/>
        <v>0</v>
      </c>
      <c r="CE51" s="17">
        <f t="shared" si="53"/>
        <v>0</v>
      </c>
      <c r="CF51" s="17">
        <f t="shared" si="53"/>
        <v>0</v>
      </c>
      <c r="CG51" s="17">
        <f t="shared" si="53"/>
        <v>0</v>
      </c>
      <c r="CH51" s="17">
        <f t="shared" si="53"/>
        <v>0</v>
      </c>
      <c r="CI51" s="17">
        <f t="shared" si="53"/>
        <v>0</v>
      </c>
      <c r="CJ51" s="17">
        <f t="shared" si="53"/>
        <v>0</v>
      </c>
      <c r="CK51" s="17">
        <f t="shared" si="53"/>
        <v>0</v>
      </c>
      <c r="CL51" s="17">
        <f t="shared" si="53"/>
        <v>0</v>
      </c>
      <c r="CM51" s="17">
        <f t="shared" si="53"/>
        <v>0</v>
      </c>
      <c r="CN51" s="17">
        <f t="shared" si="53"/>
        <v>0</v>
      </c>
      <c r="CO51" s="64"/>
      <c r="CP51" s="64"/>
      <c r="CQ51" s="64"/>
      <c r="CR51" s="64"/>
      <c r="CS51" s="51"/>
      <c r="GP51" s="46"/>
    </row>
    <row r="52" spans="1:198" s="68" customFormat="1" ht="31.2" x14ac:dyDescent="0.3">
      <c r="A52" s="92" t="s">
        <v>1</v>
      </c>
      <c r="B52" s="62" t="s">
        <v>50</v>
      </c>
      <c r="C52" s="63" t="s">
        <v>577</v>
      </c>
      <c r="D52" s="65">
        <f>SUM(E52+CA52)</f>
        <v>4529271</v>
      </c>
      <c r="E52" s="65">
        <f>SUM(F52+BA52)</f>
        <v>4529271</v>
      </c>
      <c r="F52" s="65">
        <f>SUM(G52+H52+I52+P52+S52+T52+U52+AE52+AD52)</f>
        <v>4529271</v>
      </c>
      <c r="G52" s="66">
        <v>3520240</v>
      </c>
      <c r="H52" s="66">
        <v>843705</v>
      </c>
      <c r="I52" s="65">
        <f t="shared" ref="I52" si="54">SUM(J52:O52)</f>
        <v>28799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6">
        <f>46840-18041</f>
        <v>28799</v>
      </c>
      <c r="P52" s="65">
        <f t="shared" ref="P52" si="55">SUM(Q52:R52)</f>
        <v>0</v>
      </c>
      <c r="Q52" s="65"/>
      <c r="R52" s="65">
        <v>0</v>
      </c>
      <c r="S52" s="65">
        <v>0</v>
      </c>
      <c r="T52" s="66">
        <f>41486+14000</f>
        <v>55486</v>
      </c>
      <c r="U52" s="65">
        <f>SUM(V52:AC52)</f>
        <v>69066</v>
      </c>
      <c r="V52" s="66">
        <v>8183</v>
      </c>
      <c r="W52" s="66">
        <f>19263+8474</f>
        <v>27737</v>
      </c>
      <c r="X52" s="66">
        <v>11403</v>
      </c>
      <c r="Y52" s="66">
        <f>3788+604</f>
        <v>4392</v>
      </c>
      <c r="Z52" s="66">
        <v>271</v>
      </c>
      <c r="AA52" s="66">
        <f>10997+6083</f>
        <v>17080</v>
      </c>
      <c r="AB52" s="66">
        <v>0</v>
      </c>
      <c r="AC52" s="66">
        <v>0</v>
      </c>
      <c r="AD52" s="65">
        <v>0</v>
      </c>
      <c r="AE52" s="65">
        <f>SUM(AF52:AZ52)</f>
        <v>11975</v>
      </c>
      <c r="AF52" s="65">
        <v>0</v>
      </c>
      <c r="AG52" s="65">
        <v>0</v>
      </c>
      <c r="AH52" s="66">
        <f>2971-1000</f>
        <v>1971</v>
      </c>
      <c r="AI52" s="66">
        <f>19949-9945</f>
        <v>10004</v>
      </c>
      <c r="AJ52" s="66">
        <v>0</v>
      </c>
      <c r="AK52" s="66">
        <v>0</v>
      </c>
      <c r="AL52" s="66">
        <v>0</v>
      </c>
      <c r="AM52" s="66">
        <v>0</v>
      </c>
      <c r="AN52" s="66">
        <v>0</v>
      </c>
      <c r="AO52" s="66">
        <v>0</v>
      </c>
      <c r="AP52" s="66">
        <v>0</v>
      </c>
      <c r="AQ52" s="66">
        <v>0</v>
      </c>
      <c r="AR52" s="66">
        <v>0</v>
      </c>
      <c r="AS52" s="66">
        <v>0</v>
      </c>
      <c r="AT52" s="66">
        <v>0</v>
      </c>
      <c r="AU52" s="66">
        <v>0</v>
      </c>
      <c r="AV52" s="66">
        <v>0</v>
      </c>
      <c r="AW52" s="66">
        <v>0</v>
      </c>
      <c r="AX52" s="66">
        <v>0</v>
      </c>
      <c r="AY52" s="66">
        <v>0</v>
      </c>
      <c r="AZ52" s="66">
        <v>0</v>
      </c>
      <c r="BA52" s="65">
        <f>SUM(BB52+BF52+BJ52+BL52+BO52)</f>
        <v>0</v>
      </c>
      <c r="BB52" s="65">
        <f>SUM(BC52:BE52)</f>
        <v>0</v>
      </c>
      <c r="BC52" s="65">
        <v>0</v>
      </c>
      <c r="BD52" s="65">
        <v>0</v>
      </c>
      <c r="BE52" s="65">
        <v>0</v>
      </c>
      <c r="BF52" s="65">
        <f>SUM(BG52:BI52)</f>
        <v>0</v>
      </c>
      <c r="BG52" s="65">
        <v>0</v>
      </c>
      <c r="BH52" s="65">
        <v>0</v>
      </c>
      <c r="BI52" s="65">
        <v>0</v>
      </c>
      <c r="BJ52" s="65">
        <v>0</v>
      </c>
      <c r="BK52" s="65">
        <v>0</v>
      </c>
      <c r="BL52" s="65">
        <f t="shared" ref="BL52" si="56">SUM(BM52)</f>
        <v>0</v>
      </c>
      <c r="BM52" s="65">
        <v>0</v>
      </c>
      <c r="BN52" s="65">
        <v>0</v>
      </c>
      <c r="BO52" s="65">
        <f>SUM(BP52:BZ52)</f>
        <v>0</v>
      </c>
      <c r="BP52" s="65">
        <v>0</v>
      </c>
      <c r="BQ52" s="65">
        <v>0</v>
      </c>
      <c r="BR52" s="65">
        <v>0</v>
      </c>
      <c r="BS52" s="65">
        <v>0</v>
      </c>
      <c r="BT52" s="65">
        <v>0</v>
      </c>
      <c r="BU52" s="65">
        <v>0</v>
      </c>
      <c r="BV52" s="65">
        <v>0</v>
      </c>
      <c r="BW52" s="65">
        <v>0</v>
      </c>
      <c r="BX52" s="65">
        <v>0</v>
      </c>
      <c r="BY52" s="65">
        <v>0</v>
      </c>
      <c r="BZ52" s="65">
        <v>0</v>
      </c>
      <c r="CA52" s="65">
        <f>SUM(CB52+CN52)</f>
        <v>0</v>
      </c>
      <c r="CB52" s="65">
        <f>SUM(CC52+CF52+CK52)</f>
        <v>0</v>
      </c>
      <c r="CC52" s="65">
        <f t="shared" ref="CC52" si="57">SUM(CD52:CE52)</f>
        <v>0</v>
      </c>
      <c r="CD52" s="65">
        <v>0</v>
      </c>
      <c r="CE52" s="66">
        <f>30707-30707</f>
        <v>0</v>
      </c>
      <c r="CF52" s="65">
        <f>SUM(CG52:CJ52)</f>
        <v>0</v>
      </c>
      <c r="CG52" s="65">
        <v>0</v>
      </c>
      <c r="CH52" s="65">
        <v>0</v>
      </c>
      <c r="CI52" s="65">
        <v>0</v>
      </c>
      <c r="CJ52" s="65">
        <v>0</v>
      </c>
      <c r="CK52" s="65">
        <f>SUM(CL52:CM52)</f>
        <v>0</v>
      </c>
      <c r="CL52" s="65">
        <v>0</v>
      </c>
      <c r="CM52" s="65">
        <v>0</v>
      </c>
      <c r="CN52" s="65">
        <v>0</v>
      </c>
      <c r="CO52" s="65"/>
      <c r="CP52" s="65"/>
      <c r="CQ52" s="65"/>
      <c r="CR52" s="65"/>
      <c r="GP52" s="46"/>
    </row>
    <row r="53" spans="1:198" s="52" customFormat="1" ht="15.6" x14ac:dyDescent="0.3">
      <c r="A53" s="89" t="s">
        <v>82</v>
      </c>
      <c r="B53" s="15" t="s">
        <v>1</v>
      </c>
      <c r="C53" s="16" t="s">
        <v>83</v>
      </c>
      <c r="D53" s="17">
        <f t="shared" ref="D53:AK53" si="58">SUM(D54)</f>
        <v>14488271</v>
      </c>
      <c r="E53" s="17">
        <f t="shared" si="58"/>
        <v>14473271</v>
      </c>
      <c r="F53" s="17">
        <f t="shared" si="58"/>
        <v>14464454</v>
      </c>
      <c r="G53" s="17">
        <f t="shared" si="58"/>
        <v>9725042</v>
      </c>
      <c r="H53" s="17">
        <f t="shared" si="58"/>
        <v>2324375</v>
      </c>
      <c r="I53" s="17">
        <f t="shared" si="58"/>
        <v>467083</v>
      </c>
      <c r="J53" s="17">
        <f t="shared" si="58"/>
        <v>0</v>
      </c>
      <c r="K53" s="17">
        <f t="shared" si="58"/>
        <v>0</v>
      </c>
      <c r="L53" s="17">
        <f t="shared" si="58"/>
        <v>0</v>
      </c>
      <c r="M53" s="17">
        <f t="shared" si="58"/>
        <v>0</v>
      </c>
      <c r="N53" s="17">
        <f t="shared" si="58"/>
        <v>266555</v>
      </c>
      <c r="O53" s="17">
        <f t="shared" si="58"/>
        <v>200528</v>
      </c>
      <c r="P53" s="17">
        <f t="shared" si="58"/>
        <v>25000</v>
      </c>
      <c r="Q53" s="17">
        <f t="shared" si="58"/>
        <v>0</v>
      </c>
      <c r="R53" s="17">
        <f t="shared" si="58"/>
        <v>25000</v>
      </c>
      <c r="S53" s="17">
        <f t="shared" si="58"/>
        <v>0</v>
      </c>
      <c r="T53" s="17">
        <f t="shared" si="58"/>
        <v>260028</v>
      </c>
      <c r="U53" s="17">
        <f t="shared" si="58"/>
        <v>853819</v>
      </c>
      <c r="V53" s="17">
        <f t="shared" si="58"/>
        <v>109851</v>
      </c>
      <c r="W53" s="17">
        <f t="shared" si="58"/>
        <v>341757</v>
      </c>
      <c r="X53" s="17">
        <f t="shared" si="58"/>
        <v>332288</v>
      </c>
      <c r="Y53" s="17">
        <f t="shared" si="58"/>
        <v>53267</v>
      </c>
      <c r="Z53" s="17">
        <f t="shared" si="58"/>
        <v>16656</v>
      </c>
      <c r="AA53" s="17">
        <f t="shared" si="58"/>
        <v>0</v>
      </c>
      <c r="AB53" s="17">
        <f t="shared" si="58"/>
        <v>0</v>
      </c>
      <c r="AC53" s="17">
        <f t="shared" si="58"/>
        <v>0</v>
      </c>
      <c r="AD53" s="17">
        <f t="shared" si="58"/>
        <v>0</v>
      </c>
      <c r="AE53" s="17">
        <f t="shared" si="58"/>
        <v>809107</v>
      </c>
      <c r="AF53" s="17">
        <f t="shared" si="58"/>
        <v>0</v>
      </c>
      <c r="AG53" s="17">
        <f t="shared" si="58"/>
        <v>0</v>
      </c>
      <c r="AH53" s="17">
        <f t="shared" si="58"/>
        <v>27184</v>
      </c>
      <c r="AI53" s="17">
        <f t="shared" si="58"/>
        <v>44000</v>
      </c>
      <c r="AJ53" s="17">
        <f t="shared" si="58"/>
        <v>0</v>
      </c>
      <c r="AK53" s="17">
        <f t="shared" si="58"/>
        <v>1303</v>
      </c>
      <c r="AL53" s="17">
        <f t="shared" ref="AL53:CN53" si="59">SUM(AL54)</f>
        <v>10083</v>
      </c>
      <c r="AM53" s="17">
        <f t="shared" si="59"/>
        <v>0</v>
      </c>
      <c r="AN53" s="17">
        <f t="shared" si="59"/>
        <v>0</v>
      </c>
      <c r="AO53" s="17">
        <f t="shared" si="59"/>
        <v>298949</v>
      </c>
      <c r="AP53" s="17">
        <f t="shared" si="59"/>
        <v>0</v>
      </c>
      <c r="AQ53" s="17">
        <f t="shared" si="59"/>
        <v>0</v>
      </c>
      <c r="AR53" s="17">
        <f t="shared" si="59"/>
        <v>0</v>
      </c>
      <c r="AS53" s="17">
        <f t="shared" si="59"/>
        <v>13596</v>
      </c>
      <c r="AT53" s="17"/>
      <c r="AU53" s="17"/>
      <c r="AV53" s="17">
        <f t="shared" si="59"/>
        <v>0</v>
      </c>
      <c r="AW53" s="17">
        <f t="shared" si="59"/>
        <v>0</v>
      </c>
      <c r="AX53" s="17">
        <f t="shared" si="59"/>
        <v>68124</v>
      </c>
      <c r="AY53" s="17">
        <f t="shared" si="59"/>
        <v>340868</v>
      </c>
      <c r="AZ53" s="17">
        <f t="shared" si="59"/>
        <v>5000</v>
      </c>
      <c r="BA53" s="17">
        <f t="shared" si="59"/>
        <v>8817</v>
      </c>
      <c r="BB53" s="17">
        <f t="shared" si="59"/>
        <v>0</v>
      </c>
      <c r="BC53" s="17">
        <f t="shared" si="59"/>
        <v>0</v>
      </c>
      <c r="BD53" s="17">
        <f t="shared" si="59"/>
        <v>0</v>
      </c>
      <c r="BE53" s="17">
        <f t="shared" si="59"/>
        <v>0</v>
      </c>
      <c r="BF53" s="17">
        <f t="shared" si="59"/>
        <v>0</v>
      </c>
      <c r="BG53" s="17">
        <f t="shared" si="59"/>
        <v>0</v>
      </c>
      <c r="BH53" s="17">
        <f t="shared" si="59"/>
        <v>0</v>
      </c>
      <c r="BI53" s="17">
        <f t="shared" si="59"/>
        <v>0</v>
      </c>
      <c r="BJ53" s="17">
        <f t="shared" si="59"/>
        <v>0</v>
      </c>
      <c r="BK53" s="17">
        <f t="shared" si="59"/>
        <v>0</v>
      </c>
      <c r="BL53" s="17">
        <f t="shared" si="59"/>
        <v>0</v>
      </c>
      <c r="BM53" s="17">
        <f t="shared" si="59"/>
        <v>0</v>
      </c>
      <c r="BN53" s="17">
        <f t="shared" si="59"/>
        <v>0</v>
      </c>
      <c r="BO53" s="17">
        <f t="shared" si="59"/>
        <v>8817</v>
      </c>
      <c r="BP53" s="17">
        <f t="shared" si="59"/>
        <v>0</v>
      </c>
      <c r="BQ53" s="17">
        <f t="shared" si="59"/>
        <v>0</v>
      </c>
      <c r="BR53" s="17">
        <f t="shared" si="59"/>
        <v>0</v>
      </c>
      <c r="BS53" s="17">
        <f t="shared" si="59"/>
        <v>0</v>
      </c>
      <c r="BT53" s="17">
        <f t="shared" si="59"/>
        <v>0</v>
      </c>
      <c r="BU53" s="17">
        <f t="shared" si="59"/>
        <v>0</v>
      </c>
      <c r="BV53" s="17">
        <f t="shared" si="59"/>
        <v>0</v>
      </c>
      <c r="BW53" s="17">
        <f t="shared" si="59"/>
        <v>0</v>
      </c>
      <c r="BX53" s="17">
        <f t="shared" si="59"/>
        <v>0</v>
      </c>
      <c r="BY53" s="17">
        <f t="shared" si="59"/>
        <v>8817</v>
      </c>
      <c r="BZ53" s="17">
        <f t="shared" si="59"/>
        <v>0</v>
      </c>
      <c r="CA53" s="17">
        <f t="shared" si="59"/>
        <v>15000</v>
      </c>
      <c r="CB53" s="17">
        <f t="shared" si="59"/>
        <v>15000</v>
      </c>
      <c r="CC53" s="17">
        <f t="shared" si="59"/>
        <v>15000</v>
      </c>
      <c r="CD53" s="17">
        <f t="shared" si="59"/>
        <v>0</v>
      </c>
      <c r="CE53" s="17">
        <f t="shared" si="59"/>
        <v>15000</v>
      </c>
      <c r="CF53" s="17">
        <f t="shared" si="59"/>
        <v>0</v>
      </c>
      <c r="CG53" s="17">
        <f t="shared" si="59"/>
        <v>0</v>
      </c>
      <c r="CH53" s="17">
        <f t="shared" si="59"/>
        <v>0</v>
      </c>
      <c r="CI53" s="17">
        <f t="shared" si="59"/>
        <v>0</v>
      </c>
      <c r="CJ53" s="17">
        <f t="shared" si="59"/>
        <v>0</v>
      </c>
      <c r="CK53" s="17">
        <f t="shared" si="59"/>
        <v>0</v>
      </c>
      <c r="CL53" s="17">
        <f t="shared" si="59"/>
        <v>0</v>
      </c>
      <c r="CM53" s="17">
        <f t="shared" si="59"/>
        <v>0</v>
      </c>
      <c r="CN53" s="17">
        <f t="shared" si="59"/>
        <v>0</v>
      </c>
      <c r="CO53" s="64"/>
      <c r="CP53" s="64"/>
      <c r="CQ53" s="64"/>
      <c r="CR53" s="64"/>
      <c r="CS53" s="51"/>
      <c r="GP53" s="46"/>
    </row>
    <row r="54" spans="1:198" s="68" customFormat="1" ht="15.6" x14ac:dyDescent="0.3">
      <c r="A54" s="92" t="s">
        <v>1</v>
      </c>
      <c r="B54" s="62" t="s">
        <v>84</v>
      </c>
      <c r="C54" s="63" t="s">
        <v>85</v>
      </c>
      <c r="D54" s="65">
        <f>SUM(E54+CA54)</f>
        <v>14488271</v>
      </c>
      <c r="E54" s="65">
        <f>SUM(F54+BA54)</f>
        <v>14473271</v>
      </c>
      <c r="F54" s="65">
        <f>SUM(G54+H54+I54+P54+S54+T54+U54+AE54+AD54)</f>
        <v>14464454</v>
      </c>
      <c r="G54" s="66">
        <v>9725042</v>
      </c>
      <c r="H54" s="66">
        <v>2324375</v>
      </c>
      <c r="I54" s="65">
        <f t="shared" si="9"/>
        <v>467083</v>
      </c>
      <c r="J54" s="66"/>
      <c r="K54" s="66">
        <v>0</v>
      </c>
      <c r="L54" s="66">
        <v>0</v>
      </c>
      <c r="M54" s="66">
        <v>0</v>
      </c>
      <c r="N54" s="66">
        <f>320000-53445</f>
        <v>266555</v>
      </c>
      <c r="O54" s="66">
        <f>300528-100000</f>
        <v>200528</v>
      </c>
      <c r="P54" s="65">
        <f t="shared" si="10"/>
        <v>25000</v>
      </c>
      <c r="Q54" s="66">
        <v>0</v>
      </c>
      <c r="R54" s="66">
        <v>25000</v>
      </c>
      <c r="S54" s="66">
        <v>0</v>
      </c>
      <c r="T54" s="66">
        <f>265028-5000</f>
        <v>260028</v>
      </c>
      <c r="U54" s="65">
        <f>SUM(V54:AC54)</f>
        <v>853819</v>
      </c>
      <c r="V54" s="66">
        <v>109851</v>
      </c>
      <c r="W54" s="66">
        <f>235894+105863</f>
        <v>341757</v>
      </c>
      <c r="X54" s="66">
        <f>153290+178998</f>
        <v>332288</v>
      </c>
      <c r="Y54" s="66">
        <f>45200+8067</f>
        <v>53267</v>
      </c>
      <c r="Z54" s="66">
        <v>16656</v>
      </c>
      <c r="AA54" s="66">
        <v>0</v>
      </c>
      <c r="AB54" s="66">
        <v>0</v>
      </c>
      <c r="AC54" s="66">
        <v>0</v>
      </c>
      <c r="AD54" s="66">
        <v>0</v>
      </c>
      <c r="AE54" s="65">
        <f>SUM(AF54:AZ54)</f>
        <v>809107</v>
      </c>
      <c r="AF54" s="66">
        <v>0</v>
      </c>
      <c r="AG54" s="66">
        <v>0</v>
      </c>
      <c r="AH54" s="66">
        <v>27184</v>
      </c>
      <c r="AI54" s="66">
        <f>375000-331000</f>
        <v>44000</v>
      </c>
      <c r="AJ54" s="66">
        <v>0</v>
      </c>
      <c r="AK54" s="66">
        <f>2000-697</f>
        <v>1303</v>
      </c>
      <c r="AL54" s="66">
        <f>20166-10083</f>
        <v>10083</v>
      </c>
      <c r="AM54" s="66">
        <v>0</v>
      </c>
      <c r="AN54" s="66">
        <v>0</v>
      </c>
      <c r="AO54" s="66">
        <v>298949</v>
      </c>
      <c r="AP54" s="66">
        <v>0</v>
      </c>
      <c r="AQ54" s="66">
        <v>0</v>
      </c>
      <c r="AR54" s="66">
        <v>0</v>
      </c>
      <c r="AS54" s="66">
        <v>13596</v>
      </c>
      <c r="AT54" s="66">
        <v>0</v>
      </c>
      <c r="AU54" s="66">
        <v>0</v>
      </c>
      <c r="AV54" s="66">
        <v>0</v>
      </c>
      <c r="AW54" s="66">
        <v>0</v>
      </c>
      <c r="AX54" s="66">
        <f>71088-2964</f>
        <v>68124</v>
      </c>
      <c r="AY54" s="66">
        <v>340868</v>
      </c>
      <c r="AZ54" s="66">
        <f>10000-5000</f>
        <v>5000</v>
      </c>
      <c r="BA54" s="65">
        <f>SUM(BB54+BF54+BJ54+BL54+BO54)</f>
        <v>8817</v>
      </c>
      <c r="BB54" s="65">
        <f>SUM(BC54:BE54)</f>
        <v>0</v>
      </c>
      <c r="BC54" s="65">
        <v>0</v>
      </c>
      <c r="BD54" s="65">
        <v>0</v>
      </c>
      <c r="BE54" s="65">
        <v>0</v>
      </c>
      <c r="BF54" s="65">
        <f>SUM(BI54:BI54)</f>
        <v>0</v>
      </c>
      <c r="BG54" s="65">
        <v>0</v>
      </c>
      <c r="BH54" s="65">
        <v>0</v>
      </c>
      <c r="BI54" s="65">
        <v>0</v>
      </c>
      <c r="BJ54" s="65">
        <v>0</v>
      </c>
      <c r="BK54" s="65">
        <v>0</v>
      </c>
      <c r="BL54" s="65">
        <f t="shared" si="11"/>
        <v>0</v>
      </c>
      <c r="BM54" s="65">
        <v>0</v>
      </c>
      <c r="BN54" s="65">
        <v>0</v>
      </c>
      <c r="BO54" s="65">
        <f>SUM(BP54:BZ54)</f>
        <v>8817</v>
      </c>
      <c r="BP54" s="65">
        <v>0</v>
      </c>
      <c r="BQ54" s="65">
        <v>0</v>
      </c>
      <c r="BR54" s="65">
        <v>0</v>
      </c>
      <c r="BS54" s="65">
        <v>0</v>
      </c>
      <c r="BT54" s="65">
        <v>0</v>
      </c>
      <c r="BU54" s="65">
        <v>0</v>
      </c>
      <c r="BV54" s="65">
        <v>0</v>
      </c>
      <c r="BW54" s="65">
        <v>0</v>
      </c>
      <c r="BX54" s="65">
        <v>0</v>
      </c>
      <c r="BY54" s="66">
        <f>17636-8819</f>
        <v>8817</v>
      </c>
      <c r="BZ54" s="65">
        <v>0</v>
      </c>
      <c r="CA54" s="65">
        <f>SUM(CB54+CN54)</f>
        <v>15000</v>
      </c>
      <c r="CB54" s="65">
        <f>SUM(CC54+CF54+CK54)</f>
        <v>15000</v>
      </c>
      <c r="CC54" s="65">
        <f t="shared" si="12"/>
        <v>15000</v>
      </c>
      <c r="CD54" s="65">
        <v>0</v>
      </c>
      <c r="CE54" s="66">
        <f>25000-10000</f>
        <v>15000</v>
      </c>
      <c r="CF54" s="65">
        <f>SUM(CG54:CJ54)</f>
        <v>0</v>
      </c>
      <c r="CG54" s="65">
        <v>0</v>
      </c>
      <c r="CH54" s="65">
        <v>0</v>
      </c>
      <c r="CI54" s="65">
        <v>0</v>
      </c>
      <c r="CJ54" s="65">
        <v>0</v>
      </c>
      <c r="CK54" s="65">
        <f>SUM(CL54:CM54)</f>
        <v>0</v>
      </c>
      <c r="CL54" s="65"/>
      <c r="CM54" s="101"/>
      <c r="CN54" s="65">
        <v>0</v>
      </c>
      <c r="CO54" s="65"/>
      <c r="CP54" s="65"/>
      <c r="CQ54" s="65"/>
      <c r="CR54" s="65"/>
      <c r="GP54" s="52"/>
    </row>
    <row r="55" spans="1:198" s="52" customFormat="1" ht="15.6" x14ac:dyDescent="0.3">
      <c r="A55" s="91" t="s">
        <v>86</v>
      </c>
      <c r="B55" s="23" t="s">
        <v>1</v>
      </c>
      <c r="C55" s="24" t="s">
        <v>87</v>
      </c>
      <c r="D55" s="25">
        <f>SUM(D56+D58+D60+D62+D64)</f>
        <v>57645901</v>
      </c>
      <c r="E55" s="25">
        <f t="shared" ref="E55:BU55" si="60">SUM(E56+E58+E60+E62+E64)</f>
        <v>57485013</v>
      </c>
      <c r="F55" s="25">
        <f t="shared" si="60"/>
        <v>57465126</v>
      </c>
      <c r="G55" s="25">
        <f t="shared" si="60"/>
        <v>47028281</v>
      </c>
      <c r="H55" s="25">
        <f t="shared" si="60"/>
        <v>5686996</v>
      </c>
      <c r="I55" s="25">
        <f t="shared" si="60"/>
        <v>953167</v>
      </c>
      <c r="J55" s="25">
        <f t="shared" si="60"/>
        <v>0</v>
      </c>
      <c r="K55" s="25">
        <f t="shared" si="60"/>
        <v>0</v>
      </c>
      <c r="L55" s="25">
        <f t="shared" si="60"/>
        <v>0</v>
      </c>
      <c r="M55" s="25">
        <f t="shared" si="60"/>
        <v>0</v>
      </c>
      <c r="N55" s="25">
        <f t="shared" si="60"/>
        <v>724842</v>
      </c>
      <c r="O55" s="25">
        <f t="shared" si="60"/>
        <v>228325</v>
      </c>
      <c r="P55" s="25">
        <f t="shared" si="60"/>
        <v>7000</v>
      </c>
      <c r="Q55" s="25">
        <f t="shared" si="60"/>
        <v>7000</v>
      </c>
      <c r="R55" s="25">
        <f t="shared" si="60"/>
        <v>0</v>
      </c>
      <c r="S55" s="25">
        <f t="shared" si="60"/>
        <v>0</v>
      </c>
      <c r="T55" s="25">
        <f t="shared" si="60"/>
        <v>515785</v>
      </c>
      <c r="U55" s="25">
        <f t="shared" si="60"/>
        <v>1110225</v>
      </c>
      <c r="V55" s="25">
        <f t="shared" si="60"/>
        <v>113359</v>
      </c>
      <c r="W55" s="25">
        <f t="shared" si="60"/>
        <v>236323</v>
      </c>
      <c r="X55" s="25">
        <f t="shared" si="60"/>
        <v>523410</v>
      </c>
      <c r="Y55" s="25">
        <f t="shared" si="60"/>
        <v>57285</v>
      </c>
      <c r="Z55" s="25">
        <f t="shared" si="60"/>
        <v>14490</v>
      </c>
      <c r="AA55" s="25">
        <f t="shared" si="60"/>
        <v>0</v>
      </c>
      <c r="AB55" s="25">
        <f t="shared" si="60"/>
        <v>0</v>
      </c>
      <c r="AC55" s="25">
        <f t="shared" si="60"/>
        <v>165358</v>
      </c>
      <c r="AD55" s="25">
        <f t="shared" si="60"/>
        <v>0</v>
      </c>
      <c r="AE55" s="25">
        <f t="shared" si="60"/>
        <v>2163672</v>
      </c>
      <c r="AF55" s="25">
        <f t="shared" si="60"/>
        <v>0</v>
      </c>
      <c r="AG55" s="25">
        <f t="shared" si="60"/>
        <v>0</v>
      </c>
      <c r="AH55" s="25">
        <f t="shared" si="60"/>
        <v>25690</v>
      </c>
      <c r="AI55" s="25">
        <f t="shared" si="60"/>
        <v>78909</v>
      </c>
      <c r="AJ55" s="25">
        <f t="shared" si="60"/>
        <v>0</v>
      </c>
      <c r="AK55" s="25">
        <f t="shared" si="60"/>
        <v>3938</v>
      </c>
      <c r="AL55" s="25">
        <f t="shared" si="60"/>
        <v>0</v>
      </c>
      <c r="AM55" s="25">
        <f t="shared" si="60"/>
        <v>1302</v>
      </c>
      <c r="AN55" s="25">
        <f t="shared" si="60"/>
        <v>51470</v>
      </c>
      <c r="AO55" s="25">
        <f t="shared" si="60"/>
        <v>164264</v>
      </c>
      <c r="AP55" s="25">
        <f t="shared" si="60"/>
        <v>0</v>
      </c>
      <c r="AQ55" s="25">
        <f t="shared" si="60"/>
        <v>0</v>
      </c>
      <c r="AR55" s="25">
        <f t="shared" si="60"/>
        <v>968885</v>
      </c>
      <c r="AS55" s="25">
        <f t="shared" si="60"/>
        <v>15137</v>
      </c>
      <c r="AT55" s="25">
        <f t="shared" si="60"/>
        <v>738677</v>
      </c>
      <c r="AU55" s="25"/>
      <c r="AV55" s="25">
        <f t="shared" si="60"/>
        <v>0</v>
      </c>
      <c r="AW55" s="25">
        <f t="shared" si="60"/>
        <v>0</v>
      </c>
      <c r="AX55" s="25">
        <f t="shared" si="60"/>
        <v>62900</v>
      </c>
      <c r="AY55" s="25"/>
      <c r="AZ55" s="25">
        <f t="shared" si="60"/>
        <v>52500</v>
      </c>
      <c r="BA55" s="25">
        <f t="shared" si="60"/>
        <v>19887</v>
      </c>
      <c r="BB55" s="25">
        <f t="shared" si="60"/>
        <v>0</v>
      </c>
      <c r="BC55" s="25">
        <f t="shared" si="60"/>
        <v>0</v>
      </c>
      <c r="BD55" s="25">
        <f t="shared" si="60"/>
        <v>0</v>
      </c>
      <c r="BE55" s="25">
        <f t="shared" si="60"/>
        <v>0</v>
      </c>
      <c r="BF55" s="25">
        <f t="shared" si="60"/>
        <v>0</v>
      </c>
      <c r="BG55" s="25">
        <f t="shared" si="60"/>
        <v>0</v>
      </c>
      <c r="BH55" s="25">
        <f t="shared" ref="BH55" si="61">SUM(BH56+BH58+BH60+BH62+BH64)</f>
        <v>0</v>
      </c>
      <c r="BI55" s="25">
        <f t="shared" si="60"/>
        <v>0</v>
      </c>
      <c r="BJ55" s="25">
        <f t="shared" si="60"/>
        <v>0</v>
      </c>
      <c r="BK55" s="25">
        <f t="shared" ref="BK55" si="62">SUM(BK56+BK58+BK60+BK62+BK64)</f>
        <v>0</v>
      </c>
      <c r="BL55" s="25">
        <f t="shared" si="60"/>
        <v>0</v>
      </c>
      <c r="BM55" s="25">
        <f t="shared" si="60"/>
        <v>0</v>
      </c>
      <c r="BN55" s="25">
        <f t="shared" ref="BN55" si="63">SUM(BN56+BN58+BN60+BN62+BN64)</f>
        <v>0</v>
      </c>
      <c r="BO55" s="25">
        <f t="shared" si="60"/>
        <v>19887</v>
      </c>
      <c r="BP55" s="25">
        <f t="shared" si="60"/>
        <v>0</v>
      </c>
      <c r="BQ55" s="25">
        <f t="shared" si="60"/>
        <v>0</v>
      </c>
      <c r="BR55" s="25">
        <f t="shared" si="60"/>
        <v>0</v>
      </c>
      <c r="BS55" s="25">
        <f t="shared" si="60"/>
        <v>0</v>
      </c>
      <c r="BT55" s="25">
        <f t="shared" si="60"/>
        <v>0</v>
      </c>
      <c r="BU55" s="25">
        <f t="shared" si="60"/>
        <v>0</v>
      </c>
      <c r="BV55" s="25">
        <f t="shared" ref="BV55:CQ55" si="64">SUM(BV56+BV58+BV60+BV62+BV64)</f>
        <v>0</v>
      </c>
      <c r="BW55" s="25">
        <f t="shared" si="64"/>
        <v>0</v>
      </c>
      <c r="BX55" s="25">
        <f t="shared" si="64"/>
        <v>0</v>
      </c>
      <c r="BY55" s="25">
        <f t="shared" si="64"/>
        <v>19887</v>
      </c>
      <c r="BZ55" s="25">
        <f t="shared" si="64"/>
        <v>0</v>
      </c>
      <c r="CA55" s="25">
        <f t="shared" si="64"/>
        <v>160888</v>
      </c>
      <c r="CB55" s="25">
        <f t="shared" si="64"/>
        <v>160888</v>
      </c>
      <c r="CC55" s="25">
        <f t="shared" si="64"/>
        <v>160888</v>
      </c>
      <c r="CD55" s="25">
        <f t="shared" si="64"/>
        <v>0</v>
      </c>
      <c r="CE55" s="25">
        <f t="shared" si="64"/>
        <v>160888</v>
      </c>
      <c r="CF55" s="25">
        <f t="shared" si="64"/>
        <v>0</v>
      </c>
      <c r="CG55" s="25">
        <f t="shared" ref="CG55:CH55" si="65">SUM(CG56+CG58+CG60+CG62+CG64)</f>
        <v>0</v>
      </c>
      <c r="CH55" s="25">
        <f t="shared" si="65"/>
        <v>0</v>
      </c>
      <c r="CI55" s="25">
        <f t="shared" si="64"/>
        <v>0</v>
      </c>
      <c r="CJ55" s="25">
        <f t="shared" ref="CJ55" si="66">SUM(CJ56+CJ58+CJ60+CJ62+CJ64)</f>
        <v>0</v>
      </c>
      <c r="CK55" s="25">
        <f t="shared" si="64"/>
        <v>0</v>
      </c>
      <c r="CL55" s="25">
        <f t="shared" ref="CL55" si="67">SUM(CL56+CL58+CL60+CL62+CL64)</f>
        <v>0</v>
      </c>
      <c r="CM55" s="25">
        <f t="shared" si="64"/>
        <v>0</v>
      </c>
      <c r="CN55" s="25">
        <f t="shared" si="64"/>
        <v>0</v>
      </c>
      <c r="CO55" s="25">
        <f t="shared" si="64"/>
        <v>0</v>
      </c>
      <c r="CP55" s="25">
        <f t="shared" si="64"/>
        <v>0</v>
      </c>
      <c r="CQ55" s="25">
        <f t="shared" si="64"/>
        <v>0</v>
      </c>
      <c r="CR55" s="25">
        <f t="shared" ref="CR55" si="68">SUM(CR56+CR58+CR60+CR62+CR64)</f>
        <v>0</v>
      </c>
      <c r="CS55" s="51"/>
      <c r="GP55" s="68"/>
    </row>
    <row r="56" spans="1:198" s="52" customFormat="1" ht="15.6" x14ac:dyDescent="0.3">
      <c r="A56" s="89" t="s">
        <v>88</v>
      </c>
      <c r="B56" s="15" t="s">
        <v>1</v>
      </c>
      <c r="C56" s="16" t="s">
        <v>89</v>
      </c>
      <c r="D56" s="17">
        <f t="shared" ref="D56:BR56" si="69">SUM(D57)</f>
        <v>4966219</v>
      </c>
      <c r="E56" s="17">
        <f t="shared" si="69"/>
        <v>4966219</v>
      </c>
      <c r="F56" s="17">
        <f t="shared" si="69"/>
        <v>4966219</v>
      </c>
      <c r="G56" s="17">
        <f t="shared" si="69"/>
        <v>4013382</v>
      </c>
      <c r="H56" s="17">
        <f t="shared" si="69"/>
        <v>591930</v>
      </c>
      <c r="I56" s="17">
        <f t="shared" si="69"/>
        <v>69582</v>
      </c>
      <c r="J56" s="17">
        <f t="shared" si="69"/>
        <v>0</v>
      </c>
      <c r="K56" s="17">
        <f t="shared" si="69"/>
        <v>0</v>
      </c>
      <c r="L56" s="17">
        <f t="shared" si="69"/>
        <v>0</v>
      </c>
      <c r="M56" s="17">
        <f t="shared" si="69"/>
        <v>0</v>
      </c>
      <c r="N56" s="17">
        <f t="shared" si="69"/>
        <v>62023</v>
      </c>
      <c r="O56" s="17">
        <f t="shared" si="69"/>
        <v>7559</v>
      </c>
      <c r="P56" s="17">
        <f t="shared" si="69"/>
        <v>0</v>
      </c>
      <c r="Q56" s="17">
        <f t="shared" si="69"/>
        <v>0</v>
      </c>
      <c r="R56" s="17">
        <f t="shared" si="69"/>
        <v>0</v>
      </c>
      <c r="S56" s="17">
        <f t="shared" si="69"/>
        <v>0</v>
      </c>
      <c r="T56" s="17">
        <f t="shared" si="69"/>
        <v>19054</v>
      </c>
      <c r="U56" s="17">
        <f t="shared" si="69"/>
        <v>180137</v>
      </c>
      <c r="V56" s="17">
        <f t="shared" si="69"/>
        <v>5470</v>
      </c>
      <c r="W56" s="17">
        <f t="shared" si="69"/>
        <v>0</v>
      </c>
      <c r="X56" s="17">
        <f t="shared" si="69"/>
        <v>129525</v>
      </c>
      <c r="Y56" s="17">
        <f t="shared" si="69"/>
        <v>9786</v>
      </c>
      <c r="Z56" s="17">
        <f t="shared" si="69"/>
        <v>1166</v>
      </c>
      <c r="AA56" s="17">
        <f t="shared" si="69"/>
        <v>0</v>
      </c>
      <c r="AB56" s="17">
        <f t="shared" si="69"/>
        <v>0</v>
      </c>
      <c r="AC56" s="17">
        <f t="shared" si="69"/>
        <v>34190</v>
      </c>
      <c r="AD56" s="17">
        <f t="shared" si="69"/>
        <v>0</v>
      </c>
      <c r="AE56" s="17">
        <f t="shared" si="69"/>
        <v>92134</v>
      </c>
      <c r="AF56" s="17">
        <f t="shared" si="69"/>
        <v>0</v>
      </c>
      <c r="AG56" s="17">
        <f t="shared" si="69"/>
        <v>0</v>
      </c>
      <c r="AH56" s="17">
        <f t="shared" si="69"/>
        <v>3440</v>
      </c>
      <c r="AI56" s="17">
        <f t="shared" si="69"/>
        <v>0</v>
      </c>
      <c r="AJ56" s="17">
        <f t="shared" si="69"/>
        <v>0</v>
      </c>
      <c r="AK56" s="17">
        <f t="shared" si="69"/>
        <v>0</v>
      </c>
      <c r="AL56" s="17">
        <f t="shared" si="69"/>
        <v>0</v>
      </c>
      <c r="AM56" s="17">
        <f t="shared" si="69"/>
        <v>354</v>
      </c>
      <c r="AN56" s="17">
        <f t="shared" si="69"/>
        <v>0</v>
      </c>
      <c r="AO56" s="17">
        <f t="shared" si="69"/>
        <v>69646</v>
      </c>
      <c r="AP56" s="17">
        <f t="shared" si="69"/>
        <v>0</v>
      </c>
      <c r="AQ56" s="17">
        <f t="shared" si="69"/>
        <v>0</v>
      </c>
      <c r="AR56" s="17">
        <f t="shared" si="69"/>
        <v>13694</v>
      </c>
      <c r="AS56" s="17">
        <f t="shared" si="69"/>
        <v>5000</v>
      </c>
      <c r="AT56" s="17"/>
      <c r="AU56" s="17"/>
      <c r="AV56" s="17">
        <f t="shared" si="69"/>
        <v>0</v>
      </c>
      <c r="AW56" s="17">
        <f t="shared" si="69"/>
        <v>0</v>
      </c>
      <c r="AX56" s="17">
        <f t="shared" si="69"/>
        <v>0</v>
      </c>
      <c r="AY56" s="17"/>
      <c r="AZ56" s="17">
        <f t="shared" si="69"/>
        <v>0</v>
      </c>
      <c r="BA56" s="17">
        <f t="shared" si="69"/>
        <v>0</v>
      </c>
      <c r="BB56" s="17">
        <f t="shared" si="69"/>
        <v>0</v>
      </c>
      <c r="BC56" s="17">
        <f t="shared" si="69"/>
        <v>0</v>
      </c>
      <c r="BD56" s="17">
        <f t="shared" si="69"/>
        <v>0</v>
      </c>
      <c r="BE56" s="17">
        <f t="shared" si="69"/>
        <v>0</v>
      </c>
      <c r="BF56" s="17">
        <f t="shared" si="69"/>
        <v>0</v>
      </c>
      <c r="BG56" s="17">
        <f t="shared" si="69"/>
        <v>0</v>
      </c>
      <c r="BH56" s="17">
        <f t="shared" si="69"/>
        <v>0</v>
      </c>
      <c r="BI56" s="17">
        <f t="shared" si="69"/>
        <v>0</v>
      </c>
      <c r="BJ56" s="17">
        <f t="shared" si="69"/>
        <v>0</v>
      </c>
      <c r="BK56" s="17">
        <f t="shared" si="69"/>
        <v>0</v>
      </c>
      <c r="BL56" s="17">
        <f t="shared" si="69"/>
        <v>0</v>
      </c>
      <c r="BM56" s="17">
        <f t="shared" si="69"/>
        <v>0</v>
      </c>
      <c r="BN56" s="17">
        <f t="shared" si="69"/>
        <v>0</v>
      </c>
      <c r="BO56" s="17">
        <f t="shared" si="69"/>
        <v>0</v>
      </c>
      <c r="BP56" s="17">
        <f t="shared" si="69"/>
        <v>0</v>
      </c>
      <c r="BQ56" s="17">
        <f t="shared" si="69"/>
        <v>0</v>
      </c>
      <c r="BR56" s="17">
        <f t="shared" si="69"/>
        <v>0</v>
      </c>
      <c r="BS56" s="17">
        <f t="shared" ref="BS56:CN56" si="70">SUM(BS57)</f>
        <v>0</v>
      </c>
      <c r="BT56" s="17">
        <f t="shared" si="70"/>
        <v>0</v>
      </c>
      <c r="BU56" s="17">
        <f t="shared" si="70"/>
        <v>0</v>
      </c>
      <c r="BV56" s="17">
        <f t="shared" si="70"/>
        <v>0</v>
      </c>
      <c r="BW56" s="17">
        <f t="shared" si="70"/>
        <v>0</v>
      </c>
      <c r="BX56" s="17">
        <f t="shared" si="70"/>
        <v>0</v>
      </c>
      <c r="BY56" s="17">
        <f t="shared" si="70"/>
        <v>0</v>
      </c>
      <c r="BZ56" s="17">
        <f t="shared" si="70"/>
        <v>0</v>
      </c>
      <c r="CA56" s="17">
        <f t="shared" si="70"/>
        <v>0</v>
      </c>
      <c r="CB56" s="17">
        <f t="shared" si="70"/>
        <v>0</v>
      </c>
      <c r="CC56" s="17">
        <f t="shared" si="70"/>
        <v>0</v>
      </c>
      <c r="CD56" s="17">
        <f t="shared" si="70"/>
        <v>0</v>
      </c>
      <c r="CE56" s="17">
        <f t="shared" si="70"/>
        <v>0</v>
      </c>
      <c r="CF56" s="17">
        <f t="shared" si="70"/>
        <v>0</v>
      </c>
      <c r="CG56" s="17">
        <f t="shared" si="70"/>
        <v>0</v>
      </c>
      <c r="CH56" s="17">
        <f t="shared" si="70"/>
        <v>0</v>
      </c>
      <c r="CI56" s="17">
        <f t="shared" si="70"/>
        <v>0</v>
      </c>
      <c r="CJ56" s="17">
        <f t="shared" si="70"/>
        <v>0</v>
      </c>
      <c r="CK56" s="17">
        <f t="shared" si="70"/>
        <v>0</v>
      </c>
      <c r="CL56" s="17">
        <f t="shared" si="70"/>
        <v>0</v>
      </c>
      <c r="CM56" s="17">
        <f t="shared" si="70"/>
        <v>0</v>
      </c>
      <c r="CN56" s="17">
        <f t="shared" si="70"/>
        <v>0</v>
      </c>
      <c r="CO56" s="64"/>
      <c r="CP56" s="64"/>
      <c r="CQ56" s="64"/>
      <c r="CR56" s="64"/>
      <c r="CS56" s="51"/>
    </row>
    <row r="57" spans="1:198" s="68" customFormat="1" ht="15.6" x14ac:dyDescent="0.3">
      <c r="A57" s="92" t="s">
        <v>1</v>
      </c>
      <c r="B57" s="62" t="s">
        <v>90</v>
      </c>
      <c r="C57" s="63" t="s">
        <v>91</v>
      </c>
      <c r="D57" s="65">
        <f>SUM(E57+CA57)</f>
        <v>4966219</v>
      </c>
      <c r="E57" s="65">
        <f>SUM(F57+BA57)</f>
        <v>4966219</v>
      </c>
      <c r="F57" s="65">
        <f>SUM(G57+H57+I57+P57+S57+T57+U57+AE57+AD57)</f>
        <v>4966219</v>
      </c>
      <c r="G57" s="66">
        <v>4013382</v>
      </c>
      <c r="H57" s="66">
        <f>616118-24188</f>
        <v>591930</v>
      </c>
      <c r="I57" s="65">
        <f t="shared" si="9"/>
        <v>69582</v>
      </c>
      <c r="J57" s="66">
        <v>0</v>
      </c>
      <c r="K57" s="66">
        <v>0</v>
      </c>
      <c r="L57" s="66">
        <v>0</v>
      </c>
      <c r="M57" s="66">
        <v>0</v>
      </c>
      <c r="N57" s="66">
        <f>67421-5398</f>
        <v>62023</v>
      </c>
      <c r="O57" s="66">
        <f>22559-15000</f>
        <v>7559</v>
      </c>
      <c r="P57" s="65">
        <f t="shared" si="10"/>
        <v>0</v>
      </c>
      <c r="Q57" s="65">
        <v>0</v>
      </c>
      <c r="R57" s="65">
        <v>0</v>
      </c>
      <c r="S57" s="65">
        <v>0</v>
      </c>
      <c r="T57" s="66">
        <v>19054</v>
      </c>
      <c r="U57" s="65">
        <f>SUM(V57:AC57)</f>
        <v>180137</v>
      </c>
      <c r="V57" s="66">
        <v>5470</v>
      </c>
      <c r="W57" s="66">
        <v>0</v>
      </c>
      <c r="X57" s="66">
        <f>59559+69966</f>
        <v>129525</v>
      </c>
      <c r="Y57" s="66">
        <f>8474+1312</f>
        <v>9786</v>
      </c>
      <c r="Z57" s="66">
        <v>1166</v>
      </c>
      <c r="AA57" s="66">
        <v>0</v>
      </c>
      <c r="AB57" s="66">
        <v>0</v>
      </c>
      <c r="AC57" s="66">
        <f>11912+22278</f>
        <v>34190</v>
      </c>
      <c r="AD57" s="65">
        <v>0</v>
      </c>
      <c r="AE57" s="65">
        <f>SUM(AF57:AZ57)</f>
        <v>92134</v>
      </c>
      <c r="AF57" s="65">
        <v>0</v>
      </c>
      <c r="AG57" s="65">
        <v>0</v>
      </c>
      <c r="AH57" s="66">
        <f>6440-3000</f>
        <v>3440</v>
      </c>
      <c r="AI57" s="66">
        <v>0</v>
      </c>
      <c r="AJ57" s="66">
        <v>0</v>
      </c>
      <c r="AK57" s="66">
        <v>0</v>
      </c>
      <c r="AL57" s="66">
        <v>0</v>
      </c>
      <c r="AM57" s="66">
        <f>500-146</f>
        <v>354</v>
      </c>
      <c r="AN57" s="66">
        <f>3277-3277</f>
        <v>0</v>
      </c>
      <c r="AO57" s="66">
        <v>69646</v>
      </c>
      <c r="AP57" s="66">
        <v>0</v>
      </c>
      <c r="AQ57" s="66">
        <v>0</v>
      </c>
      <c r="AR57" s="66">
        <f>17038-3344</f>
        <v>13694</v>
      </c>
      <c r="AS57" s="66">
        <f>10000-5000</f>
        <v>5000</v>
      </c>
      <c r="AT57" s="66">
        <v>0</v>
      </c>
      <c r="AU57" s="66">
        <v>0</v>
      </c>
      <c r="AV57" s="66">
        <v>0</v>
      </c>
      <c r="AW57" s="66">
        <v>0</v>
      </c>
      <c r="AX57" s="66">
        <v>0</v>
      </c>
      <c r="AY57" s="66">
        <v>0</v>
      </c>
      <c r="AZ57" s="66">
        <f>500-500</f>
        <v>0</v>
      </c>
      <c r="BA57" s="65">
        <f>SUM(BB57+BF57+BJ57+BL57+BO57)</f>
        <v>0</v>
      </c>
      <c r="BB57" s="65">
        <f>SUM(BC57:BE57)</f>
        <v>0</v>
      </c>
      <c r="BC57" s="65">
        <v>0</v>
      </c>
      <c r="BD57" s="65">
        <v>0</v>
      </c>
      <c r="BE57" s="65">
        <v>0</v>
      </c>
      <c r="BF57" s="65">
        <f>SUM(BG57:BI57)</f>
        <v>0</v>
      </c>
      <c r="BG57" s="65">
        <v>0</v>
      </c>
      <c r="BH57" s="65">
        <v>0</v>
      </c>
      <c r="BI57" s="65">
        <v>0</v>
      </c>
      <c r="BJ57" s="65">
        <v>0</v>
      </c>
      <c r="BK57" s="65">
        <v>0</v>
      </c>
      <c r="BL57" s="65">
        <f t="shared" si="11"/>
        <v>0</v>
      </c>
      <c r="BM57" s="65">
        <v>0</v>
      </c>
      <c r="BN57" s="65">
        <v>0</v>
      </c>
      <c r="BO57" s="65">
        <f>SUM(BP57:BZ57)</f>
        <v>0</v>
      </c>
      <c r="BP57" s="65">
        <v>0</v>
      </c>
      <c r="BQ57" s="65">
        <v>0</v>
      </c>
      <c r="BR57" s="65">
        <v>0</v>
      </c>
      <c r="BS57" s="65">
        <v>0</v>
      </c>
      <c r="BT57" s="65">
        <v>0</v>
      </c>
      <c r="BU57" s="65">
        <v>0</v>
      </c>
      <c r="BV57" s="65">
        <v>0</v>
      </c>
      <c r="BW57" s="65">
        <v>0</v>
      </c>
      <c r="BX57" s="65">
        <v>0</v>
      </c>
      <c r="BY57" s="65">
        <f>11886-11886</f>
        <v>0</v>
      </c>
      <c r="BZ57" s="65">
        <v>0</v>
      </c>
      <c r="CA57" s="65">
        <f>SUM(CB57+CN57)</f>
        <v>0</v>
      </c>
      <c r="CB57" s="65">
        <f>SUM(CC57+CF57+CK57)</f>
        <v>0</v>
      </c>
      <c r="CC57" s="65">
        <f t="shared" si="12"/>
        <v>0</v>
      </c>
      <c r="CD57" s="65">
        <v>0</v>
      </c>
      <c r="CE57" s="66">
        <f>30705-30705</f>
        <v>0</v>
      </c>
      <c r="CF57" s="65">
        <f>SUM(CG57:CJ57)</f>
        <v>0</v>
      </c>
      <c r="CG57" s="65">
        <v>0</v>
      </c>
      <c r="CH57" s="65">
        <v>0</v>
      </c>
      <c r="CI57" s="65">
        <v>0</v>
      </c>
      <c r="CJ57" s="65">
        <v>0</v>
      </c>
      <c r="CK57" s="65">
        <f>SUM(CL57:CM57)</f>
        <v>0</v>
      </c>
      <c r="CL57" s="65">
        <v>0</v>
      </c>
      <c r="CM57" s="65">
        <v>0</v>
      </c>
      <c r="CN57" s="65">
        <v>0</v>
      </c>
      <c r="CO57" s="65"/>
      <c r="CP57" s="65"/>
      <c r="CQ57" s="65"/>
      <c r="CR57" s="65"/>
    </row>
    <row r="58" spans="1:198" s="52" customFormat="1" ht="15.6" x14ac:dyDescent="0.3">
      <c r="A58" s="89" t="s">
        <v>92</v>
      </c>
      <c r="B58" s="15" t="s">
        <v>1</v>
      </c>
      <c r="C58" s="16" t="s">
        <v>93</v>
      </c>
      <c r="D58" s="17">
        <f t="shared" ref="D58:AK58" si="71">SUM(D59)</f>
        <v>14146062</v>
      </c>
      <c r="E58" s="17">
        <f t="shared" si="71"/>
        <v>14130062</v>
      </c>
      <c r="F58" s="17">
        <f t="shared" si="71"/>
        <v>14130062</v>
      </c>
      <c r="G58" s="17">
        <f t="shared" si="71"/>
        <v>12097977</v>
      </c>
      <c r="H58" s="17">
        <f t="shared" si="71"/>
        <v>1203808</v>
      </c>
      <c r="I58" s="17">
        <f t="shared" si="71"/>
        <v>214983</v>
      </c>
      <c r="J58" s="17">
        <f t="shared" si="71"/>
        <v>0</v>
      </c>
      <c r="K58" s="17">
        <f t="shared" si="71"/>
        <v>0</v>
      </c>
      <c r="L58" s="17">
        <f t="shared" si="71"/>
        <v>0</v>
      </c>
      <c r="M58" s="17">
        <f t="shared" si="71"/>
        <v>0</v>
      </c>
      <c r="N58" s="17">
        <f t="shared" si="71"/>
        <v>184983</v>
      </c>
      <c r="O58" s="17">
        <f t="shared" si="71"/>
        <v>30000</v>
      </c>
      <c r="P58" s="17">
        <f t="shared" si="71"/>
        <v>7000</v>
      </c>
      <c r="Q58" s="17">
        <f t="shared" si="71"/>
        <v>7000</v>
      </c>
      <c r="R58" s="17">
        <f t="shared" si="71"/>
        <v>0</v>
      </c>
      <c r="S58" s="17">
        <f t="shared" si="71"/>
        <v>0</v>
      </c>
      <c r="T58" s="17">
        <f t="shared" si="71"/>
        <v>34186</v>
      </c>
      <c r="U58" s="17">
        <f t="shared" si="71"/>
        <v>166613</v>
      </c>
      <c r="V58" s="17">
        <f t="shared" si="71"/>
        <v>5000</v>
      </c>
      <c r="W58" s="17">
        <f t="shared" si="71"/>
        <v>76981</v>
      </c>
      <c r="X58" s="17">
        <f t="shared" si="71"/>
        <v>74215</v>
      </c>
      <c r="Y58" s="17">
        <f t="shared" si="71"/>
        <v>7093</v>
      </c>
      <c r="Z58" s="17">
        <f t="shared" si="71"/>
        <v>3324</v>
      </c>
      <c r="AA58" s="17">
        <f t="shared" si="71"/>
        <v>0</v>
      </c>
      <c r="AB58" s="17">
        <f t="shared" si="71"/>
        <v>0</v>
      </c>
      <c r="AC58" s="17">
        <f t="shared" si="71"/>
        <v>0</v>
      </c>
      <c r="AD58" s="17">
        <f t="shared" si="71"/>
        <v>0</v>
      </c>
      <c r="AE58" s="17">
        <f t="shared" si="71"/>
        <v>405495</v>
      </c>
      <c r="AF58" s="17">
        <f t="shared" si="71"/>
        <v>0</v>
      </c>
      <c r="AG58" s="17">
        <f t="shared" si="71"/>
        <v>0</v>
      </c>
      <c r="AH58" s="17">
        <f t="shared" si="71"/>
        <v>1000</v>
      </c>
      <c r="AI58" s="17">
        <f t="shared" si="71"/>
        <v>15000</v>
      </c>
      <c r="AJ58" s="17">
        <f t="shared" si="71"/>
        <v>0</v>
      </c>
      <c r="AK58" s="17">
        <f t="shared" si="71"/>
        <v>0</v>
      </c>
      <c r="AL58" s="17">
        <f t="shared" ref="AL58:CN58" si="72">SUM(AL59)</f>
        <v>0</v>
      </c>
      <c r="AM58" s="17">
        <f t="shared" si="72"/>
        <v>218</v>
      </c>
      <c r="AN58" s="17">
        <f t="shared" si="72"/>
        <v>4500</v>
      </c>
      <c r="AO58" s="17">
        <f t="shared" si="72"/>
        <v>55624</v>
      </c>
      <c r="AP58" s="17">
        <f t="shared" si="72"/>
        <v>0</v>
      </c>
      <c r="AQ58" s="17">
        <f t="shared" si="72"/>
        <v>0</v>
      </c>
      <c r="AR58" s="17">
        <f t="shared" si="72"/>
        <v>316653</v>
      </c>
      <c r="AS58" s="17">
        <f t="shared" si="72"/>
        <v>0</v>
      </c>
      <c r="AT58" s="17"/>
      <c r="AU58" s="17"/>
      <c r="AV58" s="17">
        <f t="shared" si="72"/>
        <v>0</v>
      </c>
      <c r="AW58" s="17">
        <f t="shared" si="72"/>
        <v>0</v>
      </c>
      <c r="AX58" s="17">
        <f t="shared" si="72"/>
        <v>0</v>
      </c>
      <c r="AY58" s="17"/>
      <c r="AZ58" s="17">
        <f t="shared" si="72"/>
        <v>12500</v>
      </c>
      <c r="BA58" s="17">
        <f t="shared" si="72"/>
        <v>0</v>
      </c>
      <c r="BB58" s="17">
        <f t="shared" si="72"/>
        <v>0</v>
      </c>
      <c r="BC58" s="17">
        <f t="shared" si="72"/>
        <v>0</v>
      </c>
      <c r="BD58" s="17">
        <f t="shared" si="72"/>
        <v>0</v>
      </c>
      <c r="BE58" s="17">
        <f t="shared" si="72"/>
        <v>0</v>
      </c>
      <c r="BF58" s="17">
        <f t="shared" si="72"/>
        <v>0</v>
      </c>
      <c r="BG58" s="17">
        <f t="shared" si="72"/>
        <v>0</v>
      </c>
      <c r="BH58" s="17">
        <f t="shared" si="72"/>
        <v>0</v>
      </c>
      <c r="BI58" s="17">
        <f t="shared" si="72"/>
        <v>0</v>
      </c>
      <c r="BJ58" s="17">
        <f t="shared" si="72"/>
        <v>0</v>
      </c>
      <c r="BK58" s="17">
        <f t="shared" si="72"/>
        <v>0</v>
      </c>
      <c r="BL58" s="17">
        <f t="shared" si="72"/>
        <v>0</v>
      </c>
      <c r="BM58" s="17">
        <f t="shared" si="72"/>
        <v>0</v>
      </c>
      <c r="BN58" s="17">
        <f t="shared" si="72"/>
        <v>0</v>
      </c>
      <c r="BO58" s="17">
        <f t="shared" si="72"/>
        <v>0</v>
      </c>
      <c r="BP58" s="17">
        <f t="shared" si="72"/>
        <v>0</v>
      </c>
      <c r="BQ58" s="17">
        <f t="shared" si="72"/>
        <v>0</v>
      </c>
      <c r="BR58" s="17">
        <f t="shared" si="72"/>
        <v>0</v>
      </c>
      <c r="BS58" s="17">
        <f t="shared" si="72"/>
        <v>0</v>
      </c>
      <c r="BT58" s="17">
        <f t="shared" si="72"/>
        <v>0</v>
      </c>
      <c r="BU58" s="17">
        <f t="shared" si="72"/>
        <v>0</v>
      </c>
      <c r="BV58" s="17">
        <f t="shared" si="72"/>
        <v>0</v>
      </c>
      <c r="BW58" s="17">
        <f t="shared" si="72"/>
        <v>0</v>
      </c>
      <c r="BX58" s="17">
        <f t="shared" si="72"/>
        <v>0</v>
      </c>
      <c r="BY58" s="17">
        <f t="shared" si="72"/>
        <v>0</v>
      </c>
      <c r="BZ58" s="17">
        <f t="shared" si="72"/>
        <v>0</v>
      </c>
      <c r="CA58" s="17">
        <f t="shared" si="72"/>
        <v>16000</v>
      </c>
      <c r="CB58" s="17">
        <f t="shared" si="72"/>
        <v>16000</v>
      </c>
      <c r="CC58" s="17">
        <f t="shared" si="72"/>
        <v>16000</v>
      </c>
      <c r="CD58" s="17">
        <f t="shared" si="72"/>
        <v>0</v>
      </c>
      <c r="CE58" s="17">
        <f t="shared" si="72"/>
        <v>16000</v>
      </c>
      <c r="CF58" s="17">
        <f t="shared" si="72"/>
        <v>0</v>
      </c>
      <c r="CG58" s="17">
        <f t="shared" si="72"/>
        <v>0</v>
      </c>
      <c r="CH58" s="17">
        <f t="shared" si="72"/>
        <v>0</v>
      </c>
      <c r="CI58" s="17">
        <f t="shared" si="72"/>
        <v>0</v>
      </c>
      <c r="CJ58" s="17">
        <f t="shared" si="72"/>
        <v>0</v>
      </c>
      <c r="CK58" s="17">
        <f t="shared" si="72"/>
        <v>0</v>
      </c>
      <c r="CL58" s="17">
        <f t="shared" si="72"/>
        <v>0</v>
      </c>
      <c r="CM58" s="17">
        <f t="shared" si="72"/>
        <v>0</v>
      </c>
      <c r="CN58" s="17">
        <f t="shared" si="72"/>
        <v>0</v>
      </c>
      <c r="CO58" s="64"/>
      <c r="CP58" s="64"/>
      <c r="CQ58" s="64"/>
      <c r="CR58" s="64"/>
      <c r="CS58" s="51"/>
    </row>
    <row r="59" spans="1:198" s="68" customFormat="1" ht="15.6" x14ac:dyDescent="0.3">
      <c r="A59" s="92" t="s">
        <v>1</v>
      </c>
      <c r="B59" s="62" t="s">
        <v>94</v>
      </c>
      <c r="C59" s="63" t="s">
        <v>95</v>
      </c>
      <c r="D59" s="65">
        <f>SUM(E59+CA59)</f>
        <v>14146062</v>
      </c>
      <c r="E59" s="65">
        <f>SUM(F59+BA59)</f>
        <v>14130062</v>
      </c>
      <c r="F59" s="65">
        <f>SUM(G59+H59+I59+P59+S59+T59+U59+AE59+AD59)</f>
        <v>14130062</v>
      </c>
      <c r="G59" s="66">
        <v>12097977</v>
      </c>
      <c r="H59" s="66">
        <v>1203808</v>
      </c>
      <c r="I59" s="65">
        <f t="shared" si="9"/>
        <v>214983</v>
      </c>
      <c r="J59" s="66">
        <v>0</v>
      </c>
      <c r="K59" s="66"/>
      <c r="L59" s="66"/>
      <c r="M59" s="66"/>
      <c r="N59" s="66">
        <f>350000-165017</f>
        <v>184983</v>
      </c>
      <c r="O59" s="66">
        <f>60000-30000</f>
        <v>30000</v>
      </c>
      <c r="P59" s="65">
        <f t="shared" si="10"/>
        <v>7000</v>
      </c>
      <c r="Q59" s="66">
        <f>9630-2630</f>
        <v>7000</v>
      </c>
      <c r="R59" s="66">
        <v>0</v>
      </c>
      <c r="S59" s="66">
        <v>0</v>
      </c>
      <c r="T59" s="66">
        <v>34186</v>
      </c>
      <c r="U59" s="65">
        <f>SUM(V59:AC59)</f>
        <v>166613</v>
      </c>
      <c r="V59" s="66">
        <v>5000</v>
      </c>
      <c r="W59" s="66">
        <f>56065+20916</f>
        <v>76981</v>
      </c>
      <c r="X59" s="66">
        <f>34187+38228+1800</f>
        <v>74215</v>
      </c>
      <c r="Y59" s="66">
        <f>6219+874</f>
        <v>7093</v>
      </c>
      <c r="Z59" s="66">
        <v>3324</v>
      </c>
      <c r="AA59" s="66">
        <v>0</v>
      </c>
      <c r="AB59" s="66">
        <v>0</v>
      </c>
      <c r="AC59" s="66">
        <v>0</v>
      </c>
      <c r="AD59" s="65">
        <v>0</v>
      </c>
      <c r="AE59" s="65">
        <f>SUM(AF59:AZ59)</f>
        <v>405495</v>
      </c>
      <c r="AF59" s="65">
        <v>0</v>
      </c>
      <c r="AG59" s="65">
        <v>0</v>
      </c>
      <c r="AH59" s="66">
        <v>1000</v>
      </c>
      <c r="AI59" s="66">
        <f>253000-238000</f>
        <v>15000</v>
      </c>
      <c r="AJ59" s="66">
        <v>0</v>
      </c>
      <c r="AK59" s="66">
        <v>0</v>
      </c>
      <c r="AL59" s="66">
        <v>0</v>
      </c>
      <c r="AM59" s="66">
        <f>437-219</f>
        <v>218</v>
      </c>
      <c r="AN59" s="66">
        <f>9000-4500</f>
        <v>4500</v>
      </c>
      <c r="AO59" s="66">
        <f>57424-1800</f>
        <v>55624</v>
      </c>
      <c r="AP59" s="66">
        <v>0</v>
      </c>
      <c r="AQ59" s="66">
        <v>0</v>
      </c>
      <c r="AR59" s="66">
        <f>367545-50892</f>
        <v>316653</v>
      </c>
      <c r="AS59" s="66">
        <v>0</v>
      </c>
      <c r="AT59" s="66">
        <v>0</v>
      </c>
      <c r="AU59" s="66">
        <v>0</v>
      </c>
      <c r="AV59" s="66">
        <v>0</v>
      </c>
      <c r="AW59" s="66">
        <v>0</v>
      </c>
      <c r="AX59" s="66">
        <v>0</v>
      </c>
      <c r="AY59" s="66">
        <v>0</v>
      </c>
      <c r="AZ59" s="66">
        <f>25000-12500</f>
        <v>12500</v>
      </c>
      <c r="BA59" s="65">
        <f>SUM(BB59+BF59+BJ59+BL59+BO59)</f>
        <v>0</v>
      </c>
      <c r="BB59" s="65">
        <f>SUM(BC59:BE59)</f>
        <v>0</v>
      </c>
      <c r="BC59" s="65">
        <v>0</v>
      </c>
      <c r="BD59" s="65">
        <v>0</v>
      </c>
      <c r="BE59" s="65">
        <v>0</v>
      </c>
      <c r="BF59" s="65">
        <f>SUM(BG59:BI59)</f>
        <v>0</v>
      </c>
      <c r="BG59" s="65">
        <v>0</v>
      </c>
      <c r="BH59" s="65">
        <v>0</v>
      </c>
      <c r="BI59" s="65">
        <v>0</v>
      </c>
      <c r="BJ59" s="65">
        <v>0</v>
      </c>
      <c r="BK59" s="65">
        <v>0</v>
      </c>
      <c r="BL59" s="65">
        <f t="shared" si="11"/>
        <v>0</v>
      </c>
      <c r="BM59" s="65">
        <v>0</v>
      </c>
      <c r="BN59" s="65">
        <v>0</v>
      </c>
      <c r="BO59" s="65">
        <f>SUM(BP59:BZ59)</f>
        <v>0</v>
      </c>
      <c r="BP59" s="65">
        <v>0</v>
      </c>
      <c r="BQ59" s="65">
        <v>0</v>
      </c>
      <c r="BR59" s="65">
        <v>0</v>
      </c>
      <c r="BS59" s="65">
        <v>0</v>
      </c>
      <c r="BT59" s="65">
        <v>0</v>
      </c>
      <c r="BU59" s="65">
        <v>0</v>
      </c>
      <c r="BV59" s="65">
        <v>0</v>
      </c>
      <c r="BW59" s="65">
        <v>0</v>
      </c>
      <c r="BX59" s="65">
        <v>0</v>
      </c>
      <c r="BY59" s="65">
        <v>0</v>
      </c>
      <c r="BZ59" s="65">
        <v>0</v>
      </c>
      <c r="CA59" s="65">
        <f>SUM(CB59+CN59)</f>
        <v>16000</v>
      </c>
      <c r="CB59" s="65">
        <f>SUM(CC59+CF59+CK59)</f>
        <v>16000</v>
      </c>
      <c r="CC59" s="65">
        <f t="shared" si="12"/>
        <v>16000</v>
      </c>
      <c r="CD59" s="65">
        <v>0</v>
      </c>
      <c r="CE59" s="66">
        <f>80000-64000</f>
        <v>16000</v>
      </c>
      <c r="CF59" s="65">
        <f>SUM(CG59:CJ59)</f>
        <v>0</v>
      </c>
      <c r="CG59" s="65">
        <v>0</v>
      </c>
      <c r="CH59" s="65">
        <v>0</v>
      </c>
      <c r="CI59" s="65">
        <v>0</v>
      </c>
      <c r="CJ59" s="65">
        <v>0</v>
      </c>
      <c r="CK59" s="65">
        <f>SUM(CL59:CM59)</f>
        <v>0</v>
      </c>
      <c r="CL59" s="65">
        <v>0</v>
      </c>
      <c r="CM59" s="65">
        <v>0</v>
      </c>
      <c r="CN59" s="65">
        <v>0</v>
      </c>
      <c r="CO59" s="65"/>
      <c r="CP59" s="65"/>
      <c r="CQ59" s="65"/>
      <c r="CR59" s="65"/>
      <c r="GP59" s="52"/>
    </row>
    <row r="60" spans="1:198" s="52" customFormat="1" ht="15.6" x14ac:dyDescent="0.3">
      <c r="A60" s="89" t="s">
        <v>96</v>
      </c>
      <c r="B60" s="15" t="s">
        <v>1</v>
      </c>
      <c r="C60" s="16" t="s">
        <v>97</v>
      </c>
      <c r="D60" s="17">
        <f t="shared" ref="D60:AK60" si="73">SUM(D61)</f>
        <v>31109357</v>
      </c>
      <c r="E60" s="17">
        <f t="shared" si="73"/>
        <v>30968469</v>
      </c>
      <c r="F60" s="17">
        <f t="shared" si="73"/>
        <v>30968469</v>
      </c>
      <c r="G60" s="17">
        <f t="shared" si="73"/>
        <v>25380271</v>
      </c>
      <c r="H60" s="17">
        <f t="shared" si="73"/>
        <v>3349246</v>
      </c>
      <c r="I60" s="17">
        <f t="shared" si="73"/>
        <v>464917</v>
      </c>
      <c r="J60" s="17">
        <f t="shared" si="73"/>
        <v>0</v>
      </c>
      <c r="K60" s="17">
        <f t="shared" si="73"/>
        <v>0</v>
      </c>
      <c r="L60" s="17">
        <f t="shared" si="73"/>
        <v>0</v>
      </c>
      <c r="M60" s="17">
        <f t="shared" si="73"/>
        <v>0</v>
      </c>
      <c r="N60" s="17">
        <f t="shared" si="73"/>
        <v>302339</v>
      </c>
      <c r="O60" s="17">
        <f t="shared" si="73"/>
        <v>162578</v>
      </c>
      <c r="P60" s="17">
        <f t="shared" si="73"/>
        <v>0</v>
      </c>
      <c r="Q60" s="17">
        <f t="shared" si="73"/>
        <v>0</v>
      </c>
      <c r="R60" s="17">
        <f t="shared" si="73"/>
        <v>0</v>
      </c>
      <c r="S60" s="17">
        <f t="shared" si="73"/>
        <v>0</v>
      </c>
      <c r="T60" s="17">
        <f t="shared" si="73"/>
        <v>397545</v>
      </c>
      <c r="U60" s="17">
        <f t="shared" si="73"/>
        <v>638569</v>
      </c>
      <c r="V60" s="17">
        <f t="shared" si="73"/>
        <v>80000</v>
      </c>
      <c r="W60" s="17">
        <f t="shared" si="73"/>
        <v>159342</v>
      </c>
      <c r="X60" s="17">
        <f t="shared" si="73"/>
        <v>248329</v>
      </c>
      <c r="Y60" s="17">
        <f t="shared" si="73"/>
        <v>35980</v>
      </c>
      <c r="Z60" s="17">
        <f t="shared" si="73"/>
        <v>10000</v>
      </c>
      <c r="AA60" s="17">
        <f t="shared" si="73"/>
        <v>0</v>
      </c>
      <c r="AB60" s="17">
        <f t="shared" si="73"/>
        <v>0</v>
      </c>
      <c r="AC60" s="17">
        <f t="shared" si="73"/>
        <v>104918</v>
      </c>
      <c r="AD60" s="17">
        <f t="shared" si="73"/>
        <v>0</v>
      </c>
      <c r="AE60" s="17">
        <f t="shared" si="73"/>
        <v>737921</v>
      </c>
      <c r="AF60" s="17">
        <f t="shared" si="73"/>
        <v>0</v>
      </c>
      <c r="AG60" s="17">
        <f t="shared" si="73"/>
        <v>0</v>
      </c>
      <c r="AH60" s="17">
        <f t="shared" si="73"/>
        <v>10000</v>
      </c>
      <c r="AI60" s="17">
        <f t="shared" si="73"/>
        <v>60228</v>
      </c>
      <c r="AJ60" s="17">
        <f t="shared" si="73"/>
        <v>0</v>
      </c>
      <c r="AK60" s="17">
        <f t="shared" si="73"/>
        <v>2063</v>
      </c>
      <c r="AL60" s="17">
        <f t="shared" ref="AL60:CN60" si="74">SUM(AL61)</f>
        <v>0</v>
      </c>
      <c r="AM60" s="17">
        <f t="shared" si="74"/>
        <v>505</v>
      </c>
      <c r="AN60" s="17">
        <f t="shared" si="74"/>
        <v>46970</v>
      </c>
      <c r="AO60" s="17">
        <f t="shared" si="74"/>
        <v>5238</v>
      </c>
      <c r="AP60" s="17">
        <f t="shared" si="74"/>
        <v>0</v>
      </c>
      <c r="AQ60" s="17">
        <f t="shared" si="74"/>
        <v>0</v>
      </c>
      <c r="AR60" s="17">
        <f t="shared" si="74"/>
        <v>603917</v>
      </c>
      <c r="AS60" s="17">
        <f t="shared" si="74"/>
        <v>0</v>
      </c>
      <c r="AT60" s="17"/>
      <c r="AU60" s="17"/>
      <c r="AV60" s="17">
        <f t="shared" si="74"/>
        <v>0</v>
      </c>
      <c r="AW60" s="17">
        <f t="shared" si="74"/>
        <v>0</v>
      </c>
      <c r="AX60" s="17">
        <f t="shared" si="74"/>
        <v>6500</v>
      </c>
      <c r="AY60" s="17"/>
      <c r="AZ60" s="17">
        <f t="shared" si="74"/>
        <v>2500</v>
      </c>
      <c r="BA60" s="17">
        <f t="shared" si="74"/>
        <v>0</v>
      </c>
      <c r="BB60" s="17">
        <f t="shared" si="74"/>
        <v>0</v>
      </c>
      <c r="BC60" s="17">
        <f t="shared" si="74"/>
        <v>0</v>
      </c>
      <c r="BD60" s="17">
        <f t="shared" si="74"/>
        <v>0</v>
      </c>
      <c r="BE60" s="17">
        <f t="shared" si="74"/>
        <v>0</v>
      </c>
      <c r="BF60" s="17">
        <f t="shared" si="74"/>
        <v>0</v>
      </c>
      <c r="BG60" s="17">
        <f t="shared" si="74"/>
        <v>0</v>
      </c>
      <c r="BH60" s="17">
        <f t="shared" si="74"/>
        <v>0</v>
      </c>
      <c r="BI60" s="17">
        <f t="shared" si="74"/>
        <v>0</v>
      </c>
      <c r="BJ60" s="17">
        <f t="shared" si="74"/>
        <v>0</v>
      </c>
      <c r="BK60" s="17">
        <f t="shared" si="74"/>
        <v>0</v>
      </c>
      <c r="BL60" s="17">
        <f t="shared" si="74"/>
        <v>0</v>
      </c>
      <c r="BM60" s="17">
        <f t="shared" si="74"/>
        <v>0</v>
      </c>
      <c r="BN60" s="17">
        <f t="shared" si="74"/>
        <v>0</v>
      </c>
      <c r="BO60" s="17">
        <f t="shared" ref="AL60:CN62" si="75">SUM(BO61)</f>
        <v>0</v>
      </c>
      <c r="BP60" s="17">
        <f t="shared" si="74"/>
        <v>0</v>
      </c>
      <c r="BQ60" s="17">
        <f t="shared" si="74"/>
        <v>0</v>
      </c>
      <c r="BR60" s="17">
        <f t="shared" si="74"/>
        <v>0</v>
      </c>
      <c r="BS60" s="17">
        <f t="shared" si="74"/>
        <v>0</v>
      </c>
      <c r="BT60" s="17">
        <f t="shared" si="74"/>
        <v>0</v>
      </c>
      <c r="BU60" s="17">
        <f t="shared" si="74"/>
        <v>0</v>
      </c>
      <c r="BV60" s="17">
        <f t="shared" si="74"/>
        <v>0</v>
      </c>
      <c r="BW60" s="17">
        <f t="shared" si="74"/>
        <v>0</v>
      </c>
      <c r="BX60" s="17">
        <f t="shared" si="74"/>
        <v>0</v>
      </c>
      <c r="BY60" s="17">
        <f t="shared" si="74"/>
        <v>0</v>
      </c>
      <c r="BZ60" s="17">
        <f t="shared" si="74"/>
        <v>0</v>
      </c>
      <c r="CA60" s="17">
        <f t="shared" si="74"/>
        <v>140888</v>
      </c>
      <c r="CB60" s="17">
        <f t="shared" si="74"/>
        <v>140888</v>
      </c>
      <c r="CC60" s="17">
        <f t="shared" si="74"/>
        <v>140888</v>
      </c>
      <c r="CD60" s="17">
        <f t="shared" si="74"/>
        <v>0</v>
      </c>
      <c r="CE60" s="17">
        <f t="shared" si="74"/>
        <v>140888</v>
      </c>
      <c r="CF60" s="17">
        <f t="shared" si="74"/>
        <v>0</v>
      </c>
      <c r="CG60" s="17">
        <f t="shared" si="74"/>
        <v>0</v>
      </c>
      <c r="CH60" s="17">
        <f t="shared" si="74"/>
        <v>0</v>
      </c>
      <c r="CI60" s="17">
        <f t="shared" si="74"/>
        <v>0</v>
      </c>
      <c r="CJ60" s="17">
        <f t="shared" si="74"/>
        <v>0</v>
      </c>
      <c r="CK60" s="17">
        <f t="shared" si="74"/>
        <v>0</v>
      </c>
      <c r="CL60" s="17">
        <f t="shared" si="74"/>
        <v>0</v>
      </c>
      <c r="CM60" s="17">
        <f t="shared" si="74"/>
        <v>0</v>
      </c>
      <c r="CN60" s="17">
        <f t="shared" si="74"/>
        <v>0</v>
      </c>
      <c r="CO60" s="64"/>
      <c r="CP60" s="64"/>
      <c r="CQ60" s="64"/>
      <c r="CR60" s="64"/>
      <c r="CS60" s="51"/>
      <c r="GP60" s="68"/>
    </row>
    <row r="61" spans="1:198" s="68" customFormat="1" ht="31.2" x14ac:dyDescent="0.3">
      <c r="A61" s="92" t="s">
        <v>1</v>
      </c>
      <c r="B61" s="62" t="s">
        <v>98</v>
      </c>
      <c r="C61" s="63" t="s">
        <v>473</v>
      </c>
      <c r="D61" s="65">
        <f>SUM(E61+CA61)</f>
        <v>31109357</v>
      </c>
      <c r="E61" s="65">
        <f>SUM(F61+BA61)</f>
        <v>30968469</v>
      </c>
      <c r="F61" s="65">
        <f>SUM(G61+H61+I61+P61+S61+T61+U61+AE61+AD61)</f>
        <v>30968469</v>
      </c>
      <c r="G61" s="66">
        <v>25380271</v>
      </c>
      <c r="H61" s="66">
        <v>3349246</v>
      </c>
      <c r="I61" s="65">
        <f t="shared" si="9"/>
        <v>464917</v>
      </c>
      <c r="J61" s="66">
        <v>0</v>
      </c>
      <c r="K61" s="66"/>
      <c r="L61" s="66"/>
      <c r="M61" s="66"/>
      <c r="N61" s="66">
        <f>350000-47661</f>
        <v>302339</v>
      </c>
      <c r="O61" s="66">
        <f>325163-162585</f>
        <v>162578</v>
      </c>
      <c r="P61" s="65">
        <f t="shared" si="10"/>
        <v>0</v>
      </c>
      <c r="Q61" s="66">
        <v>0</v>
      </c>
      <c r="R61" s="66">
        <v>0</v>
      </c>
      <c r="S61" s="66">
        <v>0</v>
      </c>
      <c r="T61" s="66">
        <f>307545+90000</f>
        <v>397545</v>
      </c>
      <c r="U61" s="65">
        <f>SUM(V61:AC61)</f>
        <v>638569</v>
      </c>
      <c r="V61" s="66">
        <v>80000</v>
      </c>
      <c r="W61" s="66">
        <f>92195+67147</f>
        <v>159342</v>
      </c>
      <c r="X61" s="66">
        <f>101991+146338</f>
        <v>248329</v>
      </c>
      <c r="Y61" s="66">
        <f>29374+6606</f>
        <v>35980</v>
      </c>
      <c r="Z61" s="66">
        <f>10500-500</f>
        <v>10000</v>
      </c>
      <c r="AA61" s="66">
        <v>0</v>
      </c>
      <c r="AB61" s="66">
        <v>0</v>
      </c>
      <c r="AC61" s="66">
        <f>29049+75869</f>
        <v>104918</v>
      </c>
      <c r="AD61" s="65">
        <v>0</v>
      </c>
      <c r="AE61" s="65">
        <f>SUM(AF61:AZ61)</f>
        <v>737921</v>
      </c>
      <c r="AF61" s="65">
        <v>0</v>
      </c>
      <c r="AG61" s="65">
        <v>0</v>
      </c>
      <c r="AH61" s="66">
        <v>10000</v>
      </c>
      <c r="AI61" s="66">
        <f>115000-54772</f>
        <v>60228</v>
      </c>
      <c r="AJ61" s="66">
        <v>0</v>
      </c>
      <c r="AK61" s="66">
        <f>3000-937</f>
        <v>2063</v>
      </c>
      <c r="AL61" s="66">
        <v>0</v>
      </c>
      <c r="AM61" s="66">
        <f>1500-995</f>
        <v>505</v>
      </c>
      <c r="AN61" s="66">
        <f>55000-8030</f>
        <v>46970</v>
      </c>
      <c r="AO61" s="66">
        <v>5238</v>
      </c>
      <c r="AP61" s="66">
        <v>0</v>
      </c>
      <c r="AQ61" s="66">
        <v>0</v>
      </c>
      <c r="AR61" s="66">
        <f>643347-39430</f>
        <v>603917</v>
      </c>
      <c r="AS61" s="66">
        <v>0</v>
      </c>
      <c r="AT61" s="66">
        <v>0</v>
      </c>
      <c r="AU61" s="66">
        <v>0</v>
      </c>
      <c r="AV61" s="66">
        <v>0</v>
      </c>
      <c r="AW61" s="66">
        <v>0</v>
      </c>
      <c r="AX61" s="66">
        <v>6500</v>
      </c>
      <c r="AY61" s="66">
        <v>0</v>
      </c>
      <c r="AZ61" s="66">
        <f>5000-2500</f>
        <v>2500</v>
      </c>
      <c r="BA61" s="65">
        <f>SUM(BB61+BF61+BJ61+BL61+BO61)</f>
        <v>0</v>
      </c>
      <c r="BB61" s="65">
        <f>SUM(BC61:BE61)</f>
        <v>0</v>
      </c>
      <c r="BC61" s="65">
        <v>0</v>
      </c>
      <c r="BD61" s="65">
        <v>0</v>
      </c>
      <c r="BE61" s="65">
        <v>0</v>
      </c>
      <c r="BF61" s="65">
        <f>SUM(BG61:BI61)</f>
        <v>0</v>
      </c>
      <c r="BG61" s="65">
        <v>0</v>
      </c>
      <c r="BH61" s="65">
        <v>0</v>
      </c>
      <c r="BI61" s="65">
        <v>0</v>
      </c>
      <c r="BJ61" s="65">
        <v>0</v>
      </c>
      <c r="BK61" s="65">
        <v>0</v>
      </c>
      <c r="BL61" s="65">
        <f t="shared" si="11"/>
        <v>0</v>
      </c>
      <c r="BM61" s="65">
        <v>0</v>
      </c>
      <c r="BN61" s="65">
        <v>0</v>
      </c>
      <c r="BO61" s="65">
        <f>SUM(BP61:BZ61)</f>
        <v>0</v>
      </c>
      <c r="BP61" s="65">
        <v>0</v>
      </c>
      <c r="BQ61" s="65">
        <v>0</v>
      </c>
      <c r="BR61" s="65">
        <v>0</v>
      </c>
      <c r="BS61" s="65">
        <v>0</v>
      </c>
      <c r="BT61" s="65">
        <v>0</v>
      </c>
      <c r="BU61" s="65">
        <v>0</v>
      </c>
      <c r="BV61" s="65">
        <v>0</v>
      </c>
      <c r="BW61" s="65">
        <v>0</v>
      </c>
      <c r="BX61" s="65">
        <v>0</v>
      </c>
      <c r="BY61" s="65">
        <v>0</v>
      </c>
      <c r="BZ61" s="65">
        <v>0</v>
      </c>
      <c r="CA61" s="65">
        <f>SUM(CB61+CN61)</f>
        <v>140888</v>
      </c>
      <c r="CB61" s="65">
        <f>SUM(CC61+CF61+CK61)</f>
        <v>140888</v>
      </c>
      <c r="CC61" s="65">
        <f t="shared" si="12"/>
        <v>140888</v>
      </c>
      <c r="CD61" s="65">
        <v>0</v>
      </c>
      <c r="CE61" s="66">
        <f>800000-659112</f>
        <v>140888</v>
      </c>
      <c r="CF61" s="65">
        <f>SUM(CG61:CJ61)</f>
        <v>0</v>
      </c>
      <c r="CG61" s="65">
        <v>0</v>
      </c>
      <c r="CH61" s="65">
        <v>0</v>
      </c>
      <c r="CI61" s="65">
        <v>0</v>
      </c>
      <c r="CJ61" s="65">
        <v>0</v>
      </c>
      <c r="CK61" s="65">
        <f>SUM(CL61:CM61)</f>
        <v>0</v>
      </c>
      <c r="CL61" s="65"/>
      <c r="CM61" s="66"/>
      <c r="CN61" s="65">
        <v>0</v>
      </c>
      <c r="CO61" s="65"/>
      <c r="CP61" s="65"/>
      <c r="CQ61" s="65"/>
      <c r="CR61" s="65"/>
      <c r="GP61" s="52"/>
    </row>
    <row r="62" spans="1:198" s="52" customFormat="1" ht="15.6" x14ac:dyDescent="0.3">
      <c r="A62" s="89" t="s">
        <v>99</v>
      </c>
      <c r="B62" s="15" t="s">
        <v>1</v>
      </c>
      <c r="C62" s="16" t="s">
        <v>100</v>
      </c>
      <c r="D62" s="17">
        <f t="shared" ref="D62:AK62" si="76">SUM(D63)</f>
        <v>6683086</v>
      </c>
      <c r="E62" s="17">
        <f t="shared" si="76"/>
        <v>6679086</v>
      </c>
      <c r="F62" s="17">
        <f t="shared" si="76"/>
        <v>6659199</v>
      </c>
      <c r="G62" s="17">
        <f t="shared" si="76"/>
        <v>5536651</v>
      </c>
      <c r="H62" s="17">
        <f t="shared" si="76"/>
        <v>542012</v>
      </c>
      <c r="I62" s="17">
        <f t="shared" si="76"/>
        <v>203685</v>
      </c>
      <c r="J62" s="17">
        <f t="shared" si="76"/>
        <v>0</v>
      </c>
      <c r="K62" s="17">
        <f t="shared" si="76"/>
        <v>0</v>
      </c>
      <c r="L62" s="17">
        <f t="shared" si="76"/>
        <v>0</v>
      </c>
      <c r="M62" s="17">
        <f t="shared" si="76"/>
        <v>0</v>
      </c>
      <c r="N62" s="17">
        <f t="shared" si="76"/>
        <v>175497</v>
      </c>
      <c r="O62" s="17">
        <f t="shared" si="76"/>
        <v>28188</v>
      </c>
      <c r="P62" s="17">
        <f t="shared" si="76"/>
        <v>0</v>
      </c>
      <c r="Q62" s="17">
        <f t="shared" si="76"/>
        <v>0</v>
      </c>
      <c r="R62" s="17">
        <f t="shared" si="76"/>
        <v>0</v>
      </c>
      <c r="S62" s="17">
        <f t="shared" si="76"/>
        <v>0</v>
      </c>
      <c r="T62" s="17">
        <f t="shared" si="76"/>
        <v>65000</v>
      </c>
      <c r="U62" s="17">
        <f t="shared" si="76"/>
        <v>124906</v>
      </c>
      <c r="V62" s="17">
        <f t="shared" si="76"/>
        <v>22889</v>
      </c>
      <c r="W62" s="17">
        <f t="shared" si="76"/>
        <v>0</v>
      </c>
      <c r="X62" s="17">
        <f t="shared" si="76"/>
        <v>71341</v>
      </c>
      <c r="Y62" s="17">
        <f t="shared" si="76"/>
        <v>4426</v>
      </c>
      <c r="Z62" s="17">
        <f t="shared" si="76"/>
        <v>0</v>
      </c>
      <c r="AA62" s="17">
        <f t="shared" si="76"/>
        <v>0</v>
      </c>
      <c r="AB62" s="17">
        <f t="shared" si="76"/>
        <v>0</v>
      </c>
      <c r="AC62" s="17">
        <f t="shared" si="76"/>
        <v>26250</v>
      </c>
      <c r="AD62" s="17">
        <f t="shared" si="76"/>
        <v>0</v>
      </c>
      <c r="AE62" s="17">
        <f t="shared" si="76"/>
        <v>186945</v>
      </c>
      <c r="AF62" s="17">
        <f t="shared" si="76"/>
        <v>0</v>
      </c>
      <c r="AG62" s="17">
        <f t="shared" si="76"/>
        <v>0</v>
      </c>
      <c r="AH62" s="17">
        <f t="shared" si="76"/>
        <v>11250</v>
      </c>
      <c r="AI62" s="17">
        <f t="shared" si="76"/>
        <v>3681</v>
      </c>
      <c r="AJ62" s="17">
        <f t="shared" si="76"/>
        <v>0</v>
      </c>
      <c r="AK62" s="17">
        <f t="shared" si="76"/>
        <v>1875</v>
      </c>
      <c r="AL62" s="17">
        <f t="shared" si="75"/>
        <v>0</v>
      </c>
      <c r="AM62" s="17">
        <f t="shared" si="75"/>
        <v>225</v>
      </c>
      <c r="AN62" s="17">
        <f t="shared" si="75"/>
        <v>0</v>
      </c>
      <c r="AO62" s="17">
        <f t="shared" si="75"/>
        <v>33756</v>
      </c>
      <c r="AP62" s="17">
        <f t="shared" si="75"/>
        <v>0</v>
      </c>
      <c r="AQ62" s="17">
        <f t="shared" si="75"/>
        <v>0</v>
      </c>
      <c r="AR62" s="17">
        <f t="shared" si="75"/>
        <v>34621</v>
      </c>
      <c r="AS62" s="17">
        <f t="shared" si="75"/>
        <v>10137</v>
      </c>
      <c r="AT62" s="17"/>
      <c r="AU62" s="17"/>
      <c r="AV62" s="17">
        <f t="shared" si="75"/>
        <v>0</v>
      </c>
      <c r="AW62" s="17">
        <f t="shared" si="75"/>
        <v>0</v>
      </c>
      <c r="AX62" s="17">
        <f t="shared" si="75"/>
        <v>56400</v>
      </c>
      <c r="AY62" s="17"/>
      <c r="AZ62" s="17">
        <f t="shared" si="75"/>
        <v>35000</v>
      </c>
      <c r="BA62" s="17">
        <f t="shared" si="75"/>
        <v>19887</v>
      </c>
      <c r="BB62" s="17">
        <f t="shared" si="75"/>
        <v>0</v>
      </c>
      <c r="BC62" s="17">
        <f t="shared" si="75"/>
        <v>0</v>
      </c>
      <c r="BD62" s="17">
        <f t="shared" si="75"/>
        <v>0</v>
      </c>
      <c r="BE62" s="17">
        <f t="shared" si="75"/>
        <v>0</v>
      </c>
      <c r="BF62" s="17">
        <f t="shared" si="75"/>
        <v>0</v>
      </c>
      <c r="BG62" s="17">
        <f t="shared" si="75"/>
        <v>0</v>
      </c>
      <c r="BH62" s="17">
        <f t="shared" si="75"/>
        <v>0</v>
      </c>
      <c r="BI62" s="17">
        <f t="shared" si="75"/>
        <v>0</v>
      </c>
      <c r="BJ62" s="17">
        <f t="shared" si="75"/>
        <v>0</v>
      </c>
      <c r="BK62" s="17">
        <f t="shared" si="75"/>
        <v>0</v>
      </c>
      <c r="BL62" s="17">
        <f t="shared" si="75"/>
        <v>0</v>
      </c>
      <c r="BM62" s="17">
        <f t="shared" si="75"/>
        <v>0</v>
      </c>
      <c r="BN62" s="17">
        <f t="shared" si="75"/>
        <v>0</v>
      </c>
      <c r="BO62" s="17">
        <f t="shared" si="75"/>
        <v>19887</v>
      </c>
      <c r="BP62" s="17">
        <f t="shared" si="75"/>
        <v>0</v>
      </c>
      <c r="BQ62" s="17">
        <f t="shared" si="75"/>
        <v>0</v>
      </c>
      <c r="BR62" s="17">
        <f t="shared" si="75"/>
        <v>0</v>
      </c>
      <c r="BS62" s="17">
        <f t="shared" si="75"/>
        <v>0</v>
      </c>
      <c r="BT62" s="17">
        <f t="shared" si="75"/>
        <v>0</v>
      </c>
      <c r="BU62" s="17">
        <f t="shared" si="75"/>
        <v>0</v>
      </c>
      <c r="BV62" s="17">
        <f t="shared" si="75"/>
        <v>0</v>
      </c>
      <c r="BW62" s="17">
        <f t="shared" si="75"/>
        <v>0</v>
      </c>
      <c r="BX62" s="17">
        <f t="shared" si="75"/>
        <v>0</v>
      </c>
      <c r="BY62" s="17">
        <f t="shared" si="75"/>
        <v>19887</v>
      </c>
      <c r="BZ62" s="17">
        <f t="shared" si="75"/>
        <v>0</v>
      </c>
      <c r="CA62" s="17">
        <f t="shared" si="75"/>
        <v>4000</v>
      </c>
      <c r="CB62" s="17">
        <f t="shared" si="75"/>
        <v>4000</v>
      </c>
      <c r="CC62" s="17">
        <f t="shared" si="75"/>
        <v>4000</v>
      </c>
      <c r="CD62" s="17">
        <f t="shared" si="75"/>
        <v>0</v>
      </c>
      <c r="CE62" s="17">
        <f t="shared" si="75"/>
        <v>4000</v>
      </c>
      <c r="CF62" s="17">
        <f t="shared" si="75"/>
        <v>0</v>
      </c>
      <c r="CG62" s="17">
        <f t="shared" si="75"/>
        <v>0</v>
      </c>
      <c r="CH62" s="17">
        <f t="shared" si="75"/>
        <v>0</v>
      </c>
      <c r="CI62" s="17">
        <f t="shared" si="75"/>
        <v>0</v>
      </c>
      <c r="CJ62" s="17">
        <f t="shared" si="75"/>
        <v>0</v>
      </c>
      <c r="CK62" s="17">
        <f t="shared" si="75"/>
        <v>0</v>
      </c>
      <c r="CL62" s="17">
        <f t="shared" si="75"/>
        <v>0</v>
      </c>
      <c r="CM62" s="17">
        <f t="shared" si="75"/>
        <v>0</v>
      </c>
      <c r="CN62" s="17">
        <f t="shared" si="75"/>
        <v>0</v>
      </c>
      <c r="CO62" s="64"/>
      <c r="CP62" s="64"/>
      <c r="CQ62" s="64"/>
      <c r="CR62" s="64"/>
      <c r="CS62" s="51"/>
      <c r="GP62" s="68"/>
    </row>
    <row r="63" spans="1:198" s="68" customFormat="1" ht="15.6" x14ac:dyDescent="0.3">
      <c r="A63" s="92" t="s">
        <v>1</v>
      </c>
      <c r="B63" s="62" t="s">
        <v>101</v>
      </c>
      <c r="C63" s="63" t="s">
        <v>102</v>
      </c>
      <c r="D63" s="65">
        <f>SUM(E63+CA63)</f>
        <v>6683086</v>
      </c>
      <c r="E63" s="65">
        <f>SUM(F63+BA63)</f>
        <v>6679086</v>
      </c>
      <c r="F63" s="65">
        <f>SUM(G63+H63+I63+P63+S63+T63+U63+AE63+AD63)</f>
        <v>6659199</v>
      </c>
      <c r="G63" s="66">
        <f>4838651+698000</f>
        <v>5536651</v>
      </c>
      <c r="H63" s="66">
        <v>542012</v>
      </c>
      <c r="I63" s="65">
        <f t="shared" si="9"/>
        <v>203685</v>
      </c>
      <c r="J63" s="66">
        <v>0</v>
      </c>
      <c r="K63" s="65">
        <v>0</v>
      </c>
      <c r="L63" s="65">
        <v>0</v>
      </c>
      <c r="M63" s="65">
        <v>0</v>
      </c>
      <c r="N63" s="66">
        <f>334240-158743</f>
        <v>175497</v>
      </c>
      <c r="O63" s="66">
        <f>56377-28189</f>
        <v>28188</v>
      </c>
      <c r="P63" s="65">
        <f t="shared" si="10"/>
        <v>0</v>
      </c>
      <c r="Q63" s="65">
        <v>0</v>
      </c>
      <c r="R63" s="65">
        <v>0</v>
      </c>
      <c r="S63" s="65">
        <v>0</v>
      </c>
      <c r="T63" s="66">
        <f>87069-22069</f>
        <v>65000</v>
      </c>
      <c r="U63" s="65">
        <f>SUM(V63:AC63)</f>
        <v>124906</v>
      </c>
      <c r="V63" s="66">
        <v>22889</v>
      </c>
      <c r="W63" s="66">
        <v>0</v>
      </c>
      <c r="X63" s="66">
        <f>32944+38397</f>
        <v>71341</v>
      </c>
      <c r="Y63" s="66">
        <f>3780+646</f>
        <v>4426</v>
      </c>
      <c r="Z63" s="66">
        <v>0</v>
      </c>
      <c r="AA63" s="66">
        <v>0</v>
      </c>
      <c r="AB63" s="66">
        <v>0</v>
      </c>
      <c r="AC63" s="66">
        <f>9187+17063</f>
        <v>26250</v>
      </c>
      <c r="AD63" s="65">
        <v>0</v>
      </c>
      <c r="AE63" s="65">
        <f>SUM(AF63:AZ63)</f>
        <v>186945</v>
      </c>
      <c r="AF63" s="65">
        <v>0</v>
      </c>
      <c r="AG63" s="65">
        <v>0</v>
      </c>
      <c r="AH63" s="66">
        <v>11250</v>
      </c>
      <c r="AI63" s="66">
        <f>26250-22569</f>
        <v>3681</v>
      </c>
      <c r="AJ63" s="66">
        <v>0</v>
      </c>
      <c r="AK63" s="66">
        <f>3750-1875</f>
        <v>1875</v>
      </c>
      <c r="AL63" s="66">
        <v>0</v>
      </c>
      <c r="AM63" s="66">
        <f>450-225</f>
        <v>225</v>
      </c>
      <c r="AN63" s="66">
        <v>0</v>
      </c>
      <c r="AO63" s="66">
        <v>33756</v>
      </c>
      <c r="AP63" s="66">
        <v>0</v>
      </c>
      <c r="AQ63" s="66">
        <v>0</v>
      </c>
      <c r="AR63" s="66">
        <f>46994-12373</f>
        <v>34621</v>
      </c>
      <c r="AS63" s="66">
        <v>10137</v>
      </c>
      <c r="AT63" s="66">
        <v>0</v>
      </c>
      <c r="AU63" s="66">
        <v>0</v>
      </c>
      <c r="AV63" s="66">
        <v>0</v>
      </c>
      <c r="AW63" s="66">
        <v>0</v>
      </c>
      <c r="AX63" s="66">
        <v>56400</v>
      </c>
      <c r="AY63" s="66">
        <v>0</v>
      </c>
      <c r="AZ63" s="66">
        <f>70000-35000</f>
        <v>35000</v>
      </c>
      <c r="BA63" s="65">
        <f>SUM(BB63+BF63+BJ63+BL63+BO63)</f>
        <v>19887</v>
      </c>
      <c r="BB63" s="65">
        <f>SUM(BC63:BE63)</f>
        <v>0</v>
      </c>
      <c r="BC63" s="65">
        <v>0</v>
      </c>
      <c r="BD63" s="65">
        <v>0</v>
      </c>
      <c r="BE63" s="65">
        <v>0</v>
      </c>
      <c r="BF63" s="65">
        <f>SUM(BG63:BI63)</f>
        <v>0</v>
      </c>
      <c r="BG63" s="65">
        <v>0</v>
      </c>
      <c r="BH63" s="65">
        <v>0</v>
      </c>
      <c r="BI63" s="65">
        <v>0</v>
      </c>
      <c r="BJ63" s="65">
        <v>0</v>
      </c>
      <c r="BK63" s="65">
        <v>0</v>
      </c>
      <c r="BL63" s="65">
        <f t="shared" si="11"/>
        <v>0</v>
      </c>
      <c r="BM63" s="65">
        <v>0</v>
      </c>
      <c r="BN63" s="65">
        <v>0</v>
      </c>
      <c r="BO63" s="65">
        <f>SUM(BP63:BZ63)</f>
        <v>19887</v>
      </c>
      <c r="BP63" s="65">
        <v>0</v>
      </c>
      <c r="BQ63" s="65">
        <v>0</v>
      </c>
      <c r="BR63" s="65">
        <v>0</v>
      </c>
      <c r="BS63" s="65">
        <v>0</v>
      </c>
      <c r="BT63" s="65">
        <v>0</v>
      </c>
      <c r="BU63" s="65">
        <v>0</v>
      </c>
      <c r="BV63" s="65">
        <v>0</v>
      </c>
      <c r="BW63" s="65">
        <v>0</v>
      </c>
      <c r="BX63" s="65">
        <v>0</v>
      </c>
      <c r="BY63" s="65">
        <f>27605-7718</f>
        <v>19887</v>
      </c>
      <c r="BZ63" s="65">
        <v>0</v>
      </c>
      <c r="CA63" s="65">
        <f>SUM(CB63+CN63)</f>
        <v>4000</v>
      </c>
      <c r="CB63" s="65">
        <f>SUM(CC63+CF63+CK63)</f>
        <v>4000</v>
      </c>
      <c r="CC63" s="65">
        <f t="shared" si="12"/>
        <v>4000</v>
      </c>
      <c r="CD63" s="65">
        <v>0</v>
      </c>
      <c r="CE63" s="66">
        <f>20000-16000</f>
        <v>4000</v>
      </c>
      <c r="CF63" s="65">
        <f>SUM(CG63:CJ63)</f>
        <v>0</v>
      </c>
      <c r="CG63" s="65">
        <v>0</v>
      </c>
      <c r="CH63" s="65">
        <v>0</v>
      </c>
      <c r="CI63" s="65">
        <v>0</v>
      </c>
      <c r="CJ63" s="65">
        <v>0</v>
      </c>
      <c r="CK63" s="65">
        <f>SUM(CL63:CM63)</f>
        <v>0</v>
      </c>
      <c r="CL63" s="65">
        <v>0</v>
      </c>
      <c r="CM63" s="65">
        <v>0</v>
      </c>
      <c r="CN63" s="65">
        <v>0</v>
      </c>
      <c r="CO63" s="65"/>
      <c r="CP63" s="65"/>
      <c r="CQ63" s="65"/>
      <c r="CR63" s="65"/>
      <c r="GP63" s="52"/>
    </row>
    <row r="64" spans="1:198" s="52" customFormat="1" ht="15.6" x14ac:dyDescent="0.3">
      <c r="A64" s="89" t="s">
        <v>103</v>
      </c>
      <c r="B64" s="15" t="s">
        <v>1</v>
      </c>
      <c r="C64" s="16" t="s">
        <v>474</v>
      </c>
      <c r="D64" s="17">
        <f t="shared" ref="D64:AK64" si="77">SUM(D65)</f>
        <v>741177</v>
      </c>
      <c r="E64" s="17">
        <f t="shared" si="77"/>
        <v>741177</v>
      </c>
      <c r="F64" s="17">
        <f t="shared" si="77"/>
        <v>741177</v>
      </c>
      <c r="G64" s="17">
        <f t="shared" si="77"/>
        <v>0</v>
      </c>
      <c r="H64" s="17">
        <f t="shared" si="77"/>
        <v>0</v>
      </c>
      <c r="I64" s="17">
        <f t="shared" si="77"/>
        <v>0</v>
      </c>
      <c r="J64" s="17">
        <f t="shared" si="77"/>
        <v>0</v>
      </c>
      <c r="K64" s="17">
        <f t="shared" si="77"/>
        <v>0</v>
      </c>
      <c r="L64" s="17">
        <f t="shared" si="77"/>
        <v>0</v>
      </c>
      <c r="M64" s="17">
        <f t="shared" si="77"/>
        <v>0</v>
      </c>
      <c r="N64" s="17">
        <f t="shared" si="77"/>
        <v>0</v>
      </c>
      <c r="O64" s="17">
        <f t="shared" si="77"/>
        <v>0</v>
      </c>
      <c r="P64" s="17">
        <f t="shared" si="77"/>
        <v>0</v>
      </c>
      <c r="Q64" s="17">
        <f t="shared" si="77"/>
        <v>0</v>
      </c>
      <c r="R64" s="17">
        <f t="shared" si="77"/>
        <v>0</v>
      </c>
      <c r="S64" s="17">
        <f t="shared" si="77"/>
        <v>0</v>
      </c>
      <c r="T64" s="17">
        <f t="shared" si="77"/>
        <v>0</v>
      </c>
      <c r="U64" s="17">
        <f t="shared" si="77"/>
        <v>0</v>
      </c>
      <c r="V64" s="17">
        <f t="shared" si="77"/>
        <v>0</v>
      </c>
      <c r="W64" s="17">
        <f t="shared" si="77"/>
        <v>0</v>
      </c>
      <c r="X64" s="17">
        <f t="shared" si="77"/>
        <v>0</v>
      </c>
      <c r="Y64" s="17">
        <f t="shared" si="77"/>
        <v>0</v>
      </c>
      <c r="Z64" s="17">
        <f t="shared" si="77"/>
        <v>0</v>
      </c>
      <c r="AA64" s="17">
        <f t="shared" si="77"/>
        <v>0</v>
      </c>
      <c r="AB64" s="17">
        <f t="shared" si="77"/>
        <v>0</v>
      </c>
      <c r="AC64" s="17">
        <f t="shared" si="77"/>
        <v>0</v>
      </c>
      <c r="AD64" s="17">
        <f t="shared" si="77"/>
        <v>0</v>
      </c>
      <c r="AE64" s="17">
        <f t="shared" si="77"/>
        <v>741177</v>
      </c>
      <c r="AF64" s="17">
        <f t="shared" si="77"/>
        <v>0</v>
      </c>
      <c r="AG64" s="17">
        <f t="shared" si="77"/>
        <v>0</v>
      </c>
      <c r="AH64" s="17">
        <f t="shared" si="77"/>
        <v>0</v>
      </c>
      <c r="AI64" s="17">
        <f t="shared" si="77"/>
        <v>0</v>
      </c>
      <c r="AJ64" s="17">
        <f t="shared" si="77"/>
        <v>0</v>
      </c>
      <c r="AK64" s="17">
        <f t="shared" si="77"/>
        <v>0</v>
      </c>
      <c r="AL64" s="17">
        <f t="shared" ref="AL64:CN64" si="78">SUM(AL65)</f>
        <v>0</v>
      </c>
      <c r="AM64" s="17">
        <f t="shared" si="78"/>
        <v>0</v>
      </c>
      <c r="AN64" s="17">
        <f t="shared" si="78"/>
        <v>0</v>
      </c>
      <c r="AO64" s="17">
        <f t="shared" si="78"/>
        <v>0</v>
      </c>
      <c r="AP64" s="17">
        <f t="shared" si="78"/>
        <v>0</v>
      </c>
      <c r="AQ64" s="17">
        <f t="shared" si="78"/>
        <v>0</v>
      </c>
      <c r="AR64" s="17">
        <f t="shared" si="78"/>
        <v>0</v>
      </c>
      <c r="AS64" s="17">
        <f t="shared" si="78"/>
        <v>0</v>
      </c>
      <c r="AT64" s="17">
        <f t="shared" si="78"/>
        <v>738677</v>
      </c>
      <c r="AU64" s="17">
        <f t="shared" si="78"/>
        <v>0</v>
      </c>
      <c r="AV64" s="17">
        <f t="shared" si="78"/>
        <v>0</v>
      </c>
      <c r="AW64" s="17">
        <f t="shared" si="78"/>
        <v>0</v>
      </c>
      <c r="AX64" s="17">
        <f t="shared" si="78"/>
        <v>0</v>
      </c>
      <c r="AY64" s="17"/>
      <c r="AZ64" s="17">
        <f t="shared" si="78"/>
        <v>2500</v>
      </c>
      <c r="BA64" s="17">
        <f t="shared" si="78"/>
        <v>0</v>
      </c>
      <c r="BB64" s="17">
        <f t="shared" si="78"/>
        <v>0</v>
      </c>
      <c r="BC64" s="17">
        <f t="shared" si="78"/>
        <v>0</v>
      </c>
      <c r="BD64" s="17">
        <f t="shared" si="78"/>
        <v>0</v>
      </c>
      <c r="BE64" s="17">
        <f t="shared" si="78"/>
        <v>0</v>
      </c>
      <c r="BF64" s="17">
        <f t="shared" si="78"/>
        <v>0</v>
      </c>
      <c r="BG64" s="17">
        <f t="shared" si="78"/>
        <v>0</v>
      </c>
      <c r="BH64" s="17">
        <f t="shared" si="78"/>
        <v>0</v>
      </c>
      <c r="BI64" s="17">
        <f t="shared" si="78"/>
        <v>0</v>
      </c>
      <c r="BJ64" s="17">
        <f t="shared" si="78"/>
        <v>0</v>
      </c>
      <c r="BK64" s="17">
        <f t="shared" si="78"/>
        <v>0</v>
      </c>
      <c r="BL64" s="17">
        <f t="shared" si="78"/>
        <v>0</v>
      </c>
      <c r="BM64" s="17">
        <f t="shared" si="78"/>
        <v>0</v>
      </c>
      <c r="BN64" s="17">
        <f t="shared" si="78"/>
        <v>0</v>
      </c>
      <c r="BO64" s="17">
        <f t="shared" si="78"/>
        <v>0</v>
      </c>
      <c r="BP64" s="17">
        <f t="shared" si="78"/>
        <v>0</v>
      </c>
      <c r="BQ64" s="17">
        <f t="shared" si="78"/>
        <v>0</v>
      </c>
      <c r="BR64" s="17">
        <f t="shared" si="78"/>
        <v>0</v>
      </c>
      <c r="BS64" s="17">
        <f t="shared" si="78"/>
        <v>0</v>
      </c>
      <c r="BT64" s="17">
        <f t="shared" si="78"/>
        <v>0</v>
      </c>
      <c r="BU64" s="17">
        <f t="shared" si="78"/>
        <v>0</v>
      </c>
      <c r="BV64" s="17">
        <f t="shared" si="78"/>
        <v>0</v>
      </c>
      <c r="BW64" s="17">
        <f t="shared" si="78"/>
        <v>0</v>
      </c>
      <c r="BX64" s="17">
        <f t="shared" si="78"/>
        <v>0</v>
      </c>
      <c r="BY64" s="17">
        <f t="shared" si="78"/>
        <v>0</v>
      </c>
      <c r="BZ64" s="17">
        <f t="shared" si="78"/>
        <v>0</v>
      </c>
      <c r="CA64" s="17">
        <f t="shared" si="78"/>
        <v>0</v>
      </c>
      <c r="CB64" s="17">
        <f t="shared" si="78"/>
        <v>0</v>
      </c>
      <c r="CC64" s="17">
        <f t="shared" si="78"/>
        <v>0</v>
      </c>
      <c r="CD64" s="17">
        <f t="shared" si="78"/>
        <v>0</v>
      </c>
      <c r="CE64" s="17">
        <f t="shared" si="78"/>
        <v>0</v>
      </c>
      <c r="CF64" s="17">
        <f t="shared" si="78"/>
        <v>0</v>
      </c>
      <c r="CG64" s="17">
        <f t="shared" si="78"/>
        <v>0</v>
      </c>
      <c r="CH64" s="17">
        <f t="shared" si="78"/>
        <v>0</v>
      </c>
      <c r="CI64" s="17">
        <f t="shared" si="78"/>
        <v>0</v>
      </c>
      <c r="CJ64" s="17">
        <f t="shared" si="78"/>
        <v>0</v>
      </c>
      <c r="CK64" s="17">
        <f t="shared" si="78"/>
        <v>0</v>
      </c>
      <c r="CL64" s="17">
        <f t="shared" si="78"/>
        <v>0</v>
      </c>
      <c r="CM64" s="17">
        <f t="shared" si="78"/>
        <v>0</v>
      </c>
      <c r="CN64" s="17">
        <f t="shared" si="78"/>
        <v>0</v>
      </c>
      <c r="CO64" s="64"/>
      <c r="CP64" s="64"/>
      <c r="CQ64" s="64"/>
      <c r="CR64" s="64"/>
      <c r="CS64" s="51"/>
      <c r="GP64" s="68"/>
    </row>
    <row r="65" spans="1:198" ht="15.6" x14ac:dyDescent="0.3">
      <c r="A65" s="90" t="s">
        <v>1</v>
      </c>
      <c r="B65" s="19" t="s">
        <v>98</v>
      </c>
      <c r="C65" s="20" t="s">
        <v>104</v>
      </c>
      <c r="D65" s="18">
        <f>SUM(E65+CA65)</f>
        <v>741177</v>
      </c>
      <c r="E65" s="18">
        <f>SUM(F65+BA65)</f>
        <v>741177</v>
      </c>
      <c r="F65" s="18">
        <f>SUM(G65+H65+I65+P65+S65+T65+U65+AE65+AD65)</f>
        <v>741177</v>
      </c>
      <c r="G65" s="18">
        <v>0</v>
      </c>
      <c r="H65" s="18">
        <v>0</v>
      </c>
      <c r="I65" s="18">
        <f t="shared" si="9"/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f t="shared" si="10"/>
        <v>0</v>
      </c>
      <c r="Q65" s="18">
        <v>0</v>
      </c>
      <c r="R65" s="18">
        <v>0</v>
      </c>
      <c r="S65" s="18">
        <v>0</v>
      </c>
      <c r="T65" s="18">
        <v>0</v>
      </c>
      <c r="U65" s="18">
        <f>SUM(V65:AC65)</f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f>SUM(AF65:AZ65)</f>
        <v>741177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0</v>
      </c>
      <c r="AQ65" s="18">
        <v>0</v>
      </c>
      <c r="AR65" s="18">
        <v>0</v>
      </c>
      <c r="AS65" s="18">
        <v>0</v>
      </c>
      <c r="AT65" s="18">
        <f>563649+175028</f>
        <v>738677</v>
      </c>
      <c r="AU65" s="18">
        <v>0</v>
      </c>
      <c r="AV65" s="18">
        <v>0</v>
      </c>
      <c r="AW65" s="18">
        <v>0</v>
      </c>
      <c r="AX65" s="18">
        <v>0</v>
      </c>
      <c r="AY65" s="18">
        <v>0</v>
      </c>
      <c r="AZ65" s="18">
        <f>5000-2500</f>
        <v>2500</v>
      </c>
      <c r="BA65" s="18">
        <f>SUM(BB65+BF65+BJ65+BL65+BO65)</f>
        <v>0</v>
      </c>
      <c r="BB65" s="18">
        <f>SUM(BC65:BE65)</f>
        <v>0</v>
      </c>
      <c r="BC65" s="18">
        <v>0</v>
      </c>
      <c r="BD65" s="18">
        <v>0</v>
      </c>
      <c r="BE65" s="18">
        <v>0</v>
      </c>
      <c r="BF65" s="18">
        <f>SUM(BG65:BI65)</f>
        <v>0</v>
      </c>
      <c r="BG65" s="18">
        <v>0</v>
      </c>
      <c r="BH65" s="18">
        <v>0</v>
      </c>
      <c r="BI65" s="18">
        <v>0</v>
      </c>
      <c r="BJ65" s="18">
        <v>0</v>
      </c>
      <c r="BK65" s="18">
        <v>0</v>
      </c>
      <c r="BL65" s="18">
        <f t="shared" si="11"/>
        <v>0</v>
      </c>
      <c r="BM65" s="18">
        <v>0</v>
      </c>
      <c r="BN65" s="18">
        <v>0</v>
      </c>
      <c r="BO65" s="18">
        <f>SUM(BP65:BZ65)</f>
        <v>0</v>
      </c>
      <c r="BP65" s="18">
        <v>0</v>
      </c>
      <c r="BQ65" s="18">
        <v>0</v>
      </c>
      <c r="BR65" s="18">
        <v>0</v>
      </c>
      <c r="BS65" s="18">
        <v>0</v>
      </c>
      <c r="BT65" s="18">
        <v>0</v>
      </c>
      <c r="BU65" s="18">
        <v>0</v>
      </c>
      <c r="BV65" s="18">
        <v>0</v>
      </c>
      <c r="BW65" s="18">
        <v>0</v>
      </c>
      <c r="BX65" s="18">
        <v>0</v>
      </c>
      <c r="BY65" s="18">
        <v>0</v>
      </c>
      <c r="BZ65" s="18">
        <v>0</v>
      </c>
      <c r="CA65" s="18">
        <f>SUM(CB65+CN65)</f>
        <v>0</v>
      </c>
      <c r="CB65" s="18">
        <f>SUM(CC65+CF65+CK65)</f>
        <v>0</v>
      </c>
      <c r="CC65" s="18">
        <f t="shared" si="12"/>
        <v>0</v>
      </c>
      <c r="CD65" s="18">
        <v>0</v>
      </c>
      <c r="CE65" s="18">
        <v>0</v>
      </c>
      <c r="CF65" s="18">
        <f>SUM(CG65:CJ65)</f>
        <v>0</v>
      </c>
      <c r="CG65" s="18">
        <v>0</v>
      </c>
      <c r="CH65" s="18">
        <v>0</v>
      </c>
      <c r="CI65" s="18">
        <v>0</v>
      </c>
      <c r="CJ65" s="18">
        <v>0</v>
      </c>
      <c r="CK65" s="18">
        <f>SUM(CL65:CM65)</f>
        <v>0</v>
      </c>
      <c r="CL65" s="18">
        <v>0</v>
      </c>
      <c r="CM65" s="18">
        <v>0</v>
      </c>
      <c r="CN65" s="18">
        <v>0</v>
      </c>
      <c r="CO65" s="65"/>
      <c r="CP65" s="65"/>
      <c r="CQ65" s="65"/>
      <c r="CR65" s="65"/>
      <c r="CS65" s="46"/>
      <c r="GP65" s="52"/>
    </row>
    <row r="66" spans="1:198" s="52" customFormat="1" ht="15.6" x14ac:dyDescent="0.3">
      <c r="A66" s="91" t="s">
        <v>105</v>
      </c>
      <c r="B66" s="23" t="s">
        <v>1</v>
      </c>
      <c r="C66" s="24" t="s">
        <v>106</v>
      </c>
      <c r="D66" s="25">
        <f>SUM(D67)</f>
        <v>4119534</v>
      </c>
      <c r="E66" s="25">
        <f t="shared" ref="E66:BN66" si="79">SUM(E67)</f>
        <v>4119534</v>
      </c>
      <c r="F66" s="25">
        <f t="shared" si="79"/>
        <v>4119534</v>
      </c>
      <c r="G66" s="25">
        <f t="shared" si="79"/>
        <v>2412907</v>
      </c>
      <c r="H66" s="25">
        <f t="shared" si="79"/>
        <v>603227</v>
      </c>
      <c r="I66" s="25">
        <f t="shared" si="79"/>
        <v>137372</v>
      </c>
      <c r="J66" s="25">
        <f t="shared" si="79"/>
        <v>0</v>
      </c>
      <c r="K66" s="25">
        <f t="shared" si="79"/>
        <v>0</v>
      </c>
      <c r="L66" s="25">
        <f t="shared" si="79"/>
        <v>0</v>
      </c>
      <c r="M66" s="25">
        <f t="shared" si="79"/>
        <v>0</v>
      </c>
      <c r="N66" s="25">
        <f t="shared" si="79"/>
        <v>115541</v>
      </c>
      <c r="O66" s="25">
        <f t="shared" si="79"/>
        <v>21831</v>
      </c>
      <c r="P66" s="25">
        <f t="shared" si="79"/>
        <v>112517</v>
      </c>
      <c r="Q66" s="25">
        <f t="shared" si="79"/>
        <v>0</v>
      </c>
      <c r="R66" s="25">
        <f t="shared" si="79"/>
        <v>112517</v>
      </c>
      <c r="S66" s="25">
        <f t="shared" si="79"/>
        <v>0</v>
      </c>
      <c r="T66" s="25">
        <f t="shared" si="79"/>
        <v>35991</v>
      </c>
      <c r="U66" s="25">
        <f t="shared" si="79"/>
        <v>563370</v>
      </c>
      <c r="V66" s="25">
        <f t="shared" si="79"/>
        <v>0</v>
      </c>
      <c r="W66" s="25">
        <f t="shared" si="79"/>
        <v>0</v>
      </c>
      <c r="X66" s="25">
        <f t="shared" si="79"/>
        <v>0</v>
      </c>
      <c r="Y66" s="25">
        <f t="shared" si="79"/>
        <v>0</v>
      </c>
      <c r="Z66" s="25">
        <f t="shared" si="79"/>
        <v>0</v>
      </c>
      <c r="AA66" s="25">
        <f t="shared" si="79"/>
        <v>563370</v>
      </c>
      <c r="AB66" s="25">
        <f t="shared" si="79"/>
        <v>0</v>
      </c>
      <c r="AC66" s="25">
        <f t="shared" si="79"/>
        <v>0</v>
      </c>
      <c r="AD66" s="25">
        <f t="shared" si="79"/>
        <v>0</v>
      </c>
      <c r="AE66" s="25">
        <f t="shared" si="79"/>
        <v>254150</v>
      </c>
      <c r="AF66" s="25">
        <f t="shared" si="79"/>
        <v>0</v>
      </c>
      <c r="AG66" s="25">
        <f t="shared" si="79"/>
        <v>0</v>
      </c>
      <c r="AH66" s="25">
        <f t="shared" si="79"/>
        <v>0</v>
      </c>
      <c r="AI66" s="25">
        <f t="shared" si="79"/>
        <v>0</v>
      </c>
      <c r="AJ66" s="25">
        <f t="shared" si="79"/>
        <v>0</v>
      </c>
      <c r="AK66" s="25">
        <f t="shared" si="79"/>
        <v>500</v>
      </c>
      <c r="AL66" s="25">
        <f t="shared" si="79"/>
        <v>0</v>
      </c>
      <c r="AM66" s="25">
        <f t="shared" si="79"/>
        <v>0</v>
      </c>
      <c r="AN66" s="25">
        <f t="shared" si="79"/>
        <v>0</v>
      </c>
      <c r="AO66" s="25">
        <f t="shared" si="79"/>
        <v>125823</v>
      </c>
      <c r="AP66" s="25">
        <f t="shared" si="79"/>
        <v>0</v>
      </c>
      <c r="AQ66" s="25">
        <f t="shared" si="79"/>
        <v>0</v>
      </c>
      <c r="AR66" s="25">
        <f t="shared" si="79"/>
        <v>0</v>
      </c>
      <c r="AS66" s="25">
        <f t="shared" si="79"/>
        <v>0</v>
      </c>
      <c r="AT66" s="25">
        <f t="shared" si="79"/>
        <v>0</v>
      </c>
      <c r="AU66" s="25">
        <f t="shared" si="79"/>
        <v>0</v>
      </c>
      <c r="AV66" s="25">
        <f t="shared" si="79"/>
        <v>0</v>
      </c>
      <c r="AW66" s="25">
        <f t="shared" si="79"/>
        <v>0</v>
      </c>
      <c r="AX66" s="25">
        <f t="shared" si="79"/>
        <v>31248</v>
      </c>
      <c r="AY66" s="25">
        <f t="shared" si="79"/>
        <v>0</v>
      </c>
      <c r="AZ66" s="25">
        <f t="shared" si="79"/>
        <v>96579</v>
      </c>
      <c r="BA66" s="25">
        <f t="shared" si="79"/>
        <v>0</v>
      </c>
      <c r="BB66" s="25">
        <f t="shared" si="79"/>
        <v>0</v>
      </c>
      <c r="BC66" s="25">
        <f t="shared" si="79"/>
        <v>0</v>
      </c>
      <c r="BD66" s="25">
        <f t="shared" si="79"/>
        <v>0</v>
      </c>
      <c r="BE66" s="25">
        <f t="shared" si="79"/>
        <v>0</v>
      </c>
      <c r="BF66" s="25">
        <f t="shared" si="79"/>
        <v>0</v>
      </c>
      <c r="BG66" s="25">
        <f t="shared" si="79"/>
        <v>0</v>
      </c>
      <c r="BH66" s="25">
        <f t="shared" si="79"/>
        <v>0</v>
      </c>
      <c r="BI66" s="25">
        <f t="shared" si="79"/>
        <v>0</v>
      </c>
      <c r="BJ66" s="25">
        <f t="shared" si="79"/>
        <v>0</v>
      </c>
      <c r="BK66" s="25">
        <f t="shared" si="79"/>
        <v>0</v>
      </c>
      <c r="BL66" s="25">
        <f t="shared" si="79"/>
        <v>0</v>
      </c>
      <c r="BM66" s="25">
        <f t="shared" si="79"/>
        <v>0</v>
      </c>
      <c r="BN66" s="25">
        <f t="shared" si="79"/>
        <v>0</v>
      </c>
      <c r="BO66" s="25">
        <f t="shared" ref="BO66:CR66" si="80">SUM(BO67)</f>
        <v>0</v>
      </c>
      <c r="BP66" s="25">
        <f t="shared" si="80"/>
        <v>0</v>
      </c>
      <c r="BQ66" s="25">
        <f t="shared" si="80"/>
        <v>0</v>
      </c>
      <c r="BR66" s="25">
        <f t="shared" si="80"/>
        <v>0</v>
      </c>
      <c r="BS66" s="25">
        <f t="shared" si="80"/>
        <v>0</v>
      </c>
      <c r="BT66" s="25">
        <f t="shared" si="80"/>
        <v>0</v>
      </c>
      <c r="BU66" s="25">
        <f t="shared" si="80"/>
        <v>0</v>
      </c>
      <c r="BV66" s="25">
        <f t="shared" si="80"/>
        <v>0</v>
      </c>
      <c r="BW66" s="25">
        <f t="shared" si="80"/>
        <v>0</v>
      </c>
      <c r="BX66" s="25">
        <f t="shared" si="80"/>
        <v>0</v>
      </c>
      <c r="BY66" s="25">
        <f t="shared" si="80"/>
        <v>0</v>
      </c>
      <c r="BZ66" s="25">
        <f t="shared" si="80"/>
        <v>0</v>
      </c>
      <c r="CA66" s="25">
        <f t="shared" si="80"/>
        <v>0</v>
      </c>
      <c r="CB66" s="25">
        <f t="shared" si="80"/>
        <v>0</v>
      </c>
      <c r="CC66" s="25">
        <f t="shared" si="80"/>
        <v>0</v>
      </c>
      <c r="CD66" s="25">
        <f t="shared" si="80"/>
        <v>0</v>
      </c>
      <c r="CE66" s="25">
        <f t="shared" si="80"/>
        <v>0</v>
      </c>
      <c r="CF66" s="25">
        <f t="shared" si="80"/>
        <v>0</v>
      </c>
      <c r="CG66" s="25">
        <f t="shared" si="80"/>
        <v>0</v>
      </c>
      <c r="CH66" s="25">
        <f t="shared" si="80"/>
        <v>0</v>
      </c>
      <c r="CI66" s="25">
        <f t="shared" si="80"/>
        <v>0</v>
      </c>
      <c r="CJ66" s="25">
        <f t="shared" si="80"/>
        <v>0</v>
      </c>
      <c r="CK66" s="25">
        <f t="shared" si="80"/>
        <v>0</v>
      </c>
      <c r="CL66" s="25">
        <f t="shared" si="80"/>
        <v>0</v>
      </c>
      <c r="CM66" s="25">
        <f t="shared" si="80"/>
        <v>0</v>
      </c>
      <c r="CN66" s="25">
        <f t="shared" si="80"/>
        <v>0</v>
      </c>
      <c r="CO66" s="25">
        <f t="shared" si="80"/>
        <v>0</v>
      </c>
      <c r="CP66" s="25">
        <f t="shared" si="80"/>
        <v>0</v>
      </c>
      <c r="CQ66" s="25">
        <f t="shared" si="80"/>
        <v>0</v>
      </c>
      <c r="CR66" s="25">
        <f t="shared" si="80"/>
        <v>0</v>
      </c>
      <c r="CS66" s="51"/>
      <c r="GP66" s="68"/>
    </row>
    <row r="67" spans="1:198" s="52" customFormat="1" ht="15.6" x14ac:dyDescent="0.3">
      <c r="A67" s="89" t="s">
        <v>107</v>
      </c>
      <c r="B67" s="15" t="s">
        <v>1</v>
      </c>
      <c r="C67" s="16" t="s">
        <v>108</v>
      </c>
      <c r="D67" s="17">
        <f t="shared" ref="D67:BR67" si="81">SUM(D68)</f>
        <v>4119534</v>
      </c>
      <c r="E67" s="17">
        <f t="shared" si="81"/>
        <v>4119534</v>
      </c>
      <c r="F67" s="17">
        <f t="shared" si="81"/>
        <v>4119534</v>
      </c>
      <c r="G67" s="17">
        <f t="shared" si="81"/>
        <v>2412907</v>
      </c>
      <c r="H67" s="17">
        <f t="shared" si="81"/>
        <v>603227</v>
      </c>
      <c r="I67" s="17">
        <f t="shared" si="81"/>
        <v>137372</v>
      </c>
      <c r="J67" s="17">
        <f t="shared" si="81"/>
        <v>0</v>
      </c>
      <c r="K67" s="17">
        <f t="shared" si="81"/>
        <v>0</v>
      </c>
      <c r="L67" s="17">
        <f t="shared" si="81"/>
        <v>0</v>
      </c>
      <c r="M67" s="17">
        <f t="shared" si="81"/>
        <v>0</v>
      </c>
      <c r="N67" s="17">
        <f t="shared" si="81"/>
        <v>115541</v>
      </c>
      <c r="O67" s="17">
        <f t="shared" si="81"/>
        <v>21831</v>
      </c>
      <c r="P67" s="17">
        <f t="shared" si="81"/>
        <v>112517</v>
      </c>
      <c r="Q67" s="17">
        <f t="shared" si="81"/>
        <v>0</v>
      </c>
      <c r="R67" s="17">
        <f t="shared" si="81"/>
        <v>112517</v>
      </c>
      <c r="S67" s="17">
        <f t="shared" si="81"/>
        <v>0</v>
      </c>
      <c r="T67" s="17">
        <f t="shared" si="81"/>
        <v>35991</v>
      </c>
      <c r="U67" s="17">
        <f t="shared" si="81"/>
        <v>563370</v>
      </c>
      <c r="V67" s="17">
        <f t="shared" si="81"/>
        <v>0</v>
      </c>
      <c r="W67" s="17">
        <f t="shared" si="81"/>
        <v>0</v>
      </c>
      <c r="X67" s="17">
        <f t="shared" si="81"/>
        <v>0</v>
      </c>
      <c r="Y67" s="17">
        <f t="shared" si="81"/>
        <v>0</v>
      </c>
      <c r="Z67" s="17">
        <f t="shared" si="81"/>
        <v>0</v>
      </c>
      <c r="AA67" s="17">
        <f t="shared" si="81"/>
        <v>563370</v>
      </c>
      <c r="AB67" s="17">
        <f t="shared" si="81"/>
        <v>0</v>
      </c>
      <c r="AC67" s="17">
        <f t="shared" si="81"/>
        <v>0</v>
      </c>
      <c r="AD67" s="17">
        <f t="shared" si="81"/>
        <v>0</v>
      </c>
      <c r="AE67" s="17">
        <f t="shared" si="81"/>
        <v>254150</v>
      </c>
      <c r="AF67" s="17">
        <f t="shared" si="81"/>
        <v>0</v>
      </c>
      <c r="AG67" s="17">
        <f t="shared" si="81"/>
        <v>0</v>
      </c>
      <c r="AH67" s="17">
        <f t="shared" si="81"/>
        <v>0</v>
      </c>
      <c r="AI67" s="17">
        <f t="shared" si="81"/>
        <v>0</v>
      </c>
      <c r="AJ67" s="17">
        <f t="shared" si="81"/>
        <v>0</v>
      </c>
      <c r="AK67" s="17">
        <f t="shared" si="81"/>
        <v>500</v>
      </c>
      <c r="AL67" s="17">
        <f t="shared" si="81"/>
        <v>0</v>
      </c>
      <c r="AM67" s="17">
        <f t="shared" si="81"/>
        <v>0</v>
      </c>
      <c r="AN67" s="17">
        <f t="shared" si="81"/>
        <v>0</v>
      </c>
      <c r="AO67" s="17">
        <f t="shared" si="81"/>
        <v>125823</v>
      </c>
      <c r="AP67" s="17">
        <f t="shared" si="81"/>
        <v>0</v>
      </c>
      <c r="AQ67" s="17">
        <f t="shared" si="81"/>
        <v>0</v>
      </c>
      <c r="AR67" s="17">
        <f t="shared" si="81"/>
        <v>0</v>
      </c>
      <c r="AS67" s="17">
        <f t="shared" si="81"/>
        <v>0</v>
      </c>
      <c r="AT67" s="17"/>
      <c r="AU67" s="17"/>
      <c r="AV67" s="17">
        <f t="shared" si="81"/>
        <v>0</v>
      </c>
      <c r="AW67" s="17">
        <f t="shared" si="81"/>
        <v>0</v>
      </c>
      <c r="AX67" s="17">
        <f t="shared" si="81"/>
        <v>31248</v>
      </c>
      <c r="AY67" s="17"/>
      <c r="AZ67" s="17">
        <f t="shared" si="81"/>
        <v>96579</v>
      </c>
      <c r="BA67" s="17">
        <f t="shared" si="81"/>
        <v>0</v>
      </c>
      <c r="BB67" s="17">
        <f t="shared" si="81"/>
        <v>0</v>
      </c>
      <c r="BC67" s="17">
        <f t="shared" si="81"/>
        <v>0</v>
      </c>
      <c r="BD67" s="17">
        <f t="shared" si="81"/>
        <v>0</v>
      </c>
      <c r="BE67" s="17">
        <f t="shared" si="81"/>
        <v>0</v>
      </c>
      <c r="BF67" s="17">
        <f t="shared" si="81"/>
        <v>0</v>
      </c>
      <c r="BG67" s="17">
        <f t="shared" si="81"/>
        <v>0</v>
      </c>
      <c r="BH67" s="17">
        <f t="shared" si="81"/>
        <v>0</v>
      </c>
      <c r="BI67" s="17">
        <f t="shared" si="81"/>
        <v>0</v>
      </c>
      <c r="BJ67" s="17">
        <f t="shared" si="81"/>
        <v>0</v>
      </c>
      <c r="BK67" s="17">
        <f t="shared" si="81"/>
        <v>0</v>
      </c>
      <c r="BL67" s="17">
        <f t="shared" si="81"/>
        <v>0</v>
      </c>
      <c r="BM67" s="17">
        <f t="shared" si="81"/>
        <v>0</v>
      </c>
      <c r="BN67" s="17">
        <f t="shared" si="81"/>
        <v>0</v>
      </c>
      <c r="BO67" s="17">
        <f t="shared" si="81"/>
        <v>0</v>
      </c>
      <c r="BP67" s="17">
        <f t="shared" si="81"/>
        <v>0</v>
      </c>
      <c r="BQ67" s="17">
        <f t="shared" si="81"/>
        <v>0</v>
      </c>
      <c r="BR67" s="17">
        <f t="shared" si="81"/>
        <v>0</v>
      </c>
      <c r="BS67" s="17">
        <f t="shared" ref="BS67:CN67" si="82">SUM(BS68)</f>
        <v>0</v>
      </c>
      <c r="BT67" s="17">
        <f t="shared" si="82"/>
        <v>0</v>
      </c>
      <c r="BU67" s="17">
        <f t="shared" si="82"/>
        <v>0</v>
      </c>
      <c r="BV67" s="17">
        <f t="shared" si="82"/>
        <v>0</v>
      </c>
      <c r="BW67" s="17">
        <f t="shared" si="82"/>
        <v>0</v>
      </c>
      <c r="BX67" s="17">
        <f t="shared" si="82"/>
        <v>0</v>
      </c>
      <c r="BY67" s="17">
        <f t="shared" si="82"/>
        <v>0</v>
      </c>
      <c r="BZ67" s="17">
        <f t="shared" si="82"/>
        <v>0</v>
      </c>
      <c r="CA67" s="17">
        <f t="shared" si="82"/>
        <v>0</v>
      </c>
      <c r="CB67" s="17">
        <f t="shared" si="82"/>
        <v>0</v>
      </c>
      <c r="CC67" s="17">
        <f t="shared" si="82"/>
        <v>0</v>
      </c>
      <c r="CD67" s="17">
        <f t="shared" si="82"/>
        <v>0</v>
      </c>
      <c r="CE67" s="17">
        <f t="shared" si="82"/>
        <v>0</v>
      </c>
      <c r="CF67" s="17">
        <f t="shared" si="82"/>
        <v>0</v>
      </c>
      <c r="CG67" s="17">
        <f t="shared" si="82"/>
        <v>0</v>
      </c>
      <c r="CH67" s="17">
        <f t="shared" si="82"/>
        <v>0</v>
      </c>
      <c r="CI67" s="17">
        <f t="shared" si="82"/>
        <v>0</v>
      </c>
      <c r="CJ67" s="17">
        <f t="shared" si="82"/>
        <v>0</v>
      </c>
      <c r="CK67" s="17">
        <f t="shared" si="82"/>
        <v>0</v>
      </c>
      <c r="CL67" s="17">
        <f t="shared" si="82"/>
        <v>0</v>
      </c>
      <c r="CM67" s="17">
        <f t="shared" si="82"/>
        <v>0</v>
      </c>
      <c r="CN67" s="17">
        <f t="shared" si="82"/>
        <v>0</v>
      </c>
      <c r="CO67" s="64"/>
      <c r="CP67" s="64"/>
      <c r="CQ67" s="64"/>
      <c r="CR67" s="64"/>
      <c r="CS67" s="51"/>
    </row>
    <row r="68" spans="1:198" s="68" customFormat="1" ht="31.2" x14ac:dyDescent="0.3">
      <c r="A68" s="92" t="s">
        <v>1</v>
      </c>
      <c r="B68" s="62" t="s">
        <v>60</v>
      </c>
      <c r="C68" s="63" t="s">
        <v>109</v>
      </c>
      <c r="D68" s="65">
        <f>SUM(E68+CA68)</f>
        <v>4119534</v>
      </c>
      <c r="E68" s="65">
        <f>SUM(F68+BA68)</f>
        <v>4119534</v>
      </c>
      <c r="F68" s="65">
        <f>SUM(G68+H68+I68+P68+S68+T68+U68+AE68+AD68)</f>
        <v>4119534</v>
      </c>
      <c r="G68" s="66">
        <v>2412907</v>
      </c>
      <c r="H68" s="66">
        <v>603227</v>
      </c>
      <c r="I68" s="65">
        <f t="shared" si="9"/>
        <v>137372</v>
      </c>
      <c r="J68" s="65">
        <v>0</v>
      </c>
      <c r="K68" s="65">
        <v>0</v>
      </c>
      <c r="L68" s="65">
        <v>0</v>
      </c>
      <c r="M68" s="65">
        <v>0</v>
      </c>
      <c r="N68" s="66">
        <f>181541-66000</f>
        <v>115541</v>
      </c>
      <c r="O68" s="66">
        <f>43662-21831</f>
        <v>21831</v>
      </c>
      <c r="P68" s="65">
        <f t="shared" si="10"/>
        <v>112517</v>
      </c>
      <c r="Q68" s="65">
        <v>0</v>
      </c>
      <c r="R68" s="66">
        <v>112517</v>
      </c>
      <c r="S68" s="66">
        <v>0</v>
      </c>
      <c r="T68" s="66">
        <v>35991</v>
      </c>
      <c r="U68" s="65">
        <f>SUM(V68:AC68)</f>
        <v>563370</v>
      </c>
      <c r="V68" s="66"/>
      <c r="W68" s="66"/>
      <c r="X68" s="66"/>
      <c r="Y68" s="66"/>
      <c r="Z68" s="66"/>
      <c r="AA68" s="66">
        <f>486370+77000</f>
        <v>563370</v>
      </c>
      <c r="AB68" s="65">
        <v>0</v>
      </c>
      <c r="AC68" s="65">
        <v>0</v>
      </c>
      <c r="AD68" s="65">
        <v>0</v>
      </c>
      <c r="AE68" s="65">
        <f>SUM(AF68:AZ68)</f>
        <v>254150</v>
      </c>
      <c r="AF68" s="65">
        <v>0</v>
      </c>
      <c r="AG68" s="65">
        <v>0</v>
      </c>
      <c r="AH68" s="65">
        <v>0</v>
      </c>
      <c r="AI68" s="65">
        <v>0</v>
      </c>
      <c r="AJ68" s="65">
        <v>0</v>
      </c>
      <c r="AK68" s="66">
        <f>1000-500</f>
        <v>500</v>
      </c>
      <c r="AL68" s="65">
        <v>0</v>
      </c>
      <c r="AM68" s="65">
        <v>0</v>
      </c>
      <c r="AN68" s="65">
        <v>0</v>
      </c>
      <c r="AO68" s="66">
        <v>125823</v>
      </c>
      <c r="AP68" s="65">
        <v>0</v>
      </c>
      <c r="AQ68" s="65">
        <v>0</v>
      </c>
      <c r="AR68" s="65">
        <v>0</v>
      </c>
      <c r="AS68" s="65">
        <v>0</v>
      </c>
      <c r="AT68" s="65">
        <v>0</v>
      </c>
      <c r="AU68" s="65">
        <v>0</v>
      </c>
      <c r="AV68" s="65">
        <v>0</v>
      </c>
      <c r="AW68" s="65">
        <v>0</v>
      </c>
      <c r="AX68" s="66">
        <v>31248</v>
      </c>
      <c r="AY68" s="66">
        <v>0</v>
      </c>
      <c r="AZ68" s="66">
        <v>96579</v>
      </c>
      <c r="BA68" s="65">
        <f>SUM(BB68+BF68+BJ68+BL68+BO68)</f>
        <v>0</v>
      </c>
      <c r="BB68" s="65">
        <f>SUM(BC68:BE68)</f>
        <v>0</v>
      </c>
      <c r="BC68" s="65">
        <v>0</v>
      </c>
      <c r="BD68" s="65">
        <v>0</v>
      </c>
      <c r="BE68" s="65">
        <v>0</v>
      </c>
      <c r="BF68" s="65">
        <f>SUM(BG68:BI68)</f>
        <v>0</v>
      </c>
      <c r="BG68" s="65">
        <v>0</v>
      </c>
      <c r="BH68" s="65">
        <v>0</v>
      </c>
      <c r="BI68" s="65">
        <v>0</v>
      </c>
      <c r="BJ68" s="65">
        <v>0</v>
      </c>
      <c r="BK68" s="65">
        <v>0</v>
      </c>
      <c r="BL68" s="65">
        <f t="shared" si="11"/>
        <v>0</v>
      </c>
      <c r="BM68" s="65">
        <v>0</v>
      </c>
      <c r="BN68" s="65">
        <v>0</v>
      </c>
      <c r="BO68" s="65">
        <f>SUM(BP68:BZ68)</f>
        <v>0</v>
      </c>
      <c r="BP68" s="65">
        <v>0</v>
      </c>
      <c r="BQ68" s="65">
        <v>0</v>
      </c>
      <c r="BR68" s="65">
        <v>0</v>
      </c>
      <c r="BS68" s="65">
        <v>0</v>
      </c>
      <c r="BT68" s="65">
        <v>0</v>
      </c>
      <c r="BU68" s="65">
        <v>0</v>
      </c>
      <c r="BV68" s="65">
        <v>0</v>
      </c>
      <c r="BW68" s="65">
        <v>0</v>
      </c>
      <c r="BX68" s="65">
        <v>0</v>
      </c>
      <c r="BY68" s="65">
        <v>0</v>
      </c>
      <c r="BZ68" s="65">
        <v>0</v>
      </c>
      <c r="CA68" s="65">
        <f>SUM(CB68+CN68)</f>
        <v>0</v>
      </c>
      <c r="CB68" s="65">
        <f>SUM(CC68+CF68+CK68)</f>
        <v>0</v>
      </c>
      <c r="CC68" s="65">
        <f t="shared" si="12"/>
        <v>0</v>
      </c>
      <c r="CD68" s="65">
        <v>0</v>
      </c>
      <c r="CE68" s="66">
        <f>11000-11000</f>
        <v>0</v>
      </c>
      <c r="CF68" s="65">
        <f>SUM(CG68:CJ68)</f>
        <v>0</v>
      </c>
      <c r="CG68" s="65">
        <v>0</v>
      </c>
      <c r="CH68" s="65">
        <v>0</v>
      </c>
      <c r="CI68" s="65">
        <v>0</v>
      </c>
      <c r="CJ68" s="65">
        <v>0</v>
      </c>
      <c r="CK68" s="65">
        <f>SUM(CL68:CM68)</f>
        <v>0</v>
      </c>
      <c r="CL68" s="65">
        <v>0</v>
      </c>
      <c r="CM68" s="65">
        <v>0</v>
      </c>
      <c r="CN68" s="65">
        <v>0</v>
      </c>
      <c r="CO68" s="65"/>
      <c r="CP68" s="65"/>
      <c r="CQ68" s="65"/>
      <c r="CR68" s="65"/>
      <c r="GP68" s="44"/>
    </row>
    <row r="69" spans="1:198" s="52" customFormat="1" ht="15.6" x14ac:dyDescent="0.3">
      <c r="A69" s="91" t="s">
        <v>110</v>
      </c>
      <c r="B69" s="23" t="s">
        <v>1</v>
      </c>
      <c r="C69" s="24" t="s">
        <v>111</v>
      </c>
      <c r="D69" s="25">
        <f t="shared" ref="D69:BR69" si="83">SUM(D70+D72)</f>
        <v>299805634</v>
      </c>
      <c r="E69" s="25">
        <f t="shared" si="83"/>
        <v>287701860</v>
      </c>
      <c r="F69" s="25">
        <f t="shared" si="83"/>
        <v>280945840</v>
      </c>
      <c r="G69" s="25">
        <f t="shared" si="83"/>
        <v>158897484</v>
      </c>
      <c r="H69" s="25">
        <f t="shared" si="83"/>
        <v>7409657</v>
      </c>
      <c r="I69" s="25">
        <f t="shared" si="83"/>
        <v>77907453</v>
      </c>
      <c r="J69" s="25">
        <f t="shared" si="83"/>
        <v>236293</v>
      </c>
      <c r="K69" s="25">
        <f t="shared" si="83"/>
        <v>14523188</v>
      </c>
      <c r="L69" s="25">
        <f t="shared" si="83"/>
        <v>21745283</v>
      </c>
      <c r="M69" s="25">
        <f t="shared" si="83"/>
        <v>8409900</v>
      </c>
      <c r="N69" s="25">
        <f t="shared" si="83"/>
        <v>23348369</v>
      </c>
      <c r="O69" s="25">
        <f t="shared" si="83"/>
        <v>9644420</v>
      </c>
      <c r="P69" s="25">
        <f t="shared" si="83"/>
        <v>145817</v>
      </c>
      <c r="Q69" s="25">
        <f t="shared" si="83"/>
        <v>54776</v>
      </c>
      <c r="R69" s="25">
        <f t="shared" si="83"/>
        <v>91041</v>
      </c>
      <c r="S69" s="25">
        <f t="shared" si="83"/>
        <v>0</v>
      </c>
      <c r="T69" s="25">
        <f t="shared" si="83"/>
        <v>560711</v>
      </c>
      <c r="U69" s="25">
        <f t="shared" si="83"/>
        <v>13182413</v>
      </c>
      <c r="V69" s="25">
        <f t="shared" si="83"/>
        <v>1051505</v>
      </c>
      <c r="W69" s="25">
        <f t="shared" si="83"/>
        <v>3021803</v>
      </c>
      <c r="X69" s="25">
        <f t="shared" si="83"/>
        <v>6969898</v>
      </c>
      <c r="Y69" s="25">
        <f t="shared" si="83"/>
        <v>1376410</v>
      </c>
      <c r="Z69" s="25">
        <f t="shared" si="83"/>
        <v>45500</v>
      </c>
      <c r="AA69" s="25">
        <f t="shared" si="83"/>
        <v>0</v>
      </c>
      <c r="AB69" s="25">
        <f t="shared" si="83"/>
        <v>0</v>
      </c>
      <c r="AC69" s="25">
        <f t="shared" si="83"/>
        <v>717297</v>
      </c>
      <c r="AD69" s="25">
        <f t="shared" si="83"/>
        <v>0</v>
      </c>
      <c r="AE69" s="25">
        <f t="shared" si="83"/>
        <v>22842305</v>
      </c>
      <c r="AF69" s="25">
        <f t="shared" si="83"/>
        <v>0</v>
      </c>
      <c r="AG69" s="25">
        <f t="shared" si="83"/>
        <v>0</v>
      </c>
      <c r="AH69" s="25">
        <f t="shared" si="83"/>
        <v>306938</v>
      </c>
      <c r="AI69" s="25">
        <f t="shared" si="83"/>
        <v>1247827</v>
      </c>
      <c r="AJ69" s="25">
        <f t="shared" si="83"/>
        <v>0</v>
      </c>
      <c r="AK69" s="25">
        <f t="shared" si="83"/>
        <v>5825</v>
      </c>
      <c r="AL69" s="25">
        <f t="shared" si="83"/>
        <v>0</v>
      </c>
      <c r="AM69" s="25">
        <f t="shared" si="83"/>
        <v>41966</v>
      </c>
      <c r="AN69" s="25">
        <f t="shared" si="83"/>
        <v>49866</v>
      </c>
      <c r="AO69" s="25">
        <f t="shared" si="83"/>
        <v>54714</v>
      </c>
      <c r="AP69" s="25">
        <f t="shared" si="83"/>
        <v>43466</v>
      </c>
      <c r="AQ69" s="25">
        <f t="shared" si="83"/>
        <v>9124211</v>
      </c>
      <c r="AR69" s="25">
        <f t="shared" si="83"/>
        <v>72528</v>
      </c>
      <c r="AS69" s="25">
        <f t="shared" si="83"/>
        <v>0</v>
      </c>
      <c r="AT69" s="25"/>
      <c r="AU69" s="25"/>
      <c r="AV69" s="25">
        <f t="shared" si="83"/>
        <v>0</v>
      </c>
      <c r="AW69" s="25">
        <f t="shared" si="83"/>
        <v>8437861</v>
      </c>
      <c r="AX69" s="25">
        <f t="shared" si="83"/>
        <v>1418</v>
      </c>
      <c r="AY69" s="25"/>
      <c r="AZ69" s="25">
        <f t="shared" si="83"/>
        <v>3455685</v>
      </c>
      <c r="BA69" s="25">
        <f t="shared" si="83"/>
        <v>6756020</v>
      </c>
      <c r="BB69" s="25">
        <f t="shared" si="83"/>
        <v>0</v>
      </c>
      <c r="BC69" s="25">
        <f t="shared" si="83"/>
        <v>0</v>
      </c>
      <c r="BD69" s="25">
        <f t="shared" si="83"/>
        <v>0</v>
      </c>
      <c r="BE69" s="25">
        <f t="shared" si="83"/>
        <v>0</v>
      </c>
      <c r="BF69" s="25">
        <f t="shared" si="83"/>
        <v>0</v>
      </c>
      <c r="BG69" s="25">
        <f t="shared" si="83"/>
        <v>0</v>
      </c>
      <c r="BH69" s="25">
        <f t="shared" ref="BH69" si="84">SUM(BH70+BH72)</f>
        <v>0</v>
      </c>
      <c r="BI69" s="25">
        <f t="shared" si="83"/>
        <v>0</v>
      </c>
      <c r="BJ69" s="25">
        <f t="shared" si="83"/>
        <v>0</v>
      </c>
      <c r="BK69" s="25">
        <f t="shared" ref="BK69" si="85">SUM(BK70+BK72)</f>
        <v>0</v>
      </c>
      <c r="BL69" s="25">
        <f t="shared" si="83"/>
        <v>338943</v>
      </c>
      <c r="BM69" s="25">
        <f t="shared" si="83"/>
        <v>338943</v>
      </c>
      <c r="BN69" s="25">
        <f t="shared" ref="BN69" si="86">SUM(BN70+BN72)</f>
        <v>0</v>
      </c>
      <c r="BO69" s="25">
        <f t="shared" si="83"/>
        <v>6417077</v>
      </c>
      <c r="BP69" s="25">
        <f t="shared" si="83"/>
        <v>0</v>
      </c>
      <c r="BQ69" s="25">
        <f t="shared" si="83"/>
        <v>0</v>
      </c>
      <c r="BR69" s="25">
        <f t="shared" si="83"/>
        <v>0</v>
      </c>
      <c r="BS69" s="25">
        <f t="shared" ref="BS69:CQ69" si="87">SUM(BS70+BS72)</f>
        <v>0</v>
      </c>
      <c r="BT69" s="25">
        <f t="shared" si="87"/>
        <v>0</v>
      </c>
      <c r="BU69" s="25">
        <f t="shared" si="87"/>
        <v>0</v>
      </c>
      <c r="BV69" s="25">
        <f t="shared" si="87"/>
        <v>0</v>
      </c>
      <c r="BW69" s="25">
        <f t="shared" si="87"/>
        <v>0</v>
      </c>
      <c r="BX69" s="25">
        <f t="shared" si="87"/>
        <v>0</v>
      </c>
      <c r="BY69" s="25">
        <f t="shared" si="87"/>
        <v>5435770</v>
      </c>
      <c r="BZ69" s="25">
        <f t="shared" si="87"/>
        <v>981307</v>
      </c>
      <c r="CA69" s="25">
        <f t="shared" si="87"/>
        <v>12103774</v>
      </c>
      <c r="CB69" s="25">
        <f t="shared" si="87"/>
        <v>12103774</v>
      </c>
      <c r="CC69" s="25">
        <f t="shared" si="87"/>
        <v>6293113</v>
      </c>
      <c r="CD69" s="25">
        <f t="shared" si="87"/>
        <v>0</v>
      </c>
      <c r="CE69" s="25">
        <f t="shared" si="87"/>
        <v>6293113</v>
      </c>
      <c r="CF69" s="25">
        <f t="shared" si="87"/>
        <v>0</v>
      </c>
      <c r="CG69" s="25">
        <f t="shared" ref="CG69:CH69" si="88">SUM(CG70+CG72)</f>
        <v>0</v>
      </c>
      <c r="CH69" s="25">
        <f t="shared" si="88"/>
        <v>0</v>
      </c>
      <c r="CI69" s="25">
        <f t="shared" si="87"/>
        <v>0</v>
      </c>
      <c r="CJ69" s="25">
        <f t="shared" ref="CJ69" si="89">SUM(CJ70+CJ72)</f>
        <v>0</v>
      </c>
      <c r="CK69" s="25">
        <f t="shared" si="87"/>
        <v>5810661</v>
      </c>
      <c r="CL69" s="25">
        <f t="shared" ref="CL69" si="90">SUM(CL70+CL72)</f>
        <v>0</v>
      </c>
      <c r="CM69" s="25">
        <f t="shared" si="87"/>
        <v>5810661</v>
      </c>
      <c r="CN69" s="25">
        <f t="shared" si="87"/>
        <v>0</v>
      </c>
      <c r="CO69" s="25">
        <f t="shared" si="87"/>
        <v>0</v>
      </c>
      <c r="CP69" s="25">
        <f t="shared" si="87"/>
        <v>0</v>
      </c>
      <c r="CQ69" s="25">
        <f t="shared" si="87"/>
        <v>0</v>
      </c>
      <c r="CR69" s="25">
        <f t="shared" ref="CR69" si="91">SUM(CR70+CR72)</f>
        <v>0</v>
      </c>
      <c r="CS69" s="51"/>
    </row>
    <row r="70" spans="1:198" s="52" customFormat="1" ht="15.6" x14ac:dyDescent="0.3">
      <c r="A70" s="89" t="s">
        <v>112</v>
      </c>
      <c r="B70" s="15" t="s">
        <v>1</v>
      </c>
      <c r="C70" s="16" t="s">
        <v>113</v>
      </c>
      <c r="D70" s="17">
        <f t="shared" ref="D70:BR70" si="92">SUM(D71)</f>
        <v>252740610</v>
      </c>
      <c r="E70" s="17">
        <f t="shared" si="92"/>
        <v>243276676</v>
      </c>
      <c r="F70" s="17">
        <f t="shared" si="92"/>
        <v>241215474</v>
      </c>
      <c r="G70" s="17">
        <f t="shared" si="92"/>
        <v>128725845</v>
      </c>
      <c r="H70" s="17">
        <f t="shared" si="92"/>
        <v>7155565</v>
      </c>
      <c r="I70" s="17">
        <f t="shared" si="92"/>
        <v>71168272</v>
      </c>
      <c r="J70" s="17">
        <f t="shared" si="92"/>
        <v>192763</v>
      </c>
      <c r="K70" s="17">
        <f t="shared" si="92"/>
        <v>13494121</v>
      </c>
      <c r="L70" s="17">
        <f t="shared" si="92"/>
        <v>20469269</v>
      </c>
      <c r="M70" s="17">
        <f t="shared" si="92"/>
        <v>8409900</v>
      </c>
      <c r="N70" s="17">
        <f t="shared" si="92"/>
        <v>19723777</v>
      </c>
      <c r="O70" s="17">
        <f t="shared" si="92"/>
        <v>8878442</v>
      </c>
      <c r="P70" s="17">
        <f t="shared" si="92"/>
        <v>0</v>
      </c>
      <c r="Q70" s="17">
        <f t="shared" si="92"/>
        <v>0</v>
      </c>
      <c r="R70" s="17">
        <f t="shared" si="92"/>
        <v>0</v>
      </c>
      <c r="S70" s="17">
        <f t="shared" si="92"/>
        <v>0</v>
      </c>
      <c r="T70" s="17">
        <f t="shared" si="92"/>
        <v>497256</v>
      </c>
      <c r="U70" s="17">
        <f t="shared" si="92"/>
        <v>13171913</v>
      </c>
      <c r="V70" s="17">
        <f t="shared" si="92"/>
        <v>1041005</v>
      </c>
      <c r="W70" s="17">
        <f t="shared" si="92"/>
        <v>3021803</v>
      </c>
      <c r="X70" s="17">
        <f t="shared" si="92"/>
        <v>6969898</v>
      </c>
      <c r="Y70" s="17">
        <f t="shared" si="92"/>
        <v>1376410</v>
      </c>
      <c r="Z70" s="17">
        <f t="shared" si="92"/>
        <v>45500</v>
      </c>
      <c r="AA70" s="17">
        <f t="shared" si="92"/>
        <v>0</v>
      </c>
      <c r="AB70" s="17">
        <f t="shared" si="92"/>
        <v>0</v>
      </c>
      <c r="AC70" s="17">
        <f t="shared" si="92"/>
        <v>717297</v>
      </c>
      <c r="AD70" s="17">
        <f t="shared" si="92"/>
        <v>0</v>
      </c>
      <c r="AE70" s="17">
        <f t="shared" si="92"/>
        <v>20496623</v>
      </c>
      <c r="AF70" s="17">
        <f t="shared" si="92"/>
        <v>0</v>
      </c>
      <c r="AG70" s="17">
        <f t="shared" si="92"/>
        <v>0</v>
      </c>
      <c r="AH70" s="17">
        <f t="shared" si="92"/>
        <v>300938</v>
      </c>
      <c r="AI70" s="17">
        <f t="shared" si="92"/>
        <v>947827</v>
      </c>
      <c r="AJ70" s="17">
        <f t="shared" si="92"/>
        <v>0</v>
      </c>
      <c r="AK70" s="17">
        <f t="shared" si="92"/>
        <v>5825</v>
      </c>
      <c r="AL70" s="17">
        <f t="shared" si="92"/>
        <v>0</v>
      </c>
      <c r="AM70" s="17">
        <f t="shared" si="92"/>
        <v>41966</v>
      </c>
      <c r="AN70" s="17">
        <f t="shared" si="92"/>
        <v>39866</v>
      </c>
      <c r="AO70" s="17">
        <f t="shared" si="92"/>
        <v>25032</v>
      </c>
      <c r="AP70" s="17">
        <f t="shared" si="92"/>
        <v>43466</v>
      </c>
      <c r="AQ70" s="17">
        <f t="shared" si="92"/>
        <v>9124211</v>
      </c>
      <c r="AR70" s="17">
        <f t="shared" si="92"/>
        <v>72528</v>
      </c>
      <c r="AS70" s="17">
        <f t="shared" si="92"/>
        <v>0</v>
      </c>
      <c r="AT70" s="17"/>
      <c r="AU70" s="17"/>
      <c r="AV70" s="17">
        <f t="shared" si="92"/>
        <v>0</v>
      </c>
      <c r="AW70" s="17">
        <f t="shared" si="92"/>
        <v>6437861</v>
      </c>
      <c r="AX70" s="17">
        <f t="shared" si="92"/>
        <v>1418</v>
      </c>
      <c r="AY70" s="17"/>
      <c r="AZ70" s="17">
        <f t="shared" si="92"/>
        <v>3455685</v>
      </c>
      <c r="BA70" s="17">
        <f t="shared" si="92"/>
        <v>2061202</v>
      </c>
      <c r="BB70" s="17">
        <f t="shared" si="92"/>
        <v>0</v>
      </c>
      <c r="BC70" s="17">
        <f t="shared" si="92"/>
        <v>0</v>
      </c>
      <c r="BD70" s="17">
        <f t="shared" si="92"/>
        <v>0</v>
      </c>
      <c r="BE70" s="17">
        <f t="shared" si="92"/>
        <v>0</v>
      </c>
      <c r="BF70" s="17">
        <f t="shared" si="92"/>
        <v>0</v>
      </c>
      <c r="BG70" s="17">
        <f t="shared" si="92"/>
        <v>0</v>
      </c>
      <c r="BH70" s="17">
        <f t="shared" si="92"/>
        <v>0</v>
      </c>
      <c r="BI70" s="17">
        <f t="shared" si="92"/>
        <v>0</v>
      </c>
      <c r="BJ70" s="17">
        <f t="shared" si="92"/>
        <v>0</v>
      </c>
      <c r="BK70" s="17">
        <f t="shared" si="92"/>
        <v>0</v>
      </c>
      <c r="BL70" s="17">
        <f t="shared" si="92"/>
        <v>338943</v>
      </c>
      <c r="BM70" s="17">
        <f t="shared" si="92"/>
        <v>338943</v>
      </c>
      <c r="BN70" s="17">
        <f t="shared" si="92"/>
        <v>0</v>
      </c>
      <c r="BO70" s="17">
        <f t="shared" si="92"/>
        <v>1722259</v>
      </c>
      <c r="BP70" s="17">
        <f t="shared" si="92"/>
        <v>0</v>
      </c>
      <c r="BQ70" s="17">
        <f t="shared" si="92"/>
        <v>0</v>
      </c>
      <c r="BR70" s="17">
        <f t="shared" si="92"/>
        <v>0</v>
      </c>
      <c r="BS70" s="17">
        <f t="shared" ref="BS70:CN70" si="93">SUM(BS71)</f>
        <v>0</v>
      </c>
      <c r="BT70" s="17">
        <f t="shared" si="93"/>
        <v>0</v>
      </c>
      <c r="BU70" s="17">
        <f t="shared" si="93"/>
        <v>0</v>
      </c>
      <c r="BV70" s="17">
        <f t="shared" si="93"/>
        <v>0</v>
      </c>
      <c r="BW70" s="17">
        <f t="shared" si="93"/>
        <v>0</v>
      </c>
      <c r="BX70" s="17">
        <f t="shared" si="93"/>
        <v>0</v>
      </c>
      <c r="BY70" s="17">
        <f t="shared" si="93"/>
        <v>1435770</v>
      </c>
      <c r="BZ70" s="17">
        <f t="shared" si="93"/>
        <v>286489</v>
      </c>
      <c r="CA70" s="17">
        <f t="shared" si="93"/>
        <v>9463934</v>
      </c>
      <c r="CB70" s="17">
        <f t="shared" si="93"/>
        <v>9463934</v>
      </c>
      <c r="CC70" s="17">
        <f t="shared" si="93"/>
        <v>4728434</v>
      </c>
      <c r="CD70" s="17">
        <f t="shared" si="93"/>
        <v>0</v>
      </c>
      <c r="CE70" s="17">
        <f t="shared" si="93"/>
        <v>4728434</v>
      </c>
      <c r="CF70" s="17">
        <f t="shared" si="93"/>
        <v>0</v>
      </c>
      <c r="CG70" s="17">
        <f t="shared" si="93"/>
        <v>0</v>
      </c>
      <c r="CH70" s="17">
        <f t="shared" si="93"/>
        <v>0</v>
      </c>
      <c r="CI70" s="17">
        <f t="shared" si="93"/>
        <v>0</v>
      </c>
      <c r="CJ70" s="17">
        <f t="shared" si="93"/>
        <v>0</v>
      </c>
      <c r="CK70" s="17">
        <f t="shared" si="93"/>
        <v>4735500</v>
      </c>
      <c r="CL70" s="17">
        <f t="shared" si="93"/>
        <v>0</v>
      </c>
      <c r="CM70" s="17">
        <f t="shared" si="93"/>
        <v>4735500</v>
      </c>
      <c r="CN70" s="17">
        <f t="shared" si="93"/>
        <v>0</v>
      </c>
      <c r="CO70" s="64"/>
      <c r="CP70" s="64"/>
      <c r="CQ70" s="64"/>
      <c r="CR70" s="64"/>
      <c r="CS70" s="51"/>
    </row>
    <row r="71" spans="1:198" s="68" customFormat="1" ht="15.6" x14ac:dyDescent="0.3">
      <c r="A71" s="92" t="s">
        <v>1</v>
      </c>
      <c r="B71" s="62" t="s">
        <v>114</v>
      </c>
      <c r="C71" s="63" t="s">
        <v>115</v>
      </c>
      <c r="D71" s="65">
        <f>SUM(E71+CA71)</f>
        <v>252740610</v>
      </c>
      <c r="E71" s="65">
        <f>SUM(F71+BA71)</f>
        <v>243276676</v>
      </c>
      <c r="F71" s="65">
        <f>SUM(G71+H71+I71+P71+S71+T71+U71+AE71+AD71)</f>
        <v>241215474</v>
      </c>
      <c r="G71" s="66">
        <v>128725845</v>
      </c>
      <c r="H71" s="66">
        <v>7155565</v>
      </c>
      <c r="I71" s="65">
        <f t="shared" si="9"/>
        <v>71168272</v>
      </c>
      <c r="J71" s="66">
        <v>192763</v>
      </c>
      <c r="K71" s="66">
        <f>33563030-20068909</f>
        <v>13494121</v>
      </c>
      <c r="L71" s="66">
        <f>21469269-1000000</f>
        <v>20469269</v>
      </c>
      <c r="M71" s="66">
        <v>8409900</v>
      </c>
      <c r="N71" s="66">
        <f>20271110-547333</f>
        <v>19723777</v>
      </c>
      <c r="O71" s="66">
        <f>9878442-1000000</f>
        <v>8878442</v>
      </c>
      <c r="P71" s="65">
        <f t="shared" si="10"/>
        <v>0</v>
      </c>
      <c r="Q71" s="66"/>
      <c r="R71" s="66">
        <v>0</v>
      </c>
      <c r="S71" s="66">
        <v>0</v>
      </c>
      <c r="T71" s="66">
        <v>497256</v>
      </c>
      <c r="U71" s="65">
        <f>SUM(V71:AC71)</f>
        <v>13171913</v>
      </c>
      <c r="V71" s="66">
        <v>1041005</v>
      </c>
      <c r="W71" s="66">
        <f>2178031+843772</f>
        <v>3021803</v>
      </c>
      <c r="X71" s="66">
        <f>3311158+3658740</f>
        <v>6969898</v>
      </c>
      <c r="Y71" s="66">
        <f>1039078+229541+107791</f>
        <v>1376410</v>
      </c>
      <c r="Z71" s="66">
        <v>45500</v>
      </c>
      <c r="AA71" s="66">
        <v>0</v>
      </c>
      <c r="AB71" s="66">
        <v>0</v>
      </c>
      <c r="AC71" s="66">
        <f>260766+456531</f>
        <v>717297</v>
      </c>
      <c r="AD71" s="65">
        <v>0</v>
      </c>
      <c r="AE71" s="65">
        <f>SUM(AF71:AZ71)</f>
        <v>20496623</v>
      </c>
      <c r="AF71" s="65">
        <v>0</v>
      </c>
      <c r="AG71" s="65">
        <v>0</v>
      </c>
      <c r="AH71" s="66">
        <v>300938</v>
      </c>
      <c r="AI71" s="66">
        <f>1947827-1000000</f>
        <v>947827</v>
      </c>
      <c r="AJ71" s="66">
        <v>0</v>
      </c>
      <c r="AK71" s="66">
        <f>8500-2675</f>
        <v>5825</v>
      </c>
      <c r="AL71" s="66">
        <v>0</v>
      </c>
      <c r="AM71" s="66">
        <v>41966</v>
      </c>
      <c r="AN71" s="66">
        <f>74323-34457</f>
        <v>39866</v>
      </c>
      <c r="AO71" s="66">
        <v>25032</v>
      </c>
      <c r="AP71" s="66">
        <f>86932-43466</f>
        <v>43466</v>
      </c>
      <c r="AQ71" s="66">
        <v>9124211</v>
      </c>
      <c r="AR71" s="66">
        <f>116136-43608</f>
        <v>72528</v>
      </c>
      <c r="AS71" s="66">
        <v>0</v>
      </c>
      <c r="AT71" s="66">
        <v>0</v>
      </c>
      <c r="AU71" s="66">
        <v>0</v>
      </c>
      <c r="AV71" s="66">
        <v>0</v>
      </c>
      <c r="AW71" s="66">
        <v>6437861</v>
      </c>
      <c r="AX71" s="66">
        <v>1418</v>
      </c>
      <c r="AY71" s="66">
        <v>0</v>
      </c>
      <c r="AZ71" s="66">
        <v>3455685</v>
      </c>
      <c r="BA71" s="65">
        <f>SUM(BB71+BF71+BJ71+BL71+BO71)</f>
        <v>2061202</v>
      </c>
      <c r="BB71" s="65">
        <f>SUM(BC71:BE71)</f>
        <v>0</v>
      </c>
      <c r="BC71" s="65">
        <v>0</v>
      </c>
      <c r="BD71" s="65">
        <v>0</v>
      </c>
      <c r="BE71" s="65">
        <v>0</v>
      </c>
      <c r="BF71" s="65">
        <f>SUM(BG71:BI71)</f>
        <v>0</v>
      </c>
      <c r="BG71" s="65">
        <v>0</v>
      </c>
      <c r="BH71" s="65">
        <v>0</v>
      </c>
      <c r="BI71" s="65">
        <v>0</v>
      </c>
      <c r="BJ71" s="65">
        <v>0</v>
      </c>
      <c r="BK71" s="66"/>
      <c r="BL71" s="65">
        <f t="shared" si="11"/>
        <v>338943</v>
      </c>
      <c r="BM71" s="66">
        <v>338943</v>
      </c>
      <c r="BN71" s="65"/>
      <c r="BO71" s="65">
        <f>SUM(BP71:BZ71)</f>
        <v>1722259</v>
      </c>
      <c r="BP71" s="65">
        <v>0</v>
      </c>
      <c r="BQ71" s="65">
        <v>0</v>
      </c>
      <c r="BR71" s="65">
        <v>0</v>
      </c>
      <c r="BS71" s="65">
        <v>0</v>
      </c>
      <c r="BT71" s="65">
        <v>0</v>
      </c>
      <c r="BU71" s="65">
        <v>0</v>
      </c>
      <c r="BV71" s="65">
        <v>0</v>
      </c>
      <c r="BW71" s="65">
        <v>0</v>
      </c>
      <c r="BX71" s="65">
        <v>0</v>
      </c>
      <c r="BY71" s="66">
        <f>2409626-973856</f>
        <v>1435770</v>
      </c>
      <c r="BZ71" s="66">
        <f>352318-65829</f>
        <v>286489</v>
      </c>
      <c r="CA71" s="65">
        <f>SUM(CB71+CN71)</f>
        <v>9463934</v>
      </c>
      <c r="CB71" s="65">
        <f>SUM(CC71+CF71+CK71)</f>
        <v>9463934</v>
      </c>
      <c r="CC71" s="65">
        <f t="shared" si="12"/>
        <v>4728434</v>
      </c>
      <c r="CD71" s="65">
        <v>0</v>
      </c>
      <c r="CE71" s="66">
        <f>13024809-8188584-107791</f>
        <v>4728434</v>
      </c>
      <c r="CF71" s="65">
        <f>SUM(CG71:CJ71)</f>
        <v>0</v>
      </c>
      <c r="CG71" s="65"/>
      <c r="CH71" s="65"/>
      <c r="CI71" s="65">
        <v>0</v>
      </c>
      <c r="CJ71" s="65">
        <v>0</v>
      </c>
      <c r="CK71" s="65">
        <f>SUM(CL71:CM71)</f>
        <v>4735500</v>
      </c>
      <c r="CL71" s="65"/>
      <c r="CM71" s="66">
        <f>16427980-11692480</f>
        <v>4735500</v>
      </c>
      <c r="CN71" s="65">
        <v>0</v>
      </c>
      <c r="CO71" s="65"/>
      <c r="CP71" s="65"/>
      <c r="CQ71" s="65"/>
      <c r="CR71" s="65"/>
    </row>
    <row r="72" spans="1:198" s="52" customFormat="1" ht="15.6" x14ac:dyDescent="0.3">
      <c r="A72" s="89" t="s">
        <v>116</v>
      </c>
      <c r="B72" s="15" t="s">
        <v>1</v>
      </c>
      <c r="C72" s="16" t="s">
        <v>117</v>
      </c>
      <c r="D72" s="17">
        <f t="shared" ref="D72:AK72" si="94">SUM(D73)</f>
        <v>47065024</v>
      </c>
      <c r="E72" s="17">
        <f t="shared" si="94"/>
        <v>44425184</v>
      </c>
      <c r="F72" s="17">
        <f t="shared" si="94"/>
        <v>39730366</v>
      </c>
      <c r="G72" s="17">
        <f t="shared" si="94"/>
        <v>30171639</v>
      </c>
      <c r="H72" s="17">
        <f t="shared" si="94"/>
        <v>254092</v>
      </c>
      <c r="I72" s="17">
        <f t="shared" si="94"/>
        <v>6739181</v>
      </c>
      <c r="J72" s="17">
        <f t="shared" si="94"/>
        <v>43530</v>
      </c>
      <c r="K72" s="17">
        <f t="shared" si="94"/>
        <v>1029067</v>
      </c>
      <c r="L72" s="17">
        <f t="shared" si="94"/>
        <v>1276014</v>
      </c>
      <c r="M72" s="17">
        <f t="shared" si="94"/>
        <v>0</v>
      </c>
      <c r="N72" s="17">
        <f t="shared" si="94"/>
        <v>3624592</v>
      </c>
      <c r="O72" s="17">
        <f t="shared" si="94"/>
        <v>765978</v>
      </c>
      <c r="P72" s="17">
        <f t="shared" si="94"/>
        <v>145817</v>
      </c>
      <c r="Q72" s="17">
        <f t="shared" si="94"/>
        <v>54776</v>
      </c>
      <c r="R72" s="17">
        <f t="shared" si="94"/>
        <v>91041</v>
      </c>
      <c r="S72" s="17">
        <f t="shared" si="94"/>
        <v>0</v>
      </c>
      <c r="T72" s="17">
        <f t="shared" si="94"/>
        <v>63455</v>
      </c>
      <c r="U72" s="17">
        <f t="shared" si="94"/>
        <v>10500</v>
      </c>
      <c r="V72" s="17">
        <f t="shared" si="94"/>
        <v>10500</v>
      </c>
      <c r="W72" s="17">
        <f t="shared" si="94"/>
        <v>0</v>
      </c>
      <c r="X72" s="17">
        <f t="shared" si="94"/>
        <v>0</v>
      </c>
      <c r="Y72" s="17">
        <f t="shared" si="94"/>
        <v>0</v>
      </c>
      <c r="Z72" s="17">
        <f t="shared" si="94"/>
        <v>0</v>
      </c>
      <c r="AA72" s="17">
        <f t="shared" si="94"/>
        <v>0</v>
      </c>
      <c r="AB72" s="17">
        <f t="shared" si="94"/>
        <v>0</v>
      </c>
      <c r="AC72" s="17">
        <f t="shared" si="94"/>
        <v>0</v>
      </c>
      <c r="AD72" s="17">
        <f t="shared" si="94"/>
        <v>0</v>
      </c>
      <c r="AE72" s="17">
        <f t="shared" si="94"/>
        <v>2345682</v>
      </c>
      <c r="AF72" s="17">
        <f t="shared" si="94"/>
        <v>0</v>
      </c>
      <c r="AG72" s="17">
        <f t="shared" si="94"/>
        <v>0</v>
      </c>
      <c r="AH72" s="17">
        <f t="shared" si="94"/>
        <v>6000</v>
      </c>
      <c r="AI72" s="17">
        <f t="shared" si="94"/>
        <v>300000</v>
      </c>
      <c r="AJ72" s="17">
        <f t="shared" si="94"/>
        <v>0</v>
      </c>
      <c r="AK72" s="17">
        <f t="shared" si="94"/>
        <v>0</v>
      </c>
      <c r="AL72" s="17">
        <f t="shared" ref="AL72:CN72" si="95">SUM(AL73)</f>
        <v>0</v>
      </c>
      <c r="AM72" s="17">
        <f t="shared" si="95"/>
        <v>0</v>
      </c>
      <c r="AN72" s="17">
        <f t="shared" si="95"/>
        <v>10000</v>
      </c>
      <c r="AO72" s="17">
        <f t="shared" si="95"/>
        <v>29682</v>
      </c>
      <c r="AP72" s="17">
        <f t="shared" si="95"/>
        <v>0</v>
      </c>
      <c r="AQ72" s="17">
        <f t="shared" si="95"/>
        <v>0</v>
      </c>
      <c r="AR72" s="17">
        <f t="shared" si="95"/>
        <v>0</v>
      </c>
      <c r="AS72" s="17">
        <f t="shared" si="95"/>
        <v>0</v>
      </c>
      <c r="AT72" s="17"/>
      <c r="AU72" s="17"/>
      <c r="AV72" s="17">
        <f t="shared" si="95"/>
        <v>0</v>
      </c>
      <c r="AW72" s="17">
        <f t="shared" si="95"/>
        <v>2000000</v>
      </c>
      <c r="AX72" s="17">
        <f t="shared" si="95"/>
        <v>0</v>
      </c>
      <c r="AY72" s="17"/>
      <c r="AZ72" s="17">
        <f t="shared" si="95"/>
        <v>0</v>
      </c>
      <c r="BA72" s="17">
        <f t="shared" si="95"/>
        <v>4694818</v>
      </c>
      <c r="BB72" s="17">
        <f t="shared" si="95"/>
        <v>0</v>
      </c>
      <c r="BC72" s="17">
        <f t="shared" si="95"/>
        <v>0</v>
      </c>
      <c r="BD72" s="17">
        <f t="shared" si="95"/>
        <v>0</v>
      </c>
      <c r="BE72" s="17">
        <f t="shared" si="95"/>
        <v>0</v>
      </c>
      <c r="BF72" s="17">
        <f t="shared" si="95"/>
        <v>0</v>
      </c>
      <c r="BG72" s="17">
        <f t="shared" si="95"/>
        <v>0</v>
      </c>
      <c r="BH72" s="17">
        <f t="shared" si="95"/>
        <v>0</v>
      </c>
      <c r="BI72" s="17">
        <f t="shared" si="95"/>
        <v>0</v>
      </c>
      <c r="BJ72" s="17">
        <f t="shared" si="95"/>
        <v>0</v>
      </c>
      <c r="BK72" s="17">
        <f t="shared" si="95"/>
        <v>0</v>
      </c>
      <c r="BL72" s="17">
        <f t="shared" si="95"/>
        <v>0</v>
      </c>
      <c r="BM72" s="17">
        <f t="shared" si="95"/>
        <v>0</v>
      </c>
      <c r="BN72" s="17">
        <f t="shared" si="95"/>
        <v>0</v>
      </c>
      <c r="BO72" s="17">
        <f t="shared" si="95"/>
        <v>4694818</v>
      </c>
      <c r="BP72" s="17">
        <f t="shared" si="95"/>
        <v>0</v>
      </c>
      <c r="BQ72" s="17">
        <f t="shared" si="95"/>
        <v>0</v>
      </c>
      <c r="BR72" s="17">
        <f t="shared" si="95"/>
        <v>0</v>
      </c>
      <c r="BS72" s="17">
        <f t="shared" si="95"/>
        <v>0</v>
      </c>
      <c r="BT72" s="17">
        <f t="shared" si="95"/>
        <v>0</v>
      </c>
      <c r="BU72" s="17">
        <f t="shared" si="95"/>
        <v>0</v>
      </c>
      <c r="BV72" s="17">
        <f t="shared" si="95"/>
        <v>0</v>
      </c>
      <c r="BW72" s="17">
        <f t="shared" si="95"/>
        <v>0</v>
      </c>
      <c r="BX72" s="17">
        <f t="shared" si="95"/>
        <v>0</v>
      </c>
      <c r="BY72" s="17">
        <f t="shared" si="95"/>
        <v>4000000</v>
      </c>
      <c r="BZ72" s="17">
        <f t="shared" si="95"/>
        <v>694818</v>
      </c>
      <c r="CA72" s="17">
        <f t="shared" si="95"/>
        <v>2639840</v>
      </c>
      <c r="CB72" s="17">
        <f t="shared" si="95"/>
        <v>2639840</v>
      </c>
      <c r="CC72" s="17">
        <f t="shared" si="95"/>
        <v>1564679</v>
      </c>
      <c r="CD72" s="17">
        <f t="shared" si="95"/>
        <v>0</v>
      </c>
      <c r="CE72" s="17">
        <f t="shared" si="95"/>
        <v>1564679</v>
      </c>
      <c r="CF72" s="17">
        <f t="shared" si="95"/>
        <v>0</v>
      </c>
      <c r="CG72" s="17">
        <f t="shared" si="95"/>
        <v>0</v>
      </c>
      <c r="CH72" s="17">
        <f t="shared" si="95"/>
        <v>0</v>
      </c>
      <c r="CI72" s="17">
        <f t="shared" si="95"/>
        <v>0</v>
      </c>
      <c r="CJ72" s="17">
        <f t="shared" si="95"/>
        <v>0</v>
      </c>
      <c r="CK72" s="17">
        <f t="shared" si="95"/>
        <v>1075161</v>
      </c>
      <c r="CL72" s="17">
        <f t="shared" si="95"/>
        <v>0</v>
      </c>
      <c r="CM72" s="17">
        <f t="shared" si="95"/>
        <v>1075161</v>
      </c>
      <c r="CN72" s="17">
        <f t="shared" si="95"/>
        <v>0</v>
      </c>
      <c r="CO72" s="64"/>
      <c r="CP72" s="64"/>
      <c r="CQ72" s="64"/>
      <c r="CR72" s="64"/>
      <c r="CS72" s="51"/>
    </row>
    <row r="73" spans="1:198" ht="15.6" x14ac:dyDescent="0.3">
      <c r="A73" s="90" t="s">
        <v>1</v>
      </c>
      <c r="B73" s="19" t="s">
        <v>114</v>
      </c>
      <c r="C73" s="20" t="s">
        <v>117</v>
      </c>
      <c r="D73" s="18">
        <f>SUM(E73+CA73)</f>
        <v>47065024</v>
      </c>
      <c r="E73" s="18">
        <f>SUM(F73+BA73)</f>
        <v>44425184</v>
      </c>
      <c r="F73" s="18">
        <f>SUM(G73+H73+I73+P73+S73+T73+U73+AE73+AD73)</f>
        <v>39730366</v>
      </c>
      <c r="G73" s="21">
        <v>30171639</v>
      </c>
      <c r="H73" s="21">
        <v>254092</v>
      </c>
      <c r="I73" s="18">
        <f t="shared" si="9"/>
        <v>6739181</v>
      </c>
      <c r="J73" s="21">
        <v>43530</v>
      </c>
      <c r="K73" s="21">
        <v>1029067</v>
      </c>
      <c r="L73" s="21">
        <v>1276014</v>
      </c>
      <c r="M73" s="21">
        <v>0</v>
      </c>
      <c r="N73" s="21">
        <v>3624592</v>
      </c>
      <c r="O73" s="21">
        <v>765978</v>
      </c>
      <c r="P73" s="18">
        <f t="shared" si="10"/>
        <v>145817</v>
      </c>
      <c r="Q73" s="21">
        <v>54776</v>
      </c>
      <c r="R73" s="21">
        <v>91041</v>
      </c>
      <c r="S73" s="21">
        <v>0</v>
      </c>
      <c r="T73" s="21">
        <v>63455</v>
      </c>
      <c r="U73" s="18">
        <f>SUM(V73:AC73)</f>
        <v>10500</v>
      </c>
      <c r="V73" s="21">
        <v>10500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f>SUM(AF73:AZ73)</f>
        <v>2345682</v>
      </c>
      <c r="AF73" s="18">
        <v>0</v>
      </c>
      <c r="AG73" s="18">
        <v>0</v>
      </c>
      <c r="AH73" s="21">
        <v>6000</v>
      </c>
      <c r="AI73" s="21">
        <v>300000</v>
      </c>
      <c r="AJ73" s="21">
        <v>0</v>
      </c>
      <c r="AK73" s="21">
        <v>0</v>
      </c>
      <c r="AL73" s="21">
        <v>0</v>
      </c>
      <c r="AM73" s="21">
        <v>0</v>
      </c>
      <c r="AN73" s="21">
        <v>10000</v>
      </c>
      <c r="AO73" s="21">
        <v>29682</v>
      </c>
      <c r="AP73" s="21">
        <v>0</v>
      </c>
      <c r="AQ73" s="21">
        <v>0</v>
      </c>
      <c r="AR73" s="21">
        <v>0</v>
      </c>
      <c r="AS73" s="21">
        <v>0</v>
      </c>
      <c r="AT73" s="21">
        <v>0</v>
      </c>
      <c r="AU73" s="21">
        <v>0</v>
      </c>
      <c r="AV73" s="21">
        <v>0</v>
      </c>
      <c r="AW73" s="21">
        <v>2000000</v>
      </c>
      <c r="AX73" s="21">
        <v>0</v>
      </c>
      <c r="AY73" s="21">
        <v>0</v>
      </c>
      <c r="AZ73" s="21">
        <v>0</v>
      </c>
      <c r="BA73" s="18">
        <f>SUM(BB73+BF73+BJ73+BL73+BO73)</f>
        <v>4694818</v>
      </c>
      <c r="BB73" s="18">
        <f>SUM(BC73:BE73)</f>
        <v>0</v>
      </c>
      <c r="BC73" s="18">
        <v>0</v>
      </c>
      <c r="BD73" s="18">
        <v>0</v>
      </c>
      <c r="BE73" s="18">
        <v>0</v>
      </c>
      <c r="BF73" s="18">
        <f>SUM(BG73:BI73)</f>
        <v>0</v>
      </c>
      <c r="BG73" s="18">
        <v>0</v>
      </c>
      <c r="BH73" s="18">
        <v>0</v>
      </c>
      <c r="BI73" s="18">
        <v>0</v>
      </c>
      <c r="BJ73" s="18">
        <v>0</v>
      </c>
      <c r="BK73" s="18">
        <v>0</v>
      </c>
      <c r="BL73" s="18">
        <f t="shared" si="11"/>
        <v>0</v>
      </c>
      <c r="BM73" s="18">
        <v>0</v>
      </c>
      <c r="BN73" s="18">
        <v>0</v>
      </c>
      <c r="BO73" s="18">
        <f>SUM(BP73:BZ73)</f>
        <v>4694818</v>
      </c>
      <c r="BP73" s="18">
        <v>0</v>
      </c>
      <c r="BQ73" s="18">
        <v>0</v>
      </c>
      <c r="BR73" s="18">
        <v>0</v>
      </c>
      <c r="BS73" s="18">
        <v>0</v>
      </c>
      <c r="BT73" s="18">
        <v>0</v>
      </c>
      <c r="BU73" s="18">
        <v>0</v>
      </c>
      <c r="BV73" s="18">
        <v>0</v>
      </c>
      <c r="BW73" s="18">
        <v>0</v>
      </c>
      <c r="BX73" s="18">
        <v>0</v>
      </c>
      <c r="BY73" s="21">
        <v>4000000</v>
      </c>
      <c r="BZ73" s="21">
        <v>694818</v>
      </c>
      <c r="CA73" s="18">
        <f>SUM(CB73+CN73)</f>
        <v>2639840</v>
      </c>
      <c r="CB73" s="18">
        <f>SUM(CC73+CF73+CK73)</f>
        <v>2639840</v>
      </c>
      <c r="CC73" s="18">
        <f t="shared" si="12"/>
        <v>1564679</v>
      </c>
      <c r="CD73" s="18">
        <v>0</v>
      </c>
      <c r="CE73" s="21">
        <v>1564679</v>
      </c>
      <c r="CF73" s="18">
        <f>SUM(CG73:CJ73)</f>
        <v>0</v>
      </c>
      <c r="CG73" s="18">
        <v>0</v>
      </c>
      <c r="CH73" s="18">
        <v>0</v>
      </c>
      <c r="CI73" s="18">
        <v>0</v>
      </c>
      <c r="CJ73" s="18">
        <v>0</v>
      </c>
      <c r="CK73" s="18">
        <f>SUM(CL73:CM73)</f>
        <v>1075161</v>
      </c>
      <c r="CL73" s="18">
        <v>0</v>
      </c>
      <c r="CM73" s="21">
        <v>1075161</v>
      </c>
      <c r="CN73" s="18">
        <v>0</v>
      </c>
      <c r="CO73" s="65"/>
      <c r="CP73" s="65"/>
      <c r="CQ73" s="65"/>
      <c r="CR73" s="65"/>
      <c r="CS73" s="46"/>
      <c r="GP73" s="52"/>
    </row>
    <row r="74" spans="1:198" s="52" customFormat="1" ht="46.8" x14ac:dyDescent="0.3">
      <c r="A74" s="91" t="s">
        <v>118</v>
      </c>
      <c r="B74" s="23" t="s">
        <v>1</v>
      </c>
      <c r="C74" s="24" t="s">
        <v>119</v>
      </c>
      <c r="D74" s="25">
        <f>SUM(D75+D77+D80+D82+D84+D86+D90+D88)</f>
        <v>719998094</v>
      </c>
      <c r="E74" s="25">
        <f t="shared" ref="E74:BP74" si="96">SUM(E75+E77+E80+E82+E84+E86+E90+E88)</f>
        <v>710471744</v>
      </c>
      <c r="F74" s="25">
        <f t="shared" si="96"/>
        <v>707053180</v>
      </c>
      <c r="G74" s="25">
        <f t="shared" si="96"/>
        <v>509387106</v>
      </c>
      <c r="H74" s="25">
        <f t="shared" si="96"/>
        <v>21417964</v>
      </c>
      <c r="I74" s="25">
        <f t="shared" si="96"/>
        <v>75857383</v>
      </c>
      <c r="J74" s="25">
        <f t="shared" si="96"/>
        <v>1077476</v>
      </c>
      <c r="K74" s="25">
        <f t="shared" si="96"/>
        <v>13684896</v>
      </c>
      <c r="L74" s="25">
        <f t="shared" si="96"/>
        <v>24461179</v>
      </c>
      <c r="M74" s="25">
        <f t="shared" si="96"/>
        <v>316905</v>
      </c>
      <c r="N74" s="25">
        <f t="shared" si="96"/>
        <v>31209030</v>
      </c>
      <c r="O74" s="25">
        <f t="shared" si="96"/>
        <v>5107897</v>
      </c>
      <c r="P74" s="25">
        <f t="shared" si="96"/>
        <v>6636185</v>
      </c>
      <c r="Q74" s="25">
        <f t="shared" si="96"/>
        <v>71095</v>
      </c>
      <c r="R74" s="25">
        <f t="shared" si="96"/>
        <v>6565090</v>
      </c>
      <c r="S74" s="25">
        <f t="shared" si="96"/>
        <v>45833</v>
      </c>
      <c r="T74" s="25">
        <f t="shared" si="96"/>
        <v>5526610</v>
      </c>
      <c r="U74" s="25">
        <f t="shared" si="96"/>
        <v>31705889</v>
      </c>
      <c r="V74" s="25">
        <f t="shared" si="96"/>
        <v>1388949</v>
      </c>
      <c r="W74" s="25">
        <f t="shared" si="96"/>
        <v>4193444</v>
      </c>
      <c r="X74" s="25">
        <f t="shared" si="96"/>
        <v>18713025</v>
      </c>
      <c r="Y74" s="25">
        <f t="shared" si="96"/>
        <v>4775984</v>
      </c>
      <c r="Z74" s="25">
        <f t="shared" si="96"/>
        <v>447967</v>
      </c>
      <c r="AA74" s="25">
        <f t="shared" si="96"/>
        <v>53224</v>
      </c>
      <c r="AB74" s="25">
        <f t="shared" si="96"/>
        <v>0</v>
      </c>
      <c r="AC74" s="25">
        <f t="shared" si="96"/>
        <v>2133296</v>
      </c>
      <c r="AD74" s="25">
        <f t="shared" si="96"/>
        <v>0</v>
      </c>
      <c r="AE74" s="25">
        <f t="shared" si="96"/>
        <v>56476210</v>
      </c>
      <c r="AF74" s="25">
        <f t="shared" si="96"/>
        <v>0</v>
      </c>
      <c r="AG74" s="25">
        <f t="shared" si="96"/>
        <v>0</v>
      </c>
      <c r="AH74" s="25">
        <f t="shared" si="96"/>
        <v>212275</v>
      </c>
      <c r="AI74" s="25">
        <f t="shared" si="96"/>
        <v>944319</v>
      </c>
      <c r="AJ74" s="25">
        <f t="shared" si="96"/>
        <v>0</v>
      </c>
      <c r="AK74" s="25">
        <f t="shared" si="96"/>
        <v>6626</v>
      </c>
      <c r="AL74" s="25">
        <f t="shared" si="96"/>
        <v>27334</v>
      </c>
      <c r="AM74" s="25">
        <f t="shared" si="96"/>
        <v>28554</v>
      </c>
      <c r="AN74" s="25">
        <f t="shared" si="96"/>
        <v>1021847</v>
      </c>
      <c r="AO74" s="25">
        <f t="shared" si="96"/>
        <v>127361</v>
      </c>
      <c r="AP74" s="25">
        <f t="shared" si="96"/>
        <v>6072</v>
      </c>
      <c r="AQ74" s="25">
        <f t="shared" si="96"/>
        <v>2399023</v>
      </c>
      <c r="AR74" s="25">
        <f t="shared" si="96"/>
        <v>2483359</v>
      </c>
      <c r="AS74" s="25">
        <f t="shared" si="96"/>
        <v>334800</v>
      </c>
      <c r="AT74" s="25"/>
      <c r="AU74" s="25"/>
      <c r="AV74" s="25">
        <f t="shared" si="96"/>
        <v>0</v>
      </c>
      <c r="AW74" s="25">
        <f t="shared" si="96"/>
        <v>39373840</v>
      </c>
      <c r="AX74" s="25">
        <f t="shared" si="96"/>
        <v>604927</v>
      </c>
      <c r="AY74" s="25">
        <f t="shared" si="96"/>
        <v>984912</v>
      </c>
      <c r="AZ74" s="25">
        <f t="shared" si="96"/>
        <v>7920961</v>
      </c>
      <c r="BA74" s="25">
        <f t="shared" si="96"/>
        <v>3418564</v>
      </c>
      <c r="BB74" s="25">
        <f t="shared" si="96"/>
        <v>0</v>
      </c>
      <c r="BC74" s="25">
        <f t="shared" si="96"/>
        <v>0</v>
      </c>
      <c r="BD74" s="25">
        <f t="shared" si="96"/>
        <v>0</v>
      </c>
      <c r="BE74" s="25">
        <f t="shared" si="96"/>
        <v>0</v>
      </c>
      <c r="BF74" s="25">
        <f t="shared" si="96"/>
        <v>0</v>
      </c>
      <c r="BG74" s="25">
        <f t="shared" si="96"/>
        <v>0</v>
      </c>
      <c r="BH74" s="25">
        <f t="shared" ref="BH74" si="97">SUM(BH75+BH77+BH80+BH82+BH84+BH86+BH90+BH88)</f>
        <v>0</v>
      </c>
      <c r="BI74" s="25">
        <f t="shared" si="96"/>
        <v>0</v>
      </c>
      <c r="BJ74" s="25">
        <f t="shared" si="96"/>
        <v>0</v>
      </c>
      <c r="BK74" s="25">
        <f t="shared" ref="BK74" si="98">SUM(BK75+BK77+BK80+BK82+BK84+BK86+BK90+BK88)</f>
        <v>0</v>
      </c>
      <c r="BL74" s="25">
        <f t="shared" si="96"/>
        <v>765520</v>
      </c>
      <c r="BM74" s="25">
        <f t="shared" si="96"/>
        <v>765520</v>
      </c>
      <c r="BN74" s="25">
        <f t="shared" ref="BN74" si="99">SUM(BN75+BN77+BN80+BN82+BN84+BN86+BN90+BN88)</f>
        <v>0</v>
      </c>
      <c r="BO74" s="25">
        <f t="shared" si="96"/>
        <v>2653044</v>
      </c>
      <c r="BP74" s="25">
        <f t="shared" si="96"/>
        <v>0</v>
      </c>
      <c r="BQ74" s="25">
        <f t="shared" ref="BQ74:CQ74" si="100">SUM(BQ75+BQ77+BQ80+BQ82+BQ84+BQ86+BQ90+BQ88)</f>
        <v>0</v>
      </c>
      <c r="BR74" s="25">
        <f t="shared" si="100"/>
        <v>2539</v>
      </c>
      <c r="BS74" s="25">
        <f t="shared" si="100"/>
        <v>0</v>
      </c>
      <c r="BT74" s="25">
        <f t="shared" si="100"/>
        <v>0</v>
      </c>
      <c r="BU74" s="25">
        <f t="shared" si="100"/>
        <v>0</v>
      </c>
      <c r="BV74" s="25">
        <f t="shared" si="100"/>
        <v>0</v>
      </c>
      <c r="BW74" s="25">
        <f t="shared" si="100"/>
        <v>0</v>
      </c>
      <c r="BX74" s="25">
        <f t="shared" si="100"/>
        <v>0</v>
      </c>
      <c r="BY74" s="25">
        <f t="shared" si="100"/>
        <v>1393566</v>
      </c>
      <c r="BZ74" s="25">
        <f t="shared" si="100"/>
        <v>1256939</v>
      </c>
      <c r="CA74" s="25">
        <f t="shared" si="100"/>
        <v>9526350</v>
      </c>
      <c r="CB74" s="25">
        <f t="shared" si="100"/>
        <v>4708474</v>
      </c>
      <c r="CC74" s="25">
        <f t="shared" si="100"/>
        <v>2922468</v>
      </c>
      <c r="CD74" s="25">
        <f t="shared" si="100"/>
        <v>0</v>
      </c>
      <c r="CE74" s="25">
        <f t="shared" si="100"/>
        <v>2922468</v>
      </c>
      <c r="CF74" s="25">
        <f t="shared" si="100"/>
        <v>118306</v>
      </c>
      <c r="CG74" s="25">
        <f t="shared" ref="CG74:CH74" si="101">SUM(CG75+CG77+CG80+CG82+CG84+CG86+CG90+CG88)</f>
        <v>0</v>
      </c>
      <c r="CH74" s="25">
        <f t="shared" si="101"/>
        <v>118306</v>
      </c>
      <c r="CI74" s="25">
        <f t="shared" si="100"/>
        <v>0</v>
      </c>
      <c r="CJ74" s="25">
        <f t="shared" ref="CJ74" si="102">SUM(CJ75+CJ77+CJ80+CJ82+CJ84+CJ86+CJ90+CJ88)</f>
        <v>0</v>
      </c>
      <c r="CK74" s="25">
        <f t="shared" si="100"/>
        <v>1667700</v>
      </c>
      <c r="CL74" s="25">
        <f t="shared" ref="CL74" si="103">SUM(CL75+CL77+CL80+CL82+CL84+CL86+CL90+CL88)</f>
        <v>0</v>
      </c>
      <c r="CM74" s="25">
        <f t="shared" si="100"/>
        <v>1667700</v>
      </c>
      <c r="CN74" s="25">
        <f t="shared" si="100"/>
        <v>4817876</v>
      </c>
      <c r="CO74" s="25">
        <f t="shared" si="100"/>
        <v>0</v>
      </c>
      <c r="CP74" s="25">
        <f t="shared" si="100"/>
        <v>0</v>
      </c>
      <c r="CQ74" s="25">
        <f t="shared" si="100"/>
        <v>0</v>
      </c>
      <c r="CR74" s="25">
        <f t="shared" ref="CR74" si="104">SUM(CR75+CR77+CR80+CR82+CR84+CR86+CR90+CR88)</f>
        <v>0</v>
      </c>
      <c r="CS74" s="51"/>
      <c r="GP74" s="68"/>
    </row>
    <row r="75" spans="1:198" s="52" customFormat="1" ht="15.6" x14ac:dyDescent="0.3">
      <c r="A75" s="89" t="s">
        <v>120</v>
      </c>
      <c r="B75" s="15" t="s">
        <v>1</v>
      </c>
      <c r="C75" s="16" t="s">
        <v>121</v>
      </c>
      <c r="D75" s="17">
        <f t="shared" ref="D75:BR75" si="105">SUM(D76)</f>
        <v>310155197</v>
      </c>
      <c r="E75" s="17">
        <f t="shared" si="105"/>
        <v>303673184</v>
      </c>
      <c r="F75" s="17">
        <f t="shared" si="105"/>
        <v>302463584</v>
      </c>
      <c r="G75" s="17">
        <f t="shared" si="105"/>
        <v>222297483</v>
      </c>
      <c r="H75" s="17">
        <f t="shared" si="105"/>
        <v>13107444</v>
      </c>
      <c r="I75" s="17">
        <f t="shared" si="105"/>
        <v>32122542</v>
      </c>
      <c r="J75" s="17">
        <f t="shared" si="105"/>
        <v>346230</v>
      </c>
      <c r="K75" s="17">
        <f t="shared" si="105"/>
        <v>7294740</v>
      </c>
      <c r="L75" s="17">
        <f t="shared" si="105"/>
        <v>4068034</v>
      </c>
      <c r="M75" s="17">
        <f t="shared" si="105"/>
        <v>0</v>
      </c>
      <c r="N75" s="17">
        <f t="shared" si="105"/>
        <v>18432721</v>
      </c>
      <c r="O75" s="17">
        <f t="shared" si="105"/>
        <v>1980817</v>
      </c>
      <c r="P75" s="17">
        <f t="shared" si="105"/>
        <v>34260</v>
      </c>
      <c r="Q75" s="17">
        <f t="shared" si="105"/>
        <v>34260</v>
      </c>
      <c r="R75" s="17">
        <f t="shared" si="105"/>
        <v>0</v>
      </c>
      <c r="S75" s="17">
        <f t="shared" si="105"/>
        <v>45528</v>
      </c>
      <c r="T75" s="17">
        <f t="shared" si="105"/>
        <v>3704836</v>
      </c>
      <c r="U75" s="17">
        <f t="shared" si="105"/>
        <v>9512661</v>
      </c>
      <c r="V75" s="17">
        <f t="shared" si="105"/>
        <v>144547</v>
      </c>
      <c r="W75" s="17">
        <f t="shared" si="105"/>
        <v>2735893</v>
      </c>
      <c r="X75" s="17">
        <f t="shared" si="105"/>
        <v>5373539</v>
      </c>
      <c r="Y75" s="17">
        <f t="shared" si="105"/>
        <v>734196</v>
      </c>
      <c r="Z75" s="17">
        <f t="shared" si="105"/>
        <v>98006</v>
      </c>
      <c r="AA75" s="17">
        <f t="shared" si="105"/>
        <v>37350</v>
      </c>
      <c r="AB75" s="17">
        <f t="shared" si="105"/>
        <v>0</v>
      </c>
      <c r="AC75" s="17">
        <f t="shared" si="105"/>
        <v>389130</v>
      </c>
      <c r="AD75" s="17">
        <f t="shared" si="105"/>
        <v>0</v>
      </c>
      <c r="AE75" s="17">
        <f t="shared" si="105"/>
        <v>21638830</v>
      </c>
      <c r="AF75" s="17">
        <f t="shared" si="105"/>
        <v>0</v>
      </c>
      <c r="AG75" s="17">
        <f t="shared" si="105"/>
        <v>0</v>
      </c>
      <c r="AH75" s="17">
        <f t="shared" si="105"/>
        <v>82025</v>
      </c>
      <c r="AI75" s="17">
        <f t="shared" si="105"/>
        <v>93364</v>
      </c>
      <c r="AJ75" s="17">
        <f t="shared" si="105"/>
        <v>0</v>
      </c>
      <c r="AK75" s="17">
        <f t="shared" si="105"/>
        <v>0</v>
      </c>
      <c r="AL75" s="17">
        <f t="shared" si="105"/>
        <v>4875</v>
      </c>
      <c r="AM75" s="17">
        <f t="shared" si="105"/>
        <v>18023</v>
      </c>
      <c r="AN75" s="17">
        <f t="shared" si="105"/>
        <v>858604</v>
      </c>
      <c r="AO75" s="17">
        <f t="shared" si="105"/>
        <v>18042</v>
      </c>
      <c r="AP75" s="17">
        <f t="shared" si="105"/>
        <v>4292</v>
      </c>
      <c r="AQ75" s="17">
        <f t="shared" si="105"/>
        <v>2233413</v>
      </c>
      <c r="AR75" s="17">
        <f t="shared" si="105"/>
        <v>1832846</v>
      </c>
      <c r="AS75" s="17">
        <f t="shared" si="105"/>
        <v>72000</v>
      </c>
      <c r="AT75" s="17"/>
      <c r="AU75" s="17"/>
      <c r="AV75" s="17">
        <f t="shared" si="105"/>
        <v>0</v>
      </c>
      <c r="AW75" s="17">
        <f t="shared" si="105"/>
        <v>9610780</v>
      </c>
      <c r="AX75" s="17">
        <f t="shared" si="105"/>
        <v>104927</v>
      </c>
      <c r="AY75" s="17">
        <f t="shared" si="105"/>
        <v>0</v>
      </c>
      <c r="AZ75" s="17">
        <f t="shared" si="105"/>
        <v>6705639</v>
      </c>
      <c r="BA75" s="17">
        <f t="shared" si="105"/>
        <v>1209600</v>
      </c>
      <c r="BB75" s="17">
        <f t="shared" si="105"/>
        <v>0</v>
      </c>
      <c r="BC75" s="17">
        <f t="shared" si="105"/>
        <v>0</v>
      </c>
      <c r="BD75" s="17">
        <f t="shared" si="105"/>
        <v>0</v>
      </c>
      <c r="BE75" s="17">
        <f t="shared" si="105"/>
        <v>0</v>
      </c>
      <c r="BF75" s="17">
        <f t="shared" si="105"/>
        <v>0</v>
      </c>
      <c r="BG75" s="17">
        <f t="shared" si="105"/>
        <v>0</v>
      </c>
      <c r="BH75" s="17">
        <f t="shared" si="105"/>
        <v>0</v>
      </c>
      <c r="BI75" s="17">
        <f t="shared" si="105"/>
        <v>0</v>
      </c>
      <c r="BJ75" s="17">
        <f t="shared" si="105"/>
        <v>0</v>
      </c>
      <c r="BK75" s="17">
        <f t="shared" si="105"/>
        <v>0</v>
      </c>
      <c r="BL75" s="17">
        <f t="shared" si="105"/>
        <v>304566</v>
      </c>
      <c r="BM75" s="17">
        <f t="shared" si="105"/>
        <v>304566</v>
      </c>
      <c r="BN75" s="17">
        <f t="shared" si="105"/>
        <v>0</v>
      </c>
      <c r="BO75" s="17">
        <f t="shared" si="105"/>
        <v>905034</v>
      </c>
      <c r="BP75" s="17">
        <f t="shared" si="105"/>
        <v>0</v>
      </c>
      <c r="BQ75" s="17">
        <f t="shared" si="105"/>
        <v>0</v>
      </c>
      <c r="BR75" s="17">
        <f t="shared" si="105"/>
        <v>2539</v>
      </c>
      <c r="BS75" s="17">
        <f t="shared" ref="BS75:CN75" si="106">SUM(BS76)</f>
        <v>0</v>
      </c>
      <c r="BT75" s="17">
        <f t="shared" si="106"/>
        <v>0</v>
      </c>
      <c r="BU75" s="17">
        <f t="shared" si="106"/>
        <v>0</v>
      </c>
      <c r="BV75" s="17">
        <f t="shared" si="106"/>
        <v>0</v>
      </c>
      <c r="BW75" s="17">
        <f t="shared" si="106"/>
        <v>0</v>
      </c>
      <c r="BX75" s="17">
        <f t="shared" si="106"/>
        <v>0</v>
      </c>
      <c r="BY75" s="17">
        <f t="shared" si="106"/>
        <v>289687</v>
      </c>
      <c r="BZ75" s="17">
        <f t="shared" si="106"/>
        <v>612808</v>
      </c>
      <c r="CA75" s="17">
        <f t="shared" si="106"/>
        <v>6482013</v>
      </c>
      <c r="CB75" s="17">
        <f t="shared" si="106"/>
        <v>1664137</v>
      </c>
      <c r="CC75" s="17">
        <f t="shared" si="106"/>
        <v>117214</v>
      </c>
      <c r="CD75" s="17">
        <f t="shared" si="106"/>
        <v>0</v>
      </c>
      <c r="CE75" s="17">
        <f t="shared" si="106"/>
        <v>117214</v>
      </c>
      <c r="CF75" s="17">
        <f t="shared" si="106"/>
        <v>0</v>
      </c>
      <c r="CG75" s="17">
        <f t="shared" si="106"/>
        <v>0</v>
      </c>
      <c r="CH75" s="17">
        <f t="shared" si="106"/>
        <v>0</v>
      </c>
      <c r="CI75" s="17">
        <f t="shared" si="106"/>
        <v>0</v>
      </c>
      <c r="CJ75" s="17">
        <f t="shared" si="106"/>
        <v>0</v>
      </c>
      <c r="CK75" s="17">
        <f t="shared" si="106"/>
        <v>1546923</v>
      </c>
      <c r="CL75" s="17">
        <f t="shared" si="106"/>
        <v>0</v>
      </c>
      <c r="CM75" s="17">
        <f t="shared" si="106"/>
        <v>1546923</v>
      </c>
      <c r="CN75" s="17">
        <f t="shared" si="106"/>
        <v>4817876</v>
      </c>
      <c r="CO75" s="64"/>
      <c r="CP75" s="64"/>
      <c r="CQ75" s="64"/>
      <c r="CR75" s="64"/>
      <c r="CS75" s="51"/>
    </row>
    <row r="76" spans="1:198" s="68" customFormat="1" ht="15.6" x14ac:dyDescent="0.3">
      <c r="A76" s="92" t="s">
        <v>1</v>
      </c>
      <c r="B76" s="62" t="s">
        <v>122</v>
      </c>
      <c r="C76" s="63" t="s">
        <v>123</v>
      </c>
      <c r="D76" s="65">
        <f>SUM(E76+CA76)</f>
        <v>310155197</v>
      </c>
      <c r="E76" s="65">
        <f>SUM(F76+BA76)</f>
        <v>303673184</v>
      </c>
      <c r="F76" s="65">
        <f>SUM(G76+H76+I76+P76+S76+T76+U76+AE76+AD76)</f>
        <v>302463584</v>
      </c>
      <c r="G76" s="66">
        <f>221644915+652568</f>
        <v>222297483</v>
      </c>
      <c r="H76" s="66">
        <v>13107444</v>
      </c>
      <c r="I76" s="65">
        <f t="shared" si="9"/>
        <v>32122542</v>
      </c>
      <c r="J76" s="66">
        <v>346230</v>
      </c>
      <c r="K76" s="66">
        <f>10421057-3126317</f>
        <v>7294740</v>
      </c>
      <c r="L76" s="66">
        <f>6419351-2351317</f>
        <v>4068034</v>
      </c>
      <c r="M76" s="66">
        <v>0</v>
      </c>
      <c r="N76" s="66">
        <f>20022012-1589291</f>
        <v>18432721</v>
      </c>
      <c r="O76" s="66">
        <f>3961635-1980818</f>
        <v>1980817</v>
      </c>
      <c r="P76" s="65">
        <f t="shared" si="10"/>
        <v>34260</v>
      </c>
      <c r="Q76" s="66">
        <v>34260</v>
      </c>
      <c r="R76" s="66">
        <v>0</v>
      </c>
      <c r="S76" s="66">
        <v>45528</v>
      </c>
      <c r="T76" s="66">
        <v>3704836</v>
      </c>
      <c r="U76" s="65">
        <f>SUM(V76:AC76)</f>
        <v>9512661</v>
      </c>
      <c r="V76" s="66">
        <v>144547</v>
      </c>
      <c r="W76" s="66">
        <f>2726203+1243586-1233896</f>
        <v>2735893</v>
      </c>
      <c r="X76" s="66">
        <f>2604199+2852740-83400</f>
        <v>5373539</v>
      </c>
      <c r="Y76" s="66">
        <f>975227+158070-399101</f>
        <v>734196</v>
      </c>
      <c r="Z76" s="66">
        <v>98006</v>
      </c>
      <c r="AA76" s="66">
        <v>37350</v>
      </c>
      <c r="AB76" s="66">
        <v>0</v>
      </c>
      <c r="AC76" s="66">
        <f>131233+257934-37</f>
        <v>389130</v>
      </c>
      <c r="AD76" s="65">
        <v>0</v>
      </c>
      <c r="AE76" s="65">
        <f>SUM(AF76:AZ76)</f>
        <v>21638830</v>
      </c>
      <c r="AF76" s="65">
        <v>0</v>
      </c>
      <c r="AG76" s="65">
        <v>0</v>
      </c>
      <c r="AH76" s="66">
        <v>82025</v>
      </c>
      <c r="AI76" s="66">
        <f>178998-85634</f>
        <v>93364</v>
      </c>
      <c r="AJ76" s="66">
        <v>0</v>
      </c>
      <c r="AK76" s="66">
        <v>0</v>
      </c>
      <c r="AL76" s="66">
        <v>4875</v>
      </c>
      <c r="AM76" s="66">
        <v>18023</v>
      </c>
      <c r="AN76" s="66">
        <f>975000-16444-99952</f>
        <v>858604</v>
      </c>
      <c r="AO76" s="66">
        <v>18042</v>
      </c>
      <c r="AP76" s="66">
        <f>5175-883</f>
        <v>4292</v>
      </c>
      <c r="AQ76" s="66">
        <f>3191373-957960</f>
        <v>2233413</v>
      </c>
      <c r="AR76" s="66">
        <f>1941053-108207</f>
        <v>1832846</v>
      </c>
      <c r="AS76" s="66">
        <v>72000</v>
      </c>
      <c r="AT76" s="66">
        <v>0</v>
      </c>
      <c r="AU76" s="66">
        <v>0</v>
      </c>
      <c r="AV76" s="66">
        <v>0</v>
      </c>
      <c r="AW76" s="66">
        <f>10263348-652568</f>
        <v>9610780</v>
      </c>
      <c r="AX76" s="66">
        <f>199008-94081</f>
        <v>104927</v>
      </c>
      <c r="AY76" s="66">
        <v>0</v>
      </c>
      <c r="AZ76" s="66">
        <v>6705639</v>
      </c>
      <c r="BA76" s="65">
        <f>SUM(BB76+BF76+BJ76+BL76+BO76)</f>
        <v>1209600</v>
      </c>
      <c r="BB76" s="65">
        <f>SUM(BC76:BE76)</f>
        <v>0</v>
      </c>
      <c r="BC76" s="65">
        <v>0</v>
      </c>
      <c r="BD76" s="65">
        <v>0</v>
      </c>
      <c r="BE76" s="65">
        <v>0</v>
      </c>
      <c r="BF76" s="65">
        <f>SUM(BG76:BI76)</f>
        <v>0</v>
      </c>
      <c r="BG76" s="65">
        <v>0</v>
      </c>
      <c r="BH76" s="65">
        <v>0</v>
      </c>
      <c r="BI76" s="65">
        <v>0</v>
      </c>
      <c r="BJ76" s="65">
        <v>0</v>
      </c>
      <c r="BK76" s="65"/>
      <c r="BL76" s="65">
        <f t="shared" si="11"/>
        <v>304566</v>
      </c>
      <c r="BM76" s="65">
        <v>304566</v>
      </c>
      <c r="BN76" s="65"/>
      <c r="BO76" s="65">
        <f>SUM(BP76:BZ76)</f>
        <v>905034</v>
      </c>
      <c r="BP76" s="65">
        <v>0</v>
      </c>
      <c r="BQ76" s="65">
        <v>0</v>
      </c>
      <c r="BR76" s="66">
        <f>13671-11132</f>
        <v>2539</v>
      </c>
      <c r="BS76" s="65">
        <v>0</v>
      </c>
      <c r="BT76" s="65">
        <v>0</v>
      </c>
      <c r="BU76" s="65">
        <v>0</v>
      </c>
      <c r="BV76" s="65">
        <v>0</v>
      </c>
      <c r="BW76" s="65">
        <v>0</v>
      </c>
      <c r="BX76" s="65">
        <v>0</v>
      </c>
      <c r="BY76" s="66">
        <f>362966-30910-42369</f>
        <v>289687</v>
      </c>
      <c r="BZ76" s="66">
        <f>24204+588604</f>
        <v>612808</v>
      </c>
      <c r="CA76" s="65">
        <f>SUM(CB76+CN76)</f>
        <v>6482013</v>
      </c>
      <c r="CB76" s="65">
        <f>SUM(CC76+CF76+CK76)</f>
        <v>1664137</v>
      </c>
      <c r="CC76" s="65">
        <f t="shared" si="12"/>
        <v>117214</v>
      </c>
      <c r="CD76" s="65">
        <v>0</v>
      </c>
      <c r="CE76" s="66">
        <f>4896247-4779033</f>
        <v>117214</v>
      </c>
      <c r="CF76" s="65">
        <f>SUM(CG76:CJ76)</f>
        <v>0</v>
      </c>
      <c r="CG76" s="65">
        <v>0</v>
      </c>
      <c r="CH76" s="66"/>
      <c r="CI76" s="66"/>
      <c r="CJ76" s="66"/>
      <c r="CK76" s="65">
        <f>SUM(CL76:CM76)</f>
        <v>1546923</v>
      </c>
      <c r="CL76" s="66"/>
      <c r="CM76" s="65">
        <f>0+1393470+153453</f>
        <v>1546923</v>
      </c>
      <c r="CN76" s="65">
        <f>6800000-1982124</f>
        <v>4817876</v>
      </c>
      <c r="CO76" s="65"/>
      <c r="CP76" s="65"/>
      <c r="CQ76" s="65"/>
      <c r="CR76" s="65"/>
      <c r="GP76" s="44"/>
    </row>
    <row r="77" spans="1:198" s="52" customFormat="1" ht="31.2" x14ac:dyDescent="0.3">
      <c r="A77" s="89" t="s">
        <v>124</v>
      </c>
      <c r="B77" s="15" t="s">
        <v>1</v>
      </c>
      <c r="C77" s="16" t="s">
        <v>317</v>
      </c>
      <c r="D77" s="17">
        <f>SUM(D78:D79)</f>
        <v>118727326</v>
      </c>
      <c r="E77" s="17">
        <f t="shared" ref="E77:BU77" si="107">SUM(E78:E79)</f>
        <v>118416056</v>
      </c>
      <c r="F77" s="17">
        <f t="shared" si="107"/>
        <v>118267646</v>
      </c>
      <c r="G77" s="17">
        <f t="shared" si="107"/>
        <v>69298724</v>
      </c>
      <c r="H77" s="17">
        <f t="shared" si="107"/>
        <v>2732236</v>
      </c>
      <c r="I77" s="17">
        <f t="shared" si="107"/>
        <v>26633754</v>
      </c>
      <c r="J77" s="17">
        <f t="shared" si="107"/>
        <v>416844</v>
      </c>
      <c r="K77" s="17">
        <f t="shared" si="107"/>
        <v>4060000</v>
      </c>
      <c r="L77" s="17">
        <f t="shared" si="107"/>
        <v>19558235</v>
      </c>
      <c r="M77" s="17">
        <f t="shared" si="107"/>
        <v>0</v>
      </c>
      <c r="N77" s="17">
        <f t="shared" si="107"/>
        <v>1669529</v>
      </c>
      <c r="O77" s="17">
        <f t="shared" si="107"/>
        <v>929146</v>
      </c>
      <c r="P77" s="17">
        <f t="shared" si="107"/>
        <v>0</v>
      </c>
      <c r="Q77" s="17">
        <f t="shared" si="107"/>
        <v>0</v>
      </c>
      <c r="R77" s="17">
        <f t="shared" si="107"/>
        <v>0</v>
      </c>
      <c r="S77" s="17">
        <f t="shared" si="107"/>
        <v>0</v>
      </c>
      <c r="T77" s="17">
        <f t="shared" si="107"/>
        <v>528699</v>
      </c>
      <c r="U77" s="17">
        <f t="shared" si="107"/>
        <v>14749993</v>
      </c>
      <c r="V77" s="17">
        <f t="shared" si="107"/>
        <v>772170</v>
      </c>
      <c r="W77" s="17">
        <f t="shared" si="107"/>
        <v>114985</v>
      </c>
      <c r="X77" s="17">
        <f t="shared" si="107"/>
        <v>8549551</v>
      </c>
      <c r="Y77" s="17">
        <f t="shared" si="107"/>
        <v>3693844</v>
      </c>
      <c r="Z77" s="17">
        <f t="shared" si="107"/>
        <v>184196</v>
      </c>
      <c r="AA77" s="17">
        <f t="shared" si="107"/>
        <v>0</v>
      </c>
      <c r="AB77" s="17">
        <f t="shared" si="107"/>
        <v>0</v>
      </c>
      <c r="AC77" s="17">
        <f t="shared" si="107"/>
        <v>1435247</v>
      </c>
      <c r="AD77" s="17">
        <f t="shared" si="107"/>
        <v>0</v>
      </c>
      <c r="AE77" s="17">
        <f t="shared" si="107"/>
        <v>4324240</v>
      </c>
      <c r="AF77" s="17">
        <f t="shared" si="107"/>
        <v>0</v>
      </c>
      <c r="AG77" s="17">
        <f t="shared" si="107"/>
        <v>0</v>
      </c>
      <c r="AH77" s="17">
        <f t="shared" si="107"/>
        <v>6936</v>
      </c>
      <c r="AI77" s="17">
        <f t="shared" si="107"/>
        <v>500000</v>
      </c>
      <c r="AJ77" s="17">
        <f t="shared" si="107"/>
        <v>0</v>
      </c>
      <c r="AK77" s="17">
        <f t="shared" si="107"/>
        <v>0</v>
      </c>
      <c r="AL77" s="17">
        <f t="shared" si="107"/>
        <v>0</v>
      </c>
      <c r="AM77" s="17">
        <f t="shared" si="107"/>
        <v>0</v>
      </c>
      <c r="AN77" s="17">
        <f t="shared" si="107"/>
        <v>13540</v>
      </c>
      <c r="AO77" s="17">
        <f t="shared" si="107"/>
        <v>13386</v>
      </c>
      <c r="AP77" s="17">
        <f t="shared" si="107"/>
        <v>0</v>
      </c>
      <c r="AQ77" s="17">
        <f t="shared" si="107"/>
        <v>0</v>
      </c>
      <c r="AR77" s="17">
        <f t="shared" si="107"/>
        <v>193845</v>
      </c>
      <c r="AS77" s="17">
        <f t="shared" si="107"/>
        <v>160000</v>
      </c>
      <c r="AT77" s="17"/>
      <c r="AU77" s="17"/>
      <c r="AV77" s="17">
        <f t="shared" si="107"/>
        <v>0</v>
      </c>
      <c r="AW77" s="17">
        <f t="shared" si="107"/>
        <v>3274142</v>
      </c>
      <c r="AX77" s="17">
        <f t="shared" si="107"/>
        <v>100000</v>
      </c>
      <c r="AY77" s="17"/>
      <c r="AZ77" s="17">
        <f t="shared" si="107"/>
        <v>62391</v>
      </c>
      <c r="BA77" s="17">
        <f t="shared" si="107"/>
        <v>148410</v>
      </c>
      <c r="BB77" s="17">
        <f t="shared" si="107"/>
        <v>0</v>
      </c>
      <c r="BC77" s="17">
        <f t="shared" si="107"/>
        <v>0</v>
      </c>
      <c r="BD77" s="17">
        <f t="shared" si="107"/>
        <v>0</v>
      </c>
      <c r="BE77" s="17">
        <f t="shared" si="107"/>
        <v>0</v>
      </c>
      <c r="BF77" s="17">
        <f t="shared" si="107"/>
        <v>0</v>
      </c>
      <c r="BG77" s="17">
        <f t="shared" si="107"/>
        <v>0</v>
      </c>
      <c r="BH77" s="17">
        <f t="shared" ref="BH77" si="108">SUM(BH78:BH79)</f>
        <v>0</v>
      </c>
      <c r="BI77" s="17">
        <f t="shared" si="107"/>
        <v>0</v>
      </c>
      <c r="BJ77" s="17">
        <f t="shared" si="107"/>
        <v>0</v>
      </c>
      <c r="BK77" s="17">
        <f t="shared" ref="BK77" si="109">SUM(BK78:BK79)</f>
        <v>0</v>
      </c>
      <c r="BL77" s="17">
        <f t="shared" si="107"/>
        <v>148410</v>
      </c>
      <c r="BM77" s="17">
        <f t="shared" si="107"/>
        <v>148410</v>
      </c>
      <c r="BN77" s="17">
        <f t="shared" ref="BN77" si="110">SUM(BN78:BN79)</f>
        <v>0</v>
      </c>
      <c r="BO77" s="17">
        <f t="shared" si="107"/>
        <v>0</v>
      </c>
      <c r="BP77" s="17">
        <f t="shared" si="107"/>
        <v>0</v>
      </c>
      <c r="BQ77" s="17">
        <f t="shared" si="107"/>
        <v>0</v>
      </c>
      <c r="BR77" s="17">
        <f t="shared" si="107"/>
        <v>0</v>
      </c>
      <c r="BS77" s="17">
        <f t="shared" si="107"/>
        <v>0</v>
      </c>
      <c r="BT77" s="17">
        <f t="shared" si="107"/>
        <v>0</v>
      </c>
      <c r="BU77" s="17">
        <f t="shared" si="107"/>
        <v>0</v>
      </c>
      <c r="BV77" s="17">
        <f t="shared" ref="BV77:CN77" si="111">SUM(BV78:BV79)</f>
        <v>0</v>
      </c>
      <c r="BW77" s="17">
        <f t="shared" si="111"/>
        <v>0</v>
      </c>
      <c r="BX77" s="17">
        <f t="shared" si="111"/>
        <v>0</v>
      </c>
      <c r="BY77" s="17">
        <f t="shared" si="111"/>
        <v>0</v>
      </c>
      <c r="BZ77" s="17">
        <f t="shared" si="111"/>
        <v>0</v>
      </c>
      <c r="CA77" s="17">
        <f t="shared" si="111"/>
        <v>311270</v>
      </c>
      <c r="CB77" s="17">
        <f t="shared" si="111"/>
        <v>311270</v>
      </c>
      <c r="CC77" s="17">
        <f t="shared" si="111"/>
        <v>311270</v>
      </c>
      <c r="CD77" s="17">
        <f t="shared" si="111"/>
        <v>0</v>
      </c>
      <c r="CE77" s="17">
        <f t="shared" si="111"/>
        <v>311270</v>
      </c>
      <c r="CF77" s="17">
        <f t="shared" si="111"/>
        <v>0</v>
      </c>
      <c r="CG77" s="17">
        <f t="shared" ref="CG77:CH77" si="112">SUM(CG78:CG79)</f>
        <v>0</v>
      </c>
      <c r="CH77" s="17">
        <f t="shared" si="112"/>
        <v>0</v>
      </c>
      <c r="CI77" s="17">
        <f t="shared" si="111"/>
        <v>0</v>
      </c>
      <c r="CJ77" s="17">
        <f t="shared" ref="CJ77" si="113">SUM(CJ78:CJ79)</f>
        <v>0</v>
      </c>
      <c r="CK77" s="17">
        <f t="shared" si="111"/>
        <v>0</v>
      </c>
      <c r="CL77" s="17">
        <f t="shared" ref="CL77" si="114">SUM(CL78:CL79)</f>
        <v>0</v>
      </c>
      <c r="CM77" s="17">
        <f t="shared" si="111"/>
        <v>0</v>
      </c>
      <c r="CN77" s="17">
        <f t="shared" si="111"/>
        <v>0</v>
      </c>
      <c r="CO77" s="64"/>
      <c r="CP77" s="64"/>
      <c r="CQ77" s="64"/>
      <c r="CR77" s="64"/>
      <c r="CS77" s="51"/>
    </row>
    <row r="78" spans="1:198" s="68" customFormat="1" ht="15.6" x14ac:dyDescent="0.3">
      <c r="A78" s="92" t="s">
        <v>1</v>
      </c>
      <c r="B78" s="62" t="s">
        <v>125</v>
      </c>
      <c r="C78" s="63" t="s">
        <v>126</v>
      </c>
      <c r="D78" s="65">
        <f>SUM(E78+CA78)</f>
        <v>7759655</v>
      </c>
      <c r="E78" s="65">
        <f>SUM(F78+BA78)</f>
        <v>7759655</v>
      </c>
      <c r="F78" s="65">
        <f>SUM(G78+H78+I78+P78+S78+T78+U78+AE78+AD78)</f>
        <v>7759655</v>
      </c>
      <c r="G78" s="66">
        <v>6331904</v>
      </c>
      <c r="H78" s="66">
        <v>164483</v>
      </c>
      <c r="I78" s="65">
        <f t="shared" si="9"/>
        <v>291545</v>
      </c>
      <c r="J78" s="66">
        <v>0</v>
      </c>
      <c r="K78" s="66">
        <f>150685-150685</f>
        <v>0</v>
      </c>
      <c r="L78" s="66">
        <v>0</v>
      </c>
      <c r="M78" s="66">
        <v>0</v>
      </c>
      <c r="N78" s="66">
        <v>291545</v>
      </c>
      <c r="O78" s="66">
        <v>0</v>
      </c>
      <c r="P78" s="65">
        <f t="shared" si="10"/>
        <v>0</v>
      </c>
      <c r="Q78" s="66">
        <v>0</v>
      </c>
      <c r="R78" s="66">
        <v>0</v>
      </c>
      <c r="S78" s="66">
        <v>0</v>
      </c>
      <c r="T78" s="66">
        <v>266980</v>
      </c>
      <c r="U78" s="65">
        <f t="shared" ref="U78:U79" si="115">SUM(V78:AC78)</f>
        <v>245185</v>
      </c>
      <c r="V78" s="66">
        <v>0</v>
      </c>
      <c r="W78" s="66">
        <f>64598+43247</f>
        <v>107845</v>
      </c>
      <c r="X78" s="66">
        <f>42751+46038+27596</f>
        <v>116385</v>
      </c>
      <c r="Y78" s="66">
        <f>10379+2325</f>
        <v>12704</v>
      </c>
      <c r="Z78" s="66">
        <v>2894</v>
      </c>
      <c r="AA78" s="66">
        <v>0</v>
      </c>
      <c r="AB78" s="66">
        <v>0</v>
      </c>
      <c r="AC78" s="66">
        <f>1460+3897</f>
        <v>5357</v>
      </c>
      <c r="AD78" s="65">
        <v>0</v>
      </c>
      <c r="AE78" s="65">
        <f>SUM(AF78:AZ78)</f>
        <v>459558</v>
      </c>
      <c r="AF78" s="65">
        <v>0</v>
      </c>
      <c r="AG78" s="65">
        <v>0</v>
      </c>
      <c r="AH78" s="66">
        <v>0</v>
      </c>
      <c r="AI78" s="66">
        <v>0</v>
      </c>
      <c r="AJ78" s="66">
        <v>0</v>
      </c>
      <c r="AK78" s="66">
        <v>0</v>
      </c>
      <c r="AL78" s="66">
        <v>0</v>
      </c>
      <c r="AM78" s="66">
        <v>0</v>
      </c>
      <c r="AN78" s="66">
        <v>0</v>
      </c>
      <c r="AO78" s="66">
        <v>0</v>
      </c>
      <c r="AP78" s="66">
        <v>0</v>
      </c>
      <c r="AQ78" s="66">
        <v>0</v>
      </c>
      <c r="AR78" s="66">
        <v>0</v>
      </c>
      <c r="AS78" s="66">
        <v>0</v>
      </c>
      <c r="AT78" s="66">
        <v>0</v>
      </c>
      <c r="AU78" s="66">
        <v>0</v>
      </c>
      <c r="AV78" s="66">
        <v>0</v>
      </c>
      <c r="AW78" s="66">
        <v>459558</v>
      </c>
      <c r="AX78" s="66">
        <v>0</v>
      </c>
      <c r="AY78" s="66">
        <v>0</v>
      </c>
      <c r="AZ78" s="66">
        <v>0</v>
      </c>
      <c r="BA78" s="65">
        <f>SUM(BB78+BF78+BJ78+BL78+BO78)</f>
        <v>0</v>
      </c>
      <c r="BB78" s="65">
        <f>SUM(BC78:BE78)</f>
        <v>0</v>
      </c>
      <c r="BC78" s="65">
        <v>0</v>
      </c>
      <c r="BD78" s="65">
        <v>0</v>
      </c>
      <c r="BE78" s="65">
        <v>0</v>
      </c>
      <c r="BF78" s="65">
        <f>SUM(BG78:BI78)</f>
        <v>0</v>
      </c>
      <c r="BG78" s="65">
        <v>0</v>
      </c>
      <c r="BH78" s="65">
        <v>0</v>
      </c>
      <c r="BI78" s="65">
        <v>0</v>
      </c>
      <c r="BJ78" s="65">
        <v>0</v>
      </c>
      <c r="BK78" s="65">
        <v>0</v>
      </c>
      <c r="BL78" s="65">
        <f t="shared" si="11"/>
        <v>0</v>
      </c>
      <c r="BM78" s="65">
        <v>0</v>
      </c>
      <c r="BN78" s="65">
        <v>0</v>
      </c>
      <c r="BO78" s="65">
        <f>SUM(BP78:BZ78)</f>
        <v>0</v>
      </c>
      <c r="BP78" s="65">
        <v>0</v>
      </c>
      <c r="BQ78" s="65">
        <v>0</v>
      </c>
      <c r="BR78" s="65">
        <v>0</v>
      </c>
      <c r="BS78" s="65">
        <v>0</v>
      </c>
      <c r="BT78" s="65">
        <v>0</v>
      </c>
      <c r="BU78" s="65">
        <v>0</v>
      </c>
      <c r="BV78" s="65">
        <v>0</v>
      </c>
      <c r="BW78" s="65">
        <v>0</v>
      </c>
      <c r="BX78" s="65">
        <v>0</v>
      </c>
      <c r="BY78" s="65">
        <v>0</v>
      </c>
      <c r="BZ78" s="65">
        <v>0</v>
      </c>
      <c r="CA78" s="65">
        <f>SUM(CB78+CN78)</f>
        <v>0</v>
      </c>
      <c r="CB78" s="65">
        <f>SUM(CC78+CF78+CK78)</f>
        <v>0</v>
      </c>
      <c r="CC78" s="65">
        <f t="shared" si="12"/>
        <v>0</v>
      </c>
      <c r="CD78" s="65">
        <v>0</v>
      </c>
      <c r="CE78" s="66"/>
      <c r="CF78" s="65">
        <f>SUM(CG78:CJ78)</f>
        <v>0</v>
      </c>
      <c r="CG78" s="65">
        <v>0</v>
      </c>
      <c r="CH78" s="65"/>
      <c r="CI78" s="65">
        <v>0</v>
      </c>
      <c r="CJ78" s="65">
        <v>0</v>
      </c>
      <c r="CK78" s="65">
        <f>SUM(CL78:CM78)</f>
        <v>0</v>
      </c>
      <c r="CL78" s="65">
        <v>0</v>
      </c>
      <c r="CM78" s="65">
        <v>0</v>
      </c>
      <c r="CN78" s="65">
        <v>0</v>
      </c>
      <c r="CO78" s="65"/>
      <c r="CP78" s="65"/>
      <c r="CQ78" s="65"/>
      <c r="CR78" s="65"/>
      <c r="GP78" s="52"/>
    </row>
    <row r="79" spans="1:198" s="68" customFormat="1" ht="15.6" x14ac:dyDescent="0.3">
      <c r="A79" s="92" t="s">
        <v>1</v>
      </c>
      <c r="B79" s="62" t="s">
        <v>127</v>
      </c>
      <c r="C79" s="63" t="s">
        <v>128</v>
      </c>
      <c r="D79" s="65">
        <f>SUM(E79+CA79)</f>
        <v>110967671</v>
      </c>
      <c r="E79" s="65">
        <f>SUM(F79+BA79)</f>
        <v>110656401</v>
      </c>
      <c r="F79" s="65">
        <f>SUM(G79+H79+I79+P79+S79+T79+U79+AE79+AD79)</f>
        <v>110507991</v>
      </c>
      <c r="G79" s="66">
        <f>61892285+1074535</f>
        <v>62966820</v>
      </c>
      <c r="H79" s="66">
        <v>2567753</v>
      </c>
      <c r="I79" s="65">
        <f t="shared" si="9"/>
        <v>26342209</v>
      </c>
      <c r="J79" s="66">
        <v>416844</v>
      </c>
      <c r="K79" s="66">
        <f>5800000-1740000</f>
        <v>4060000</v>
      </c>
      <c r="L79" s="66">
        <v>19558235</v>
      </c>
      <c r="M79" s="66">
        <v>0</v>
      </c>
      <c r="N79" s="66">
        <f>1842477-464493</f>
        <v>1377984</v>
      </c>
      <c r="O79" s="66">
        <f>1620277-691131</f>
        <v>929146</v>
      </c>
      <c r="P79" s="65">
        <f t="shared" si="10"/>
        <v>0</v>
      </c>
      <c r="Q79" s="66"/>
      <c r="R79" s="66"/>
      <c r="S79" s="66"/>
      <c r="T79" s="66">
        <f>207842+53877</f>
        <v>261719</v>
      </c>
      <c r="U79" s="65">
        <f t="shared" si="115"/>
        <v>14504808</v>
      </c>
      <c r="V79" s="66">
        <f>719114+53056</f>
        <v>772170</v>
      </c>
      <c r="W79" s="66">
        <f>5274+1866</f>
        <v>7140</v>
      </c>
      <c r="X79" s="66">
        <f>3932148+4501018</f>
        <v>8433166</v>
      </c>
      <c r="Y79" s="66">
        <f>3027185+653955</f>
        <v>3681140</v>
      </c>
      <c r="Z79" s="66">
        <f>175439+5863</f>
        <v>181302</v>
      </c>
      <c r="AA79" s="66">
        <v>0</v>
      </c>
      <c r="AB79" s="66">
        <v>0</v>
      </c>
      <c r="AC79" s="66">
        <f>449936+979954</f>
        <v>1429890</v>
      </c>
      <c r="AD79" s="65">
        <v>0</v>
      </c>
      <c r="AE79" s="65">
        <f>SUM(AF79:AZ79)</f>
        <v>3864682</v>
      </c>
      <c r="AF79" s="65">
        <v>0</v>
      </c>
      <c r="AG79" s="65">
        <v>0</v>
      </c>
      <c r="AH79" s="66">
        <v>6936</v>
      </c>
      <c r="AI79" s="66">
        <v>500000</v>
      </c>
      <c r="AJ79" s="66">
        <v>0</v>
      </c>
      <c r="AK79" s="66">
        <v>0</v>
      </c>
      <c r="AL79" s="66">
        <v>0</v>
      </c>
      <c r="AM79" s="66">
        <v>0</v>
      </c>
      <c r="AN79" s="66">
        <f>26000-12460</f>
        <v>13540</v>
      </c>
      <c r="AO79" s="66">
        <v>13386</v>
      </c>
      <c r="AP79" s="66">
        <v>0</v>
      </c>
      <c r="AQ79" s="66">
        <v>0</v>
      </c>
      <c r="AR79" s="66">
        <f>214791-20946</f>
        <v>193845</v>
      </c>
      <c r="AS79" s="66">
        <v>160000</v>
      </c>
      <c r="AT79" s="66">
        <v>0</v>
      </c>
      <c r="AU79" s="66">
        <v>0</v>
      </c>
      <c r="AV79" s="66">
        <v>0</v>
      </c>
      <c r="AW79" s="66">
        <f>4000319-1185735</f>
        <v>2814584</v>
      </c>
      <c r="AX79" s="66">
        <f>40000+60000</f>
        <v>100000</v>
      </c>
      <c r="AY79" s="66">
        <v>0</v>
      </c>
      <c r="AZ79" s="66">
        <f>84783-22392</f>
        <v>62391</v>
      </c>
      <c r="BA79" s="65">
        <f>SUM(BB79+BF79+BJ79+BL79+BO79)</f>
        <v>148410</v>
      </c>
      <c r="BB79" s="65">
        <f>SUM(BC79:BE79)</f>
        <v>0</v>
      </c>
      <c r="BC79" s="65">
        <v>0</v>
      </c>
      <c r="BD79" s="65">
        <v>0</v>
      </c>
      <c r="BE79" s="65">
        <v>0</v>
      </c>
      <c r="BF79" s="65">
        <f>SUM(BG79:BI79)</f>
        <v>0</v>
      </c>
      <c r="BG79" s="65">
        <v>0</v>
      </c>
      <c r="BH79" s="65">
        <v>0</v>
      </c>
      <c r="BI79" s="65">
        <v>0</v>
      </c>
      <c r="BJ79" s="65">
        <v>0</v>
      </c>
      <c r="BK79" s="65"/>
      <c r="BL79" s="65">
        <f t="shared" si="11"/>
        <v>148410</v>
      </c>
      <c r="BM79" s="65">
        <v>148410</v>
      </c>
      <c r="BN79" s="65"/>
      <c r="BO79" s="65">
        <f>SUM(BP79:BZ79)</f>
        <v>0</v>
      </c>
      <c r="BP79" s="65">
        <v>0</v>
      </c>
      <c r="BQ79" s="65">
        <v>0</v>
      </c>
      <c r="BR79" s="65">
        <v>0</v>
      </c>
      <c r="BS79" s="65">
        <v>0</v>
      </c>
      <c r="BT79" s="65">
        <v>0</v>
      </c>
      <c r="BU79" s="65">
        <v>0</v>
      </c>
      <c r="BV79" s="65">
        <v>0</v>
      </c>
      <c r="BW79" s="65">
        <v>0</v>
      </c>
      <c r="BX79" s="65">
        <v>0</v>
      </c>
      <c r="BY79" s="65">
        <v>0</v>
      </c>
      <c r="BZ79" s="65">
        <v>0</v>
      </c>
      <c r="CA79" s="65">
        <f>SUM(CB79+CN79)</f>
        <v>311270</v>
      </c>
      <c r="CB79" s="65">
        <f>SUM(CC79+CF79+CK79)</f>
        <v>311270</v>
      </c>
      <c r="CC79" s="65">
        <f t="shared" si="12"/>
        <v>311270</v>
      </c>
      <c r="CD79" s="65">
        <v>0</v>
      </c>
      <c r="CE79" s="66">
        <f>372000-60730</f>
        <v>311270</v>
      </c>
      <c r="CF79" s="65">
        <f>SUM(CG79:CJ79)</f>
        <v>0</v>
      </c>
      <c r="CG79" s="65">
        <v>0</v>
      </c>
      <c r="CH79" s="65"/>
      <c r="CI79" s="65">
        <v>0</v>
      </c>
      <c r="CJ79" s="65">
        <v>0</v>
      </c>
      <c r="CK79" s="65">
        <f>SUM(CL79:CM79)</f>
        <v>0</v>
      </c>
      <c r="CL79" s="65">
        <v>0</v>
      </c>
      <c r="CM79" s="65"/>
      <c r="CN79" s="65">
        <v>0</v>
      </c>
      <c r="CO79" s="65"/>
      <c r="CP79" s="65"/>
      <c r="CQ79" s="65"/>
      <c r="CR79" s="65"/>
    </row>
    <row r="80" spans="1:198" s="52" customFormat="1" ht="15.6" x14ac:dyDescent="0.3">
      <c r="A80" s="89" t="s">
        <v>129</v>
      </c>
      <c r="B80" s="15" t="s">
        <v>1</v>
      </c>
      <c r="C80" s="16" t="s">
        <v>130</v>
      </c>
      <c r="D80" s="17">
        <f t="shared" ref="D80:AK80" si="116">SUM(D81)</f>
        <v>125571927</v>
      </c>
      <c r="E80" s="17">
        <f t="shared" si="116"/>
        <v>125521490</v>
      </c>
      <c r="F80" s="17">
        <f t="shared" si="116"/>
        <v>124643959</v>
      </c>
      <c r="G80" s="17">
        <f t="shared" si="116"/>
        <v>98658546</v>
      </c>
      <c r="H80" s="17">
        <f t="shared" si="116"/>
        <v>1089595</v>
      </c>
      <c r="I80" s="17">
        <f t="shared" si="116"/>
        <v>7661674</v>
      </c>
      <c r="J80" s="17">
        <f t="shared" si="116"/>
        <v>216741</v>
      </c>
      <c r="K80" s="17">
        <f t="shared" si="116"/>
        <v>2069942</v>
      </c>
      <c r="L80" s="17">
        <f t="shared" si="116"/>
        <v>793045</v>
      </c>
      <c r="M80" s="17">
        <f t="shared" si="116"/>
        <v>245405</v>
      </c>
      <c r="N80" s="17">
        <f t="shared" si="116"/>
        <v>4120464</v>
      </c>
      <c r="O80" s="17">
        <f t="shared" si="116"/>
        <v>216077</v>
      </c>
      <c r="P80" s="17">
        <f t="shared" si="116"/>
        <v>6465745</v>
      </c>
      <c r="Q80" s="17">
        <f t="shared" si="116"/>
        <v>25745</v>
      </c>
      <c r="R80" s="17">
        <f t="shared" si="116"/>
        <v>6440000</v>
      </c>
      <c r="S80" s="17">
        <f t="shared" si="116"/>
        <v>0</v>
      </c>
      <c r="T80" s="17">
        <f t="shared" si="116"/>
        <v>506400</v>
      </c>
      <c r="U80" s="17">
        <f t="shared" si="116"/>
        <v>3370502</v>
      </c>
      <c r="V80" s="17">
        <f t="shared" si="116"/>
        <v>87985</v>
      </c>
      <c r="W80" s="17">
        <f t="shared" si="116"/>
        <v>738429</v>
      </c>
      <c r="X80" s="17">
        <f t="shared" si="116"/>
        <v>2240324</v>
      </c>
      <c r="Y80" s="17">
        <f t="shared" si="116"/>
        <v>169566</v>
      </c>
      <c r="Z80" s="17">
        <f t="shared" si="116"/>
        <v>41357</v>
      </c>
      <c r="AA80" s="17">
        <f t="shared" si="116"/>
        <v>0</v>
      </c>
      <c r="AB80" s="17">
        <f t="shared" si="116"/>
        <v>0</v>
      </c>
      <c r="AC80" s="17">
        <f t="shared" si="116"/>
        <v>92841</v>
      </c>
      <c r="AD80" s="17">
        <f t="shared" si="116"/>
        <v>0</v>
      </c>
      <c r="AE80" s="17">
        <f t="shared" si="116"/>
        <v>6891497</v>
      </c>
      <c r="AF80" s="17">
        <f t="shared" si="116"/>
        <v>0</v>
      </c>
      <c r="AG80" s="17">
        <f t="shared" si="116"/>
        <v>0</v>
      </c>
      <c r="AH80" s="17">
        <f t="shared" si="116"/>
        <v>74372</v>
      </c>
      <c r="AI80" s="17">
        <f t="shared" si="116"/>
        <v>21079</v>
      </c>
      <c r="AJ80" s="17">
        <f t="shared" si="116"/>
        <v>0</v>
      </c>
      <c r="AK80" s="17">
        <f t="shared" si="116"/>
        <v>5729</v>
      </c>
      <c r="AL80" s="17">
        <f t="shared" ref="AL80:CN80" si="117">SUM(AL81)</f>
        <v>22459</v>
      </c>
      <c r="AM80" s="17">
        <f t="shared" si="117"/>
        <v>7412</v>
      </c>
      <c r="AN80" s="17">
        <f t="shared" si="117"/>
        <v>60614</v>
      </c>
      <c r="AO80" s="17">
        <f t="shared" si="117"/>
        <v>18042</v>
      </c>
      <c r="AP80" s="17">
        <f t="shared" si="117"/>
        <v>1050</v>
      </c>
      <c r="AQ80" s="17">
        <f t="shared" si="117"/>
        <v>99160</v>
      </c>
      <c r="AR80" s="17">
        <f t="shared" si="117"/>
        <v>0</v>
      </c>
      <c r="AS80" s="17">
        <f t="shared" si="117"/>
        <v>0</v>
      </c>
      <c r="AT80" s="17"/>
      <c r="AU80" s="17"/>
      <c r="AV80" s="17">
        <f t="shared" si="117"/>
        <v>0</v>
      </c>
      <c r="AW80" s="17">
        <f t="shared" si="117"/>
        <v>6110400</v>
      </c>
      <c r="AX80" s="17">
        <f t="shared" si="117"/>
        <v>0</v>
      </c>
      <c r="AY80" s="17"/>
      <c r="AZ80" s="17">
        <f t="shared" si="117"/>
        <v>471180</v>
      </c>
      <c r="BA80" s="17">
        <f t="shared" si="117"/>
        <v>877531</v>
      </c>
      <c r="BB80" s="17">
        <f t="shared" si="117"/>
        <v>0</v>
      </c>
      <c r="BC80" s="17">
        <f t="shared" si="117"/>
        <v>0</v>
      </c>
      <c r="BD80" s="17">
        <f t="shared" si="117"/>
        <v>0</v>
      </c>
      <c r="BE80" s="17">
        <f t="shared" si="117"/>
        <v>0</v>
      </c>
      <c r="BF80" s="17">
        <f t="shared" si="117"/>
        <v>0</v>
      </c>
      <c r="BG80" s="17">
        <f t="shared" si="117"/>
        <v>0</v>
      </c>
      <c r="BH80" s="17">
        <f t="shared" si="117"/>
        <v>0</v>
      </c>
      <c r="BI80" s="17">
        <f t="shared" si="117"/>
        <v>0</v>
      </c>
      <c r="BJ80" s="17">
        <f t="shared" si="117"/>
        <v>0</v>
      </c>
      <c r="BK80" s="17">
        <f t="shared" si="117"/>
        <v>0</v>
      </c>
      <c r="BL80" s="17">
        <f t="shared" si="117"/>
        <v>133400</v>
      </c>
      <c r="BM80" s="17">
        <f t="shared" si="117"/>
        <v>133400</v>
      </c>
      <c r="BN80" s="17">
        <f t="shared" si="117"/>
        <v>0</v>
      </c>
      <c r="BO80" s="17">
        <f t="shared" si="117"/>
        <v>744131</v>
      </c>
      <c r="BP80" s="17">
        <f t="shared" si="117"/>
        <v>0</v>
      </c>
      <c r="BQ80" s="17">
        <f t="shared" si="117"/>
        <v>0</v>
      </c>
      <c r="BR80" s="17">
        <f t="shared" si="117"/>
        <v>0</v>
      </c>
      <c r="BS80" s="17">
        <f t="shared" si="117"/>
        <v>0</v>
      </c>
      <c r="BT80" s="17">
        <f t="shared" si="117"/>
        <v>0</v>
      </c>
      <c r="BU80" s="17">
        <f t="shared" si="117"/>
        <v>0</v>
      </c>
      <c r="BV80" s="17">
        <f t="shared" si="117"/>
        <v>0</v>
      </c>
      <c r="BW80" s="17">
        <f t="shared" si="117"/>
        <v>0</v>
      </c>
      <c r="BX80" s="17">
        <f t="shared" si="117"/>
        <v>0</v>
      </c>
      <c r="BY80" s="17">
        <f t="shared" si="117"/>
        <v>100000</v>
      </c>
      <c r="BZ80" s="17">
        <f t="shared" si="117"/>
        <v>644131</v>
      </c>
      <c r="CA80" s="17">
        <f t="shared" si="117"/>
        <v>50437</v>
      </c>
      <c r="CB80" s="17">
        <f t="shared" si="117"/>
        <v>50437</v>
      </c>
      <c r="CC80" s="17">
        <f t="shared" si="117"/>
        <v>50437</v>
      </c>
      <c r="CD80" s="17">
        <f t="shared" si="117"/>
        <v>0</v>
      </c>
      <c r="CE80" s="17">
        <f t="shared" si="117"/>
        <v>50437</v>
      </c>
      <c r="CF80" s="17">
        <f t="shared" si="117"/>
        <v>0</v>
      </c>
      <c r="CG80" s="17">
        <f t="shared" si="117"/>
        <v>0</v>
      </c>
      <c r="CH80" s="17">
        <f t="shared" si="117"/>
        <v>0</v>
      </c>
      <c r="CI80" s="17">
        <f t="shared" si="117"/>
        <v>0</v>
      </c>
      <c r="CJ80" s="17">
        <f t="shared" si="117"/>
        <v>0</v>
      </c>
      <c r="CK80" s="17">
        <f t="shared" si="117"/>
        <v>0</v>
      </c>
      <c r="CL80" s="17">
        <f t="shared" si="117"/>
        <v>0</v>
      </c>
      <c r="CM80" s="17">
        <f t="shared" si="117"/>
        <v>0</v>
      </c>
      <c r="CN80" s="17">
        <f t="shared" si="117"/>
        <v>0</v>
      </c>
      <c r="CO80" s="64"/>
      <c r="CP80" s="64"/>
      <c r="CQ80" s="64"/>
      <c r="CR80" s="64"/>
      <c r="CS80" s="51"/>
    </row>
    <row r="81" spans="1:198" s="68" customFormat="1" ht="31.2" x14ac:dyDescent="0.3">
      <c r="A81" s="92" t="s">
        <v>1</v>
      </c>
      <c r="B81" s="62" t="s">
        <v>131</v>
      </c>
      <c r="C81" s="63" t="s">
        <v>132</v>
      </c>
      <c r="D81" s="65">
        <f>SUM(E81+CA81)</f>
        <v>125571927</v>
      </c>
      <c r="E81" s="65">
        <f>SUM(F81+BA81)</f>
        <v>125521490</v>
      </c>
      <c r="F81" s="65">
        <f>SUM(G81+H81+I81+P81+S81+T81+U81+AE81+AD81)</f>
        <v>124643959</v>
      </c>
      <c r="G81" s="66">
        <v>98658546</v>
      </c>
      <c r="H81" s="66">
        <v>1089595</v>
      </c>
      <c r="I81" s="65">
        <f t="shared" si="9"/>
        <v>7661674</v>
      </c>
      <c r="J81" s="66">
        <v>216741</v>
      </c>
      <c r="K81" s="66">
        <f>3207554-1137612</f>
        <v>2069942</v>
      </c>
      <c r="L81" s="66">
        <f>1225332-432287</f>
        <v>793045</v>
      </c>
      <c r="M81" s="66">
        <v>245405</v>
      </c>
      <c r="N81" s="66">
        <v>4120464</v>
      </c>
      <c r="O81" s="66">
        <f>432155-216078</f>
        <v>216077</v>
      </c>
      <c r="P81" s="65">
        <f t="shared" si="10"/>
        <v>6465745</v>
      </c>
      <c r="Q81" s="66">
        <v>25745</v>
      </c>
      <c r="R81" s="66">
        <v>6440000</v>
      </c>
      <c r="S81" s="66">
        <v>0</v>
      </c>
      <c r="T81" s="66">
        <f>606400-100000</f>
        <v>506400</v>
      </c>
      <c r="U81" s="65">
        <f>SUM(V81:AC81)</f>
        <v>3370502</v>
      </c>
      <c r="V81" s="66">
        <v>87985</v>
      </c>
      <c r="W81" s="66">
        <f>547242+191187</f>
        <v>738429</v>
      </c>
      <c r="X81" s="66">
        <f>1061908+1178416</f>
        <v>2240324</v>
      </c>
      <c r="Y81" s="66">
        <f>136441+33125</f>
        <v>169566</v>
      </c>
      <c r="Z81" s="66">
        <v>41357</v>
      </c>
      <c r="AA81" s="66">
        <v>0</v>
      </c>
      <c r="AB81" s="66">
        <v>0</v>
      </c>
      <c r="AC81" s="66">
        <f>28187+64654</f>
        <v>92841</v>
      </c>
      <c r="AD81" s="65">
        <v>0</v>
      </c>
      <c r="AE81" s="65">
        <f>SUM(AF81:AZ81)</f>
        <v>6891497</v>
      </c>
      <c r="AF81" s="65">
        <v>0</v>
      </c>
      <c r="AG81" s="65">
        <v>0</v>
      </c>
      <c r="AH81" s="66">
        <v>74372</v>
      </c>
      <c r="AI81" s="66">
        <f>232283-211204</f>
        <v>21079</v>
      </c>
      <c r="AJ81" s="66">
        <v>0</v>
      </c>
      <c r="AK81" s="66">
        <f>7231-1502</f>
        <v>5729</v>
      </c>
      <c r="AL81" s="66">
        <f>34067-11608</f>
        <v>22459</v>
      </c>
      <c r="AM81" s="66">
        <f>7413-1</f>
        <v>7412</v>
      </c>
      <c r="AN81" s="66">
        <f>118649-58035</f>
        <v>60614</v>
      </c>
      <c r="AO81" s="66">
        <v>18042</v>
      </c>
      <c r="AP81" s="66">
        <f>1073-23</f>
        <v>1050</v>
      </c>
      <c r="AQ81" s="66">
        <f>140404-41244</f>
        <v>99160</v>
      </c>
      <c r="AR81" s="66">
        <v>0</v>
      </c>
      <c r="AS81" s="66">
        <v>0</v>
      </c>
      <c r="AT81" s="66">
        <v>0</v>
      </c>
      <c r="AU81" s="66">
        <v>0</v>
      </c>
      <c r="AV81" s="66">
        <v>0</v>
      </c>
      <c r="AW81" s="66">
        <f>6300000-189600</f>
        <v>6110400</v>
      </c>
      <c r="AX81" s="66">
        <v>0</v>
      </c>
      <c r="AY81" s="66">
        <v>0</v>
      </c>
      <c r="AZ81" s="66">
        <f>434867+36313</f>
        <v>471180</v>
      </c>
      <c r="BA81" s="65">
        <f>SUM(BB81+BF81+BJ81+BL81+BO81)</f>
        <v>877531</v>
      </c>
      <c r="BB81" s="65">
        <f>SUM(BC81:BE81)</f>
        <v>0</v>
      </c>
      <c r="BC81" s="65">
        <v>0</v>
      </c>
      <c r="BD81" s="65">
        <v>0</v>
      </c>
      <c r="BE81" s="65">
        <v>0</v>
      </c>
      <c r="BF81" s="65">
        <f>SUM(BG81:BI81)</f>
        <v>0</v>
      </c>
      <c r="BG81" s="65">
        <v>0</v>
      </c>
      <c r="BH81" s="65">
        <v>0</v>
      </c>
      <c r="BI81" s="65">
        <v>0</v>
      </c>
      <c r="BJ81" s="65">
        <v>0</v>
      </c>
      <c r="BK81" s="65"/>
      <c r="BL81" s="65">
        <f t="shared" si="11"/>
        <v>133400</v>
      </c>
      <c r="BM81" s="65">
        <v>133400</v>
      </c>
      <c r="BN81" s="65"/>
      <c r="BO81" s="65">
        <f>SUM(BP81:BZ81)</f>
        <v>744131</v>
      </c>
      <c r="BP81" s="65">
        <v>0</v>
      </c>
      <c r="BQ81" s="65">
        <v>0</v>
      </c>
      <c r="BR81" s="65">
        <v>0</v>
      </c>
      <c r="BS81" s="65">
        <v>0</v>
      </c>
      <c r="BT81" s="65">
        <v>0</v>
      </c>
      <c r="BU81" s="65">
        <v>0</v>
      </c>
      <c r="BV81" s="65">
        <v>0</v>
      </c>
      <c r="BW81" s="65">
        <v>0</v>
      </c>
      <c r="BX81" s="65">
        <v>0</v>
      </c>
      <c r="BY81" s="65">
        <f>0+100000</f>
        <v>100000</v>
      </c>
      <c r="BZ81" s="66">
        <f>286531+168000+189600</f>
        <v>644131</v>
      </c>
      <c r="CA81" s="65">
        <f>SUM(CB81+CN81)</f>
        <v>50437</v>
      </c>
      <c r="CB81" s="65">
        <f>SUM(CC81+CF81+CK81)</f>
        <v>50437</v>
      </c>
      <c r="CC81" s="65">
        <f t="shared" si="12"/>
        <v>50437</v>
      </c>
      <c r="CD81" s="65">
        <v>0</v>
      </c>
      <c r="CE81" s="66">
        <f>222589-172152</f>
        <v>50437</v>
      </c>
      <c r="CF81" s="65">
        <f>SUM(CG81:CJ81)</f>
        <v>0</v>
      </c>
      <c r="CG81" s="65">
        <v>0</v>
      </c>
      <c r="CH81" s="66"/>
      <c r="CI81" s="66"/>
      <c r="CJ81" s="66"/>
      <c r="CK81" s="65">
        <f>SUM(CL81:CM81)</f>
        <v>0</v>
      </c>
      <c r="CL81" s="65"/>
      <c r="CM81" s="66"/>
      <c r="CN81" s="65">
        <v>0</v>
      </c>
      <c r="CO81" s="65"/>
      <c r="CP81" s="65"/>
      <c r="CQ81" s="65"/>
      <c r="CR81" s="65"/>
    </row>
    <row r="82" spans="1:198" s="52" customFormat="1" ht="15.6" x14ac:dyDescent="0.3">
      <c r="A82" s="89" t="s">
        <v>133</v>
      </c>
      <c r="B82" s="15" t="s">
        <v>1</v>
      </c>
      <c r="C82" s="16" t="s">
        <v>134</v>
      </c>
      <c r="D82" s="17">
        <f t="shared" ref="D82:AK82" si="118">SUM(D83)</f>
        <v>22764727</v>
      </c>
      <c r="E82" s="17">
        <f t="shared" si="118"/>
        <v>22754727</v>
      </c>
      <c r="F82" s="17">
        <f t="shared" si="118"/>
        <v>22754727</v>
      </c>
      <c r="G82" s="17">
        <f t="shared" si="118"/>
        <v>19676499</v>
      </c>
      <c r="H82" s="17">
        <f t="shared" si="118"/>
        <v>652395</v>
      </c>
      <c r="I82" s="17">
        <f t="shared" si="118"/>
        <v>1170164</v>
      </c>
      <c r="J82" s="17">
        <f t="shared" si="118"/>
        <v>3363</v>
      </c>
      <c r="K82" s="17">
        <f t="shared" si="118"/>
        <v>0</v>
      </c>
      <c r="L82" s="17">
        <f t="shared" si="118"/>
        <v>0</v>
      </c>
      <c r="M82" s="17">
        <f t="shared" si="118"/>
        <v>0</v>
      </c>
      <c r="N82" s="17">
        <f t="shared" si="118"/>
        <v>820887</v>
      </c>
      <c r="O82" s="17">
        <f t="shared" si="118"/>
        <v>345914</v>
      </c>
      <c r="P82" s="17">
        <f t="shared" si="118"/>
        <v>0</v>
      </c>
      <c r="Q82" s="17">
        <f t="shared" si="118"/>
        <v>0</v>
      </c>
      <c r="R82" s="17">
        <f t="shared" si="118"/>
        <v>0</v>
      </c>
      <c r="S82" s="17">
        <f t="shared" si="118"/>
        <v>0</v>
      </c>
      <c r="T82" s="17">
        <f t="shared" si="118"/>
        <v>128214</v>
      </c>
      <c r="U82" s="17">
        <f t="shared" si="118"/>
        <v>745417</v>
      </c>
      <c r="V82" s="17">
        <f t="shared" si="118"/>
        <v>60000</v>
      </c>
      <c r="W82" s="17">
        <f t="shared" si="118"/>
        <v>359565</v>
      </c>
      <c r="X82" s="17">
        <f t="shared" si="118"/>
        <v>282054</v>
      </c>
      <c r="Y82" s="17">
        <f t="shared" si="118"/>
        <v>32851</v>
      </c>
      <c r="Z82" s="17">
        <f t="shared" si="118"/>
        <v>10947</v>
      </c>
      <c r="AA82" s="17">
        <f t="shared" si="118"/>
        <v>0</v>
      </c>
      <c r="AB82" s="17">
        <f t="shared" si="118"/>
        <v>0</v>
      </c>
      <c r="AC82" s="17">
        <f t="shared" si="118"/>
        <v>0</v>
      </c>
      <c r="AD82" s="17">
        <f t="shared" si="118"/>
        <v>0</v>
      </c>
      <c r="AE82" s="17">
        <f t="shared" si="118"/>
        <v>382038</v>
      </c>
      <c r="AF82" s="17">
        <f t="shared" si="118"/>
        <v>0</v>
      </c>
      <c r="AG82" s="17">
        <f t="shared" si="118"/>
        <v>0</v>
      </c>
      <c r="AH82" s="17">
        <f t="shared" si="118"/>
        <v>6086</v>
      </c>
      <c r="AI82" s="17">
        <f t="shared" si="118"/>
        <v>0</v>
      </c>
      <c r="AJ82" s="17">
        <f t="shared" si="118"/>
        <v>0</v>
      </c>
      <c r="AK82" s="17">
        <f t="shared" si="118"/>
        <v>0</v>
      </c>
      <c r="AL82" s="17">
        <f t="shared" ref="AL82:CN82" si="119">SUM(AL83)</f>
        <v>0</v>
      </c>
      <c r="AM82" s="17">
        <f t="shared" si="119"/>
        <v>0</v>
      </c>
      <c r="AN82" s="17">
        <f t="shared" si="119"/>
        <v>40000</v>
      </c>
      <c r="AO82" s="17">
        <f t="shared" si="119"/>
        <v>14550</v>
      </c>
      <c r="AP82" s="17">
        <f t="shared" si="119"/>
        <v>730</v>
      </c>
      <c r="AQ82" s="17">
        <f t="shared" si="119"/>
        <v>0</v>
      </c>
      <c r="AR82" s="17">
        <f t="shared" si="119"/>
        <v>177103</v>
      </c>
      <c r="AS82" s="17">
        <f t="shared" si="119"/>
        <v>33600</v>
      </c>
      <c r="AT82" s="17"/>
      <c r="AU82" s="17"/>
      <c r="AV82" s="17">
        <f t="shared" si="119"/>
        <v>0</v>
      </c>
      <c r="AW82" s="17">
        <f t="shared" si="119"/>
        <v>39089</v>
      </c>
      <c r="AX82" s="17">
        <f t="shared" si="119"/>
        <v>65880</v>
      </c>
      <c r="AY82" s="17"/>
      <c r="AZ82" s="17">
        <f t="shared" si="119"/>
        <v>5000</v>
      </c>
      <c r="BA82" s="17">
        <f t="shared" si="119"/>
        <v>0</v>
      </c>
      <c r="BB82" s="17">
        <f t="shared" si="119"/>
        <v>0</v>
      </c>
      <c r="BC82" s="17">
        <f t="shared" si="119"/>
        <v>0</v>
      </c>
      <c r="BD82" s="17">
        <f t="shared" si="119"/>
        <v>0</v>
      </c>
      <c r="BE82" s="17">
        <f t="shared" si="119"/>
        <v>0</v>
      </c>
      <c r="BF82" s="17">
        <f t="shared" si="119"/>
        <v>0</v>
      </c>
      <c r="BG82" s="17">
        <f t="shared" si="119"/>
        <v>0</v>
      </c>
      <c r="BH82" s="17">
        <f t="shared" si="119"/>
        <v>0</v>
      </c>
      <c r="BI82" s="17">
        <f t="shared" si="119"/>
        <v>0</v>
      </c>
      <c r="BJ82" s="17">
        <f t="shared" si="119"/>
        <v>0</v>
      </c>
      <c r="BK82" s="17">
        <f t="shared" si="119"/>
        <v>0</v>
      </c>
      <c r="BL82" s="17">
        <f t="shared" si="119"/>
        <v>0</v>
      </c>
      <c r="BM82" s="17">
        <f t="shared" si="119"/>
        <v>0</v>
      </c>
      <c r="BN82" s="17">
        <f t="shared" si="119"/>
        <v>0</v>
      </c>
      <c r="BO82" s="17">
        <f t="shared" si="119"/>
        <v>0</v>
      </c>
      <c r="BP82" s="17">
        <f t="shared" si="119"/>
        <v>0</v>
      </c>
      <c r="BQ82" s="17">
        <f t="shared" si="119"/>
        <v>0</v>
      </c>
      <c r="BR82" s="17">
        <f t="shared" si="119"/>
        <v>0</v>
      </c>
      <c r="BS82" s="17">
        <f t="shared" si="119"/>
        <v>0</v>
      </c>
      <c r="BT82" s="17">
        <f t="shared" si="119"/>
        <v>0</v>
      </c>
      <c r="BU82" s="17">
        <f t="shared" si="119"/>
        <v>0</v>
      </c>
      <c r="BV82" s="17">
        <f t="shared" si="119"/>
        <v>0</v>
      </c>
      <c r="BW82" s="17">
        <f t="shared" si="119"/>
        <v>0</v>
      </c>
      <c r="BX82" s="17">
        <f t="shared" si="119"/>
        <v>0</v>
      </c>
      <c r="BY82" s="17">
        <f t="shared" si="119"/>
        <v>0</v>
      </c>
      <c r="BZ82" s="17">
        <f t="shared" si="119"/>
        <v>0</v>
      </c>
      <c r="CA82" s="17">
        <f t="shared" si="119"/>
        <v>10000</v>
      </c>
      <c r="CB82" s="17">
        <f t="shared" si="119"/>
        <v>10000</v>
      </c>
      <c r="CC82" s="17">
        <f t="shared" si="119"/>
        <v>10000</v>
      </c>
      <c r="CD82" s="17">
        <f t="shared" si="119"/>
        <v>0</v>
      </c>
      <c r="CE82" s="17">
        <f t="shared" si="119"/>
        <v>10000</v>
      </c>
      <c r="CF82" s="17">
        <f t="shared" si="119"/>
        <v>0</v>
      </c>
      <c r="CG82" s="17">
        <f t="shared" si="119"/>
        <v>0</v>
      </c>
      <c r="CH82" s="17">
        <f t="shared" si="119"/>
        <v>0</v>
      </c>
      <c r="CI82" s="17">
        <f t="shared" si="119"/>
        <v>0</v>
      </c>
      <c r="CJ82" s="17">
        <f t="shared" si="119"/>
        <v>0</v>
      </c>
      <c r="CK82" s="17">
        <f t="shared" si="119"/>
        <v>0</v>
      </c>
      <c r="CL82" s="17">
        <f t="shared" si="119"/>
        <v>0</v>
      </c>
      <c r="CM82" s="17">
        <f t="shared" si="119"/>
        <v>0</v>
      </c>
      <c r="CN82" s="17">
        <f t="shared" si="119"/>
        <v>0</v>
      </c>
      <c r="CO82" s="64"/>
      <c r="CP82" s="64"/>
      <c r="CQ82" s="64"/>
      <c r="CR82" s="64"/>
      <c r="CS82" s="51"/>
      <c r="GP82" s="68"/>
    </row>
    <row r="83" spans="1:198" s="68" customFormat="1" ht="15.6" x14ac:dyDescent="0.3">
      <c r="A83" s="92" t="s">
        <v>1</v>
      </c>
      <c r="B83" s="62" t="s">
        <v>135</v>
      </c>
      <c r="C83" s="63" t="s">
        <v>136</v>
      </c>
      <c r="D83" s="65">
        <f>SUM(E83+CA83)</f>
        <v>22764727</v>
      </c>
      <c r="E83" s="65">
        <f>SUM(F83+BA83)</f>
        <v>22754727</v>
      </c>
      <c r="F83" s="65">
        <f>SUM(G83+H83+I83+P83+S83+T83+U83+AE83+AD83)</f>
        <v>22754727</v>
      </c>
      <c r="G83" s="66">
        <v>19676499</v>
      </c>
      <c r="H83" s="66">
        <v>652395</v>
      </c>
      <c r="I83" s="65">
        <f t="shared" ref="I83:I156" si="120">SUM(J83:O83)</f>
        <v>1170164</v>
      </c>
      <c r="J83" s="66">
        <v>3363</v>
      </c>
      <c r="K83" s="66">
        <f>405880-405880</f>
        <v>0</v>
      </c>
      <c r="L83" s="66">
        <v>0</v>
      </c>
      <c r="M83" s="66">
        <v>0</v>
      </c>
      <c r="N83" s="66">
        <f>973332-152445</f>
        <v>820887</v>
      </c>
      <c r="O83" s="66">
        <f>691828-345914</f>
        <v>345914</v>
      </c>
      <c r="P83" s="65">
        <f t="shared" ref="P83:P156" si="121">SUM(Q83:R83)</f>
        <v>0</v>
      </c>
      <c r="Q83" s="67"/>
      <c r="R83" s="67"/>
      <c r="S83" s="67"/>
      <c r="T83" s="66">
        <f>130914-2700</f>
        <v>128214</v>
      </c>
      <c r="U83" s="65">
        <f>SUM(V83:AC83)</f>
        <v>745417</v>
      </c>
      <c r="V83" s="66">
        <v>60000</v>
      </c>
      <c r="W83" s="66">
        <f>265618+93947</f>
        <v>359565</v>
      </c>
      <c r="X83" s="66">
        <f>109761+172293</f>
        <v>282054</v>
      </c>
      <c r="Y83" s="66">
        <f>26539+6312</f>
        <v>32851</v>
      </c>
      <c r="Z83" s="66">
        <v>10947</v>
      </c>
      <c r="AA83" s="66">
        <v>0</v>
      </c>
      <c r="AB83" s="66">
        <v>0</v>
      </c>
      <c r="AC83" s="66">
        <v>0</v>
      </c>
      <c r="AD83" s="65">
        <v>0</v>
      </c>
      <c r="AE83" s="65">
        <f>SUM(AF83:AZ83)</f>
        <v>382038</v>
      </c>
      <c r="AF83" s="65">
        <v>0</v>
      </c>
      <c r="AG83" s="65">
        <v>0</v>
      </c>
      <c r="AH83" s="66">
        <v>6086</v>
      </c>
      <c r="AI83" s="66">
        <v>0</v>
      </c>
      <c r="AJ83" s="66">
        <v>0</v>
      </c>
      <c r="AK83" s="66">
        <v>0</v>
      </c>
      <c r="AL83" s="66">
        <v>0</v>
      </c>
      <c r="AM83" s="66">
        <v>0</v>
      </c>
      <c r="AN83" s="66">
        <v>40000</v>
      </c>
      <c r="AO83" s="66">
        <v>14550</v>
      </c>
      <c r="AP83" s="66">
        <v>730</v>
      </c>
      <c r="AQ83" s="66">
        <v>0</v>
      </c>
      <c r="AR83" s="66">
        <f>391107-214004</f>
        <v>177103</v>
      </c>
      <c r="AS83" s="66">
        <v>33600</v>
      </c>
      <c r="AT83" s="66">
        <v>0</v>
      </c>
      <c r="AU83" s="66">
        <v>0</v>
      </c>
      <c r="AV83" s="66">
        <v>0</v>
      </c>
      <c r="AW83" s="66">
        <v>39089</v>
      </c>
      <c r="AX83" s="66">
        <v>65880</v>
      </c>
      <c r="AY83" s="66">
        <v>0</v>
      </c>
      <c r="AZ83" s="66">
        <f>10000-5000</f>
        <v>5000</v>
      </c>
      <c r="BA83" s="65">
        <f>SUM(BB83+BF83+BJ83+BL83+BO83)</f>
        <v>0</v>
      </c>
      <c r="BB83" s="65">
        <f>SUM(BC83:BE83)</f>
        <v>0</v>
      </c>
      <c r="BC83" s="65">
        <v>0</v>
      </c>
      <c r="BD83" s="65">
        <v>0</v>
      </c>
      <c r="BE83" s="65">
        <v>0</v>
      </c>
      <c r="BF83" s="65">
        <f>SUM(BG83:BI83)</f>
        <v>0</v>
      </c>
      <c r="BG83" s="65">
        <v>0</v>
      </c>
      <c r="BH83" s="65">
        <v>0</v>
      </c>
      <c r="BI83" s="65">
        <v>0</v>
      </c>
      <c r="BJ83" s="65">
        <v>0</v>
      </c>
      <c r="BK83" s="65">
        <v>0</v>
      </c>
      <c r="BL83" s="65">
        <f t="shared" ref="BL83:BL156" si="122">SUM(BM83)</f>
        <v>0</v>
      </c>
      <c r="BM83" s="65">
        <v>0</v>
      </c>
      <c r="BN83" s="65">
        <v>0</v>
      </c>
      <c r="BO83" s="65">
        <f>SUM(BP83:BZ83)</f>
        <v>0</v>
      </c>
      <c r="BP83" s="65">
        <v>0</v>
      </c>
      <c r="BQ83" s="65">
        <v>0</v>
      </c>
      <c r="BR83" s="65">
        <v>0</v>
      </c>
      <c r="BS83" s="65">
        <v>0</v>
      </c>
      <c r="BT83" s="65">
        <v>0</v>
      </c>
      <c r="BU83" s="65">
        <v>0</v>
      </c>
      <c r="BV83" s="65">
        <v>0</v>
      </c>
      <c r="BW83" s="65">
        <v>0</v>
      </c>
      <c r="BX83" s="65">
        <v>0</v>
      </c>
      <c r="BY83" s="65"/>
      <c r="BZ83" s="65">
        <v>0</v>
      </c>
      <c r="CA83" s="65">
        <f>SUM(CB83+CN83)</f>
        <v>10000</v>
      </c>
      <c r="CB83" s="65">
        <f>SUM(CC83+CF83+CK83)</f>
        <v>10000</v>
      </c>
      <c r="CC83" s="65">
        <f t="shared" ref="CC83:CC156" si="123">SUM(CD83:CE83)</f>
        <v>10000</v>
      </c>
      <c r="CD83" s="65">
        <v>0</v>
      </c>
      <c r="CE83" s="66">
        <f>50000-40000</f>
        <v>10000</v>
      </c>
      <c r="CF83" s="65">
        <f>SUM(CG83:CJ83)</f>
        <v>0</v>
      </c>
      <c r="CG83" s="65">
        <v>0</v>
      </c>
      <c r="CH83" s="65"/>
      <c r="CI83" s="65">
        <v>0</v>
      </c>
      <c r="CJ83" s="65">
        <v>0</v>
      </c>
      <c r="CK83" s="65">
        <f>SUM(CL83:CM83)</f>
        <v>0</v>
      </c>
      <c r="CL83" s="67"/>
      <c r="CM83" s="65"/>
      <c r="CN83" s="65">
        <v>0</v>
      </c>
      <c r="CO83" s="65"/>
      <c r="CP83" s="65"/>
      <c r="CQ83" s="65"/>
      <c r="CR83" s="65"/>
      <c r="GP83" s="52"/>
    </row>
    <row r="84" spans="1:198" s="52" customFormat="1" ht="31.2" x14ac:dyDescent="0.3">
      <c r="A84" s="89" t="s">
        <v>447</v>
      </c>
      <c r="B84" s="15" t="s">
        <v>1</v>
      </c>
      <c r="C84" s="16" t="s">
        <v>137</v>
      </c>
      <c r="D84" s="17">
        <f t="shared" ref="D84:AK84" si="124">SUM(D85)</f>
        <v>26270591</v>
      </c>
      <c r="E84" s="17">
        <f t="shared" si="124"/>
        <v>26153390</v>
      </c>
      <c r="F84" s="17">
        <f t="shared" si="124"/>
        <v>26148511</v>
      </c>
      <c r="G84" s="17">
        <f t="shared" si="124"/>
        <v>22614648</v>
      </c>
      <c r="H84" s="17">
        <f t="shared" si="124"/>
        <v>1242172</v>
      </c>
      <c r="I84" s="17">
        <f t="shared" si="124"/>
        <v>935678</v>
      </c>
      <c r="J84" s="17">
        <f t="shared" si="124"/>
        <v>0</v>
      </c>
      <c r="K84" s="17">
        <f t="shared" si="124"/>
        <v>32934</v>
      </c>
      <c r="L84" s="17">
        <f t="shared" si="124"/>
        <v>0</v>
      </c>
      <c r="M84" s="17">
        <f t="shared" si="124"/>
        <v>0</v>
      </c>
      <c r="N84" s="17">
        <f t="shared" si="124"/>
        <v>682641</v>
      </c>
      <c r="O84" s="17">
        <f t="shared" si="124"/>
        <v>220103</v>
      </c>
      <c r="P84" s="17">
        <f t="shared" si="124"/>
        <v>7776</v>
      </c>
      <c r="Q84" s="17">
        <f t="shared" si="124"/>
        <v>7776</v>
      </c>
      <c r="R84" s="17">
        <f t="shared" si="124"/>
        <v>0</v>
      </c>
      <c r="S84" s="17">
        <f t="shared" si="124"/>
        <v>0</v>
      </c>
      <c r="T84" s="17">
        <f t="shared" si="124"/>
        <v>119330</v>
      </c>
      <c r="U84" s="17">
        <f t="shared" si="124"/>
        <v>647706</v>
      </c>
      <c r="V84" s="17">
        <f t="shared" si="124"/>
        <v>118459</v>
      </c>
      <c r="W84" s="17">
        <f t="shared" si="124"/>
        <v>100767</v>
      </c>
      <c r="X84" s="17">
        <f t="shared" si="124"/>
        <v>329287</v>
      </c>
      <c r="Y84" s="17">
        <f t="shared" si="124"/>
        <v>29433</v>
      </c>
      <c r="Z84" s="17">
        <f t="shared" si="124"/>
        <v>10629</v>
      </c>
      <c r="AA84" s="17">
        <f t="shared" si="124"/>
        <v>34</v>
      </c>
      <c r="AB84" s="17">
        <f t="shared" si="124"/>
        <v>0</v>
      </c>
      <c r="AC84" s="17">
        <f t="shared" si="124"/>
        <v>59097</v>
      </c>
      <c r="AD84" s="17">
        <f t="shared" si="124"/>
        <v>0</v>
      </c>
      <c r="AE84" s="17">
        <f t="shared" si="124"/>
        <v>581201</v>
      </c>
      <c r="AF84" s="17">
        <f t="shared" si="124"/>
        <v>0</v>
      </c>
      <c r="AG84" s="17">
        <f t="shared" si="124"/>
        <v>0</v>
      </c>
      <c r="AH84" s="17">
        <f t="shared" si="124"/>
        <v>1960</v>
      </c>
      <c r="AI84" s="17">
        <f t="shared" si="124"/>
        <v>206895</v>
      </c>
      <c r="AJ84" s="17">
        <f t="shared" si="124"/>
        <v>0</v>
      </c>
      <c r="AK84" s="17">
        <f t="shared" si="124"/>
        <v>0</v>
      </c>
      <c r="AL84" s="17">
        <f t="shared" ref="AL84:CN84" si="125">SUM(AL85)</f>
        <v>0</v>
      </c>
      <c r="AM84" s="17">
        <f t="shared" si="125"/>
        <v>0</v>
      </c>
      <c r="AN84" s="17">
        <f t="shared" si="125"/>
        <v>32826</v>
      </c>
      <c r="AO84" s="17">
        <f t="shared" si="125"/>
        <v>18042</v>
      </c>
      <c r="AP84" s="17">
        <f t="shared" si="125"/>
        <v>0</v>
      </c>
      <c r="AQ84" s="17">
        <f t="shared" si="125"/>
        <v>0</v>
      </c>
      <c r="AR84" s="17">
        <f t="shared" si="125"/>
        <v>260549</v>
      </c>
      <c r="AS84" s="17">
        <f t="shared" si="125"/>
        <v>0</v>
      </c>
      <c r="AT84" s="17"/>
      <c r="AU84" s="17"/>
      <c r="AV84" s="17">
        <f t="shared" si="125"/>
        <v>0</v>
      </c>
      <c r="AW84" s="17">
        <f t="shared" si="125"/>
        <v>0</v>
      </c>
      <c r="AX84" s="17">
        <f t="shared" si="125"/>
        <v>0</v>
      </c>
      <c r="AY84" s="17"/>
      <c r="AZ84" s="17">
        <f t="shared" si="125"/>
        <v>60929</v>
      </c>
      <c r="BA84" s="17">
        <f t="shared" si="125"/>
        <v>4879</v>
      </c>
      <c r="BB84" s="17">
        <f t="shared" si="125"/>
        <v>0</v>
      </c>
      <c r="BC84" s="17">
        <f t="shared" si="125"/>
        <v>0</v>
      </c>
      <c r="BD84" s="17">
        <f t="shared" si="125"/>
        <v>0</v>
      </c>
      <c r="BE84" s="17">
        <f t="shared" si="125"/>
        <v>0</v>
      </c>
      <c r="BF84" s="17">
        <f t="shared" si="125"/>
        <v>0</v>
      </c>
      <c r="BG84" s="17">
        <f t="shared" si="125"/>
        <v>0</v>
      </c>
      <c r="BH84" s="17">
        <f t="shared" si="125"/>
        <v>0</v>
      </c>
      <c r="BI84" s="17">
        <f t="shared" si="125"/>
        <v>0</v>
      </c>
      <c r="BJ84" s="17">
        <f t="shared" si="125"/>
        <v>0</v>
      </c>
      <c r="BK84" s="17">
        <f t="shared" si="125"/>
        <v>0</v>
      </c>
      <c r="BL84" s="17">
        <f t="shared" si="125"/>
        <v>0</v>
      </c>
      <c r="BM84" s="17">
        <f t="shared" si="125"/>
        <v>0</v>
      </c>
      <c r="BN84" s="17">
        <f t="shared" si="125"/>
        <v>0</v>
      </c>
      <c r="BO84" s="17">
        <f t="shared" si="125"/>
        <v>4879</v>
      </c>
      <c r="BP84" s="17">
        <f t="shared" si="125"/>
        <v>0</v>
      </c>
      <c r="BQ84" s="17">
        <f t="shared" si="125"/>
        <v>0</v>
      </c>
      <c r="BR84" s="17">
        <f t="shared" si="125"/>
        <v>0</v>
      </c>
      <c r="BS84" s="17">
        <f t="shared" si="125"/>
        <v>0</v>
      </c>
      <c r="BT84" s="17">
        <f t="shared" si="125"/>
        <v>0</v>
      </c>
      <c r="BU84" s="17">
        <f t="shared" si="125"/>
        <v>0</v>
      </c>
      <c r="BV84" s="17">
        <f t="shared" si="125"/>
        <v>0</v>
      </c>
      <c r="BW84" s="17">
        <f t="shared" si="125"/>
        <v>0</v>
      </c>
      <c r="BX84" s="17">
        <f t="shared" si="125"/>
        <v>0</v>
      </c>
      <c r="BY84" s="17">
        <f t="shared" si="125"/>
        <v>4879</v>
      </c>
      <c r="BZ84" s="17">
        <f t="shared" si="125"/>
        <v>0</v>
      </c>
      <c r="CA84" s="17">
        <f t="shared" si="125"/>
        <v>117201</v>
      </c>
      <c r="CB84" s="17">
        <f t="shared" si="125"/>
        <v>117201</v>
      </c>
      <c r="CC84" s="17">
        <f t="shared" si="125"/>
        <v>117201</v>
      </c>
      <c r="CD84" s="17">
        <f t="shared" si="125"/>
        <v>0</v>
      </c>
      <c r="CE84" s="17">
        <f t="shared" si="125"/>
        <v>117201</v>
      </c>
      <c r="CF84" s="17">
        <f t="shared" si="125"/>
        <v>0</v>
      </c>
      <c r="CG84" s="17">
        <f t="shared" si="125"/>
        <v>0</v>
      </c>
      <c r="CH84" s="17">
        <f t="shared" si="125"/>
        <v>0</v>
      </c>
      <c r="CI84" s="17">
        <f t="shared" si="125"/>
        <v>0</v>
      </c>
      <c r="CJ84" s="17">
        <f t="shared" si="125"/>
        <v>0</v>
      </c>
      <c r="CK84" s="17">
        <f t="shared" si="125"/>
        <v>0</v>
      </c>
      <c r="CL84" s="17">
        <f t="shared" si="125"/>
        <v>0</v>
      </c>
      <c r="CM84" s="17">
        <f t="shared" si="125"/>
        <v>0</v>
      </c>
      <c r="CN84" s="17">
        <f t="shared" si="125"/>
        <v>0</v>
      </c>
      <c r="CO84" s="64"/>
      <c r="CP84" s="64"/>
      <c r="CQ84" s="64"/>
      <c r="CR84" s="64"/>
      <c r="CS84" s="51"/>
      <c r="GP84" s="68"/>
    </row>
    <row r="85" spans="1:198" s="68" customFormat="1" ht="15.6" x14ac:dyDescent="0.3">
      <c r="A85" s="92" t="s">
        <v>1</v>
      </c>
      <c r="B85" s="62" t="s">
        <v>138</v>
      </c>
      <c r="C85" s="63" t="s">
        <v>139</v>
      </c>
      <c r="D85" s="65">
        <f>SUM(E85+CA85)</f>
        <v>26270591</v>
      </c>
      <c r="E85" s="65">
        <f>SUM(F85+BA85)</f>
        <v>26153390</v>
      </c>
      <c r="F85" s="65">
        <f>SUM(G85+H85+I85+P85+S85+T85+U85+AE85+AD85)</f>
        <v>26148511</v>
      </c>
      <c r="G85" s="66">
        <v>22614648</v>
      </c>
      <c r="H85" s="66">
        <v>1242172</v>
      </c>
      <c r="I85" s="65">
        <f t="shared" si="120"/>
        <v>935678</v>
      </c>
      <c r="J85" s="66">
        <v>0</v>
      </c>
      <c r="K85" s="66">
        <f>466617-433683</f>
        <v>32934</v>
      </c>
      <c r="L85" s="66">
        <v>0</v>
      </c>
      <c r="M85" s="66">
        <v>0</v>
      </c>
      <c r="N85" s="66">
        <f>719197-36556</f>
        <v>682641</v>
      </c>
      <c r="O85" s="66">
        <f>538643-269322-49218</f>
        <v>220103</v>
      </c>
      <c r="P85" s="65">
        <f t="shared" si="121"/>
        <v>7776</v>
      </c>
      <c r="Q85" s="66">
        <v>7776</v>
      </c>
      <c r="R85" s="66">
        <v>0</v>
      </c>
      <c r="S85" s="66">
        <v>0</v>
      </c>
      <c r="T85" s="66">
        <v>119330</v>
      </c>
      <c r="U85" s="65">
        <f>SUM(V85:AC85)</f>
        <v>647706</v>
      </c>
      <c r="V85" s="66">
        <v>118459</v>
      </c>
      <c r="W85" s="66">
        <f>60363+40404</f>
        <v>100767</v>
      </c>
      <c r="X85" s="66">
        <f>100000+180069+49218</f>
        <v>329287</v>
      </c>
      <c r="Y85" s="66">
        <f>24145+5288</f>
        <v>29433</v>
      </c>
      <c r="Z85" s="66">
        <v>10629</v>
      </c>
      <c r="AA85" s="66">
        <v>34</v>
      </c>
      <c r="AB85" s="66">
        <v>0</v>
      </c>
      <c r="AC85" s="66">
        <f>22622+36475</f>
        <v>59097</v>
      </c>
      <c r="AD85" s="65">
        <v>0</v>
      </c>
      <c r="AE85" s="65">
        <f>SUM(AF85:AZ85)</f>
        <v>581201</v>
      </c>
      <c r="AF85" s="65">
        <v>0</v>
      </c>
      <c r="AG85" s="65">
        <v>0</v>
      </c>
      <c r="AH85" s="66">
        <v>1960</v>
      </c>
      <c r="AI85" s="66">
        <f>279744-72849</f>
        <v>206895</v>
      </c>
      <c r="AJ85" s="66">
        <v>0</v>
      </c>
      <c r="AK85" s="66">
        <v>0</v>
      </c>
      <c r="AL85" s="66">
        <v>0</v>
      </c>
      <c r="AM85" s="66">
        <v>0</v>
      </c>
      <c r="AN85" s="66">
        <f>60153-27327</f>
        <v>32826</v>
      </c>
      <c r="AO85" s="66">
        <v>18042</v>
      </c>
      <c r="AP85" s="66">
        <v>0</v>
      </c>
      <c r="AQ85" s="66">
        <v>0</v>
      </c>
      <c r="AR85" s="66">
        <v>260549</v>
      </c>
      <c r="AS85" s="66">
        <v>0</v>
      </c>
      <c r="AT85" s="66">
        <v>0</v>
      </c>
      <c r="AU85" s="66">
        <v>0</v>
      </c>
      <c r="AV85" s="66">
        <v>0</v>
      </c>
      <c r="AW85" s="66">
        <v>0</v>
      </c>
      <c r="AX85" s="66">
        <v>0</v>
      </c>
      <c r="AY85" s="66">
        <v>0</v>
      </c>
      <c r="AZ85" s="66">
        <f>121858-60929</f>
        <v>60929</v>
      </c>
      <c r="BA85" s="65">
        <f>SUM(BB85+BF85+BJ85+BL85+BO85)</f>
        <v>4879</v>
      </c>
      <c r="BB85" s="65">
        <f>SUM(BC85:BE85)</f>
        <v>0</v>
      </c>
      <c r="BC85" s="65">
        <v>0</v>
      </c>
      <c r="BD85" s="65">
        <v>0</v>
      </c>
      <c r="BE85" s="65">
        <v>0</v>
      </c>
      <c r="BF85" s="65">
        <f>SUM(BG85:BI85)</f>
        <v>0</v>
      </c>
      <c r="BG85" s="65">
        <v>0</v>
      </c>
      <c r="BH85" s="65">
        <v>0</v>
      </c>
      <c r="BI85" s="65">
        <v>0</v>
      </c>
      <c r="BJ85" s="65">
        <v>0</v>
      </c>
      <c r="BK85" s="65">
        <v>0</v>
      </c>
      <c r="BL85" s="65">
        <f t="shared" si="122"/>
        <v>0</v>
      </c>
      <c r="BM85" s="65">
        <v>0</v>
      </c>
      <c r="BN85" s="65">
        <v>0</v>
      </c>
      <c r="BO85" s="65">
        <f>SUM(BP85:BZ85)</f>
        <v>4879</v>
      </c>
      <c r="BP85" s="65">
        <v>0</v>
      </c>
      <c r="BQ85" s="65">
        <v>0</v>
      </c>
      <c r="BR85" s="65">
        <v>0</v>
      </c>
      <c r="BS85" s="65">
        <v>0</v>
      </c>
      <c r="BT85" s="65">
        <v>0</v>
      </c>
      <c r="BU85" s="65">
        <v>0</v>
      </c>
      <c r="BV85" s="65">
        <v>0</v>
      </c>
      <c r="BW85" s="65">
        <v>0</v>
      </c>
      <c r="BX85" s="65">
        <v>0</v>
      </c>
      <c r="BY85" s="65">
        <f>9759-4880</f>
        <v>4879</v>
      </c>
      <c r="BZ85" s="65">
        <v>0</v>
      </c>
      <c r="CA85" s="65">
        <f>SUM(CB85+CN85)</f>
        <v>117201</v>
      </c>
      <c r="CB85" s="65">
        <f>SUM(CC85+CF85+CK85)</f>
        <v>117201</v>
      </c>
      <c r="CC85" s="65">
        <f t="shared" si="123"/>
        <v>117201</v>
      </c>
      <c r="CD85" s="65">
        <v>0</v>
      </c>
      <c r="CE85" s="66">
        <f>268311-151110</f>
        <v>117201</v>
      </c>
      <c r="CF85" s="65">
        <f>SUM(CG85:CJ85)</f>
        <v>0</v>
      </c>
      <c r="CG85" s="65">
        <v>0</v>
      </c>
      <c r="CH85" s="66"/>
      <c r="CI85" s="66"/>
      <c r="CJ85" s="66"/>
      <c r="CK85" s="65">
        <f>SUM(CL85:CM85)</f>
        <v>0</v>
      </c>
      <c r="CL85" s="65"/>
      <c r="CM85" s="66"/>
      <c r="CN85" s="65">
        <v>0</v>
      </c>
      <c r="CO85" s="65"/>
      <c r="CP85" s="65"/>
      <c r="CQ85" s="65"/>
      <c r="CR85" s="65"/>
      <c r="GP85" s="52"/>
    </row>
    <row r="86" spans="1:198" s="52" customFormat="1" ht="15.6" x14ac:dyDescent="0.3">
      <c r="A86" s="89" t="s">
        <v>140</v>
      </c>
      <c r="B86" s="15" t="s">
        <v>1</v>
      </c>
      <c r="C86" s="16" t="s">
        <v>141</v>
      </c>
      <c r="D86" s="17">
        <f t="shared" ref="D86:AK88" si="126">SUM(D87)</f>
        <v>9195587</v>
      </c>
      <c r="E86" s="17">
        <f t="shared" si="126"/>
        <v>9161007</v>
      </c>
      <c r="F86" s="17">
        <f t="shared" si="126"/>
        <v>9161007</v>
      </c>
      <c r="G86" s="17">
        <f t="shared" si="126"/>
        <v>6927367</v>
      </c>
      <c r="H86" s="17">
        <f t="shared" si="126"/>
        <v>1570272</v>
      </c>
      <c r="I86" s="17">
        <f t="shared" si="126"/>
        <v>259112</v>
      </c>
      <c r="J86" s="17">
        <f t="shared" si="126"/>
        <v>0</v>
      </c>
      <c r="K86" s="17">
        <f t="shared" si="126"/>
        <v>0</v>
      </c>
      <c r="L86" s="17">
        <f t="shared" si="126"/>
        <v>0</v>
      </c>
      <c r="M86" s="17">
        <f t="shared" si="126"/>
        <v>0</v>
      </c>
      <c r="N86" s="17">
        <f>N87</f>
        <v>234699</v>
      </c>
      <c r="O86" s="17">
        <f>O87</f>
        <v>24413</v>
      </c>
      <c r="P86" s="17">
        <f t="shared" si="126"/>
        <v>0</v>
      </c>
      <c r="Q86" s="17">
        <f t="shared" si="126"/>
        <v>0</v>
      </c>
      <c r="R86" s="17">
        <f t="shared" si="126"/>
        <v>0</v>
      </c>
      <c r="S86" s="17">
        <f t="shared" si="126"/>
        <v>0</v>
      </c>
      <c r="T86" s="17">
        <f t="shared" si="126"/>
        <v>93921</v>
      </c>
      <c r="U86" s="17">
        <f t="shared" si="126"/>
        <v>249901</v>
      </c>
      <c r="V86" s="17">
        <f t="shared" si="126"/>
        <v>0</v>
      </c>
      <c r="W86" s="17">
        <f t="shared" si="126"/>
        <v>139221</v>
      </c>
      <c r="X86" s="17">
        <f t="shared" si="126"/>
        <v>96748</v>
      </c>
      <c r="Y86" s="17">
        <f t="shared" si="126"/>
        <v>9493</v>
      </c>
      <c r="Z86" s="17">
        <f t="shared" si="126"/>
        <v>4439</v>
      </c>
      <c r="AA86" s="17">
        <f t="shared" si="126"/>
        <v>0</v>
      </c>
      <c r="AB86" s="17">
        <f t="shared" si="126"/>
        <v>0</v>
      </c>
      <c r="AC86" s="17">
        <f t="shared" si="126"/>
        <v>0</v>
      </c>
      <c r="AD86" s="17">
        <f t="shared" si="126"/>
        <v>0</v>
      </c>
      <c r="AE86" s="17">
        <f t="shared" si="126"/>
        <v>60434</v>
      </c>
      <c r="AF86" s="17">
        <f t="shared" si="126"/>
        <v>0</v>
      </c>
      <c r="AG86" s="17">
        <f t="shared" si="126"/>
        <v>0</v>
      </c>
      <c r="AH86" s="17">
        <f t="shared" si="126"/>
        <v>8998</v>
      </c>
      <c r="AI86" s="17">
        <f t="shared" si="126"/>
        <v>24200</v>
      </c>
      <c r="AJ86" s="17">
        <f t="shared" si="126"/>
        <v>0</v>
      </c>
      <c r="AK86" s="17">
        <f t="shared" si="126"/>
        <v>0</v>
      </c>
      <c r="AL86" s="17">
        <f t="shared" ref="AL86:CN88" si="127">SUM(AL87)</f>
        <v>0</v>
      </c>
      <c r="AM86" s="17">
        <f t="shared" si="127"/>
        <v>0</v>
      </c>
      <c r="AN86" s="17">
        <f t="shared" si="127"/>
        <v>0</v>
      </c>
      <c r="AO86" s="17">
        <f t="shared" si="127"/>
        <v>12000</v>
      </c>
      <c r="AP86" s="17">
        <f t="shared" si="127"/>
        <v>0</v>
      </c>
      <c r="AQ86" s="17">
        <f t="shared" si="127"/>
        <v>0</v>
      </c>
      <c r="AR86" s="17">
        <f t="shared" si="127"/>
        <v>15236</v>
      </c>
      <c r="AS86" s="17">
        <f t="shared" si="127"/>
        <v>0</v>
      </c>
      <c r="AT86" s="17"/>
      <c r="AU86" s="17"/>
      <c r="AV86" s="17">
        <f t="shared" si="127"/>
        <v>0</v>
      </c>
      <c r="AW86" s="17">
        <f t="shared" si="127"/>
        <v>0</v>
      </c>
      <c r="AX86" s="17">
        <f t="shared" si="127"/>
        <v>0</v>
      </c>
      <c r="AY86" s="17"/>
      <c r="AZ86" s="17">
        <f t="shared" si="127"/>
        <v>0</v>
      </c>
      <c r="BA86" s="17">
        <f t="shared" si="127"/>
        <v>0</v>
      </c>
      <c r="BB86" s="17">
        <f t="shared" si="127"/>
        <v>0</v>
      </c>
      <c r="BC86" s="17">
        <f t="shared" si="127"/>
        <v>0</v>
      </c>
      <c r="BD86" s="17">
        <f t="shared" si="127"/>
        <v>0</v>
      </c>
      <c r="BE86" s="17">
        <f t="shared" si="127"/>
        <v>0</v>
      </c>
      <c r="BF86" s="17">
        <f t="shared" si="127"/>
        <v>0</v>
      </c>
      <c r="BG86" s="17">
        <f t="shared" si="127"/>
        <v>0</v>
      </c>
      <c r="BH86" s="17">
        <f t="shared" si="127"/>
        <v>0</v>
      </c>
      <c r="BI86" s="17">
        <f t="shared" si="127"/>
        <v>0</v>
      </c>
      <c r="BJ86" s="17">
        <f t="shared" si="127"/>
        <v>0</v>
      </c>
      <c r="BK86" s="17">
        <f t="shared" si="127"/>
        <v>0</v>
      </c>
      <c r="BL86" s="17">
        <f t="shared" si="127"/>
        <v>0</v>
      </c>
      <c r="BM86" s="17">
        <f t="shared" si="127"/>
        <v>0</v>
      </c>
      <c r="BN86" s="17">
        <f t="shared" si="127"/>
        <v>0</v>
      </c>
      <c r="BO86" s="17">
        <f t="shared" si="127"/>
        <v>0</v>
      </c>
      <c r="BP86" s="17">
        <f t="shared" si="127"/>
        <v>0</v>
      </c>
      <c r="BQ86" s="17">
        <f t="shared" si="127"/>
        <v>0</v>
      </c>
      <c r="BR86" s="17">
        <f t="shared" si="127"/>
        <v>0</v>
      </c>
      <c r="BS86" s="17">
        <f t="shared" si="127"/>
        <v>0</v>
      </c>
      <c r="BT86" s="17">
        <f t="shared" si="127"/>
        <v>0</v>
      </c>
      <c r="BU86" s="17">
        <f t="shared" si="127"/>
        <v>0</v>
      </c>
      <c r="BV86" s="17">
        <f t="shared" si="127"/>
        <v>0</v>
      </c>
      <c r="BW86" s="17">
        <f t="shared" si="127"/>
        <v>0</v>
      </c>
      <c r="BX86" s="17">
        <f t="shared" si="127"/>
        <v>0</v>
      </c>
      <c r="BY86" s="17">
        <f t="shared" si="127"/>
        <v>0</v>
      </c>
      <c r="BZ86" s="17">
        <f t="shared" si="127"/>
        <v>0</v>
      </c>
      <c r="CA86" s="17">
        <f t="shared" si="127"/>
        <v>34580</v>
      </c>
      <c r="CB86" s="17">
        <f t="shared" si="127"/>
        <v>34580</v>
      </c>
      <c r="CC86" s="17">
        <f t="shared" si="127"/>
        <v>34580</v>
      </c>
      <c r="CD86" s="17">
        <f t="shared" si="127"/>
        <v>0</v>
      </c>
      <c r="CE86" s="17">
        <f t="shared" si="127"/>
        <v>34580</v>
      </c>
      <c r="CF86" s="17">
        <f t="shared" si="127"/>
        <v>0</v>
      </c>
      <c r="CG86" s="17">
        <f t="shared" si="127"/>
        <v>0</v>
      </c>
      <c r="CH86" s="17">
        <f t="shared" si="127"/>
        <v>0</v>
      </c>
      <c r="CI86" s="17">
        <f t="shared" si="127"/>
        <v>0</v>
      </c>
      <c r="CJ86" s="17">
        <f t="shared" si="127"/>
        <v>0</v>
      </c>
      <c r="CK86" s="17">
        <f t="shared" si="127"/>
        <v>0</v>
      </c>
      <c r="CL86" s="17">
        <f t="shared" si="127"/>
        <v>0</v>
      </c>
      <c r="CM86" s="17">
        <f t="shared" si="127"/>
        <v>0</v>
      </c>
      <c r="CN86" s="17">
        <f t="shared" si="127"/>
        <v>0</v>
      </c>
      <c r="CO86" s="64"/>
      <c r="CP86" s="64"/>
      <c r="CQ86" s="64"/>
      <c r="CR86" s="64"/>
      <c r="CS86" s="51"/>
      <c r="GP86" s="68"/>
    </row>
    <row r="87" spans="1:198" s="68" customFormat="1" ht="15.6" x14ac:dyDescent="0.3">
      <c r="A87" s="92" t="s">
        <v>1</v>
      </c>
      <c r="B87" s="62" t="s">
        <v>142</v>
      </c>
      <c r="C87" s="63" t="s">
        <v>143</v>
      </c>
      <c r="D87" s="65">
        <f>SUM(E87+CA87)</f>
        <v>9195587</v>
      </c>
      <c r="E87" s="65">
        <f>SUM(F87+BA87)</f>
        <v>9161007</v>
      </c>
      <c r="F87" s="65">
        <f>SUM(G87+H87+I87+P87+S87+T87+U87+AE87+AD87)</f>
        <v>9161007</v>
      </c>
      <c r="G87" s="66">
        <v>6927367</v>
      </c>
      <c r="H87" s="66">
        <v>1570272</v>
      </c>
      <c r="I87" s="65">
        <f t="shared" si="120"/>
        <v>259112</v>
      </c>
      <c r="J87" s="65">
        <v>0</v>
      </c>
      <c r="K87" s="65"/>
      <c r="L87" s="65"/>
      <c r="M87" s="65"/>
      <c r="N87" s="66">
        <f>242493-7794</f>
        <v>234699</v>
      </c>
      <c r="O87" s="66">
        <f>48827-24414</f>
        <v>24413</v>
      </c>
      <c r="P87" s="65">
        <f t="shared" si="121"/>
        <v>0</v>
      </c>
      <c r="Q87" s="65">
        <v>0</v>
      </c>
      <c r="R87" s="65">
        <v>0</v>
      </c>
      <c r="S87" s="65">
        <v>0</v>
      </c>
      <c r="T87" s="66">
        <v>93921</v>
      </c>
      <c r="U87" s="65">
        <f>SUM(V87:AC87)</f>
        <v>249901</v>
      </c>
      <c r="V87" s="66">
        <v>0</v>
      </c>
      <c r="W87" s="66">
        <f>100630+38591</f>
        <v>139221</v>
      </c>
      <c r="X87" s="66">
        <f>42318+54430</f>
        <v>96748</v>
      </c>
      <c r="Y87" s="66">
        <f>7736+1757</f>
        <v>9493</v>
      </c>
      <c r="Z87" s="66">
        <v>4439</v>
      </c>
      <c r="AA87" s="66">
        <v>0</v>
      </c>
      <c r="AB87" s="66">
        <v>0</v>
      </c>
      <c r="AC87" s="66">
        <v>0</v>
      </c>
      <c r="AD87" s="65">
        <v>0</v>
      </c>
      <c r="AE87" s="65">
        <f>SUM(AF87:AZ87)</f>
        <v>60434</v>
      </c>
      <c r="AF87" s="65">
        <v>0</v>
      </c>
      <c r="AG87" s="65">
        <v>0</v>
      </c>
      <c r="AH87" s="66">
        <v>8998</v>
      </c>
      <c r="AI87" s="66">
        <f>87657-63457</f>
        <v>24200</v>
      </c>
      <c r="AJ87" s="66">
        <v>0</v>
      </c>
      <c r="AK87" s="66">
        <v>0</v>
      </c>
      <c r="AL87" s="66">
        <v>0</v>
      </c>
      <c r="AM87" s="66">
        <v>0</v>
      </c>
      <c r="AN87" s="66">
        <v>0</v>
      </c>
      <c r="AO87" s="66">
        <f>15627-3627</f>
        <v>12000</v>
      </c>
      <c r="AP87" s="66">
        <v>0</v>
      </c>
      <c r="AQ87" s="66">
        <v>0</v>
      </c>
      <c r="AR87" s="66">
        <f>18115-2879</f>
        <v>15236</v>
      </c>
      <c r="AS87" s="66">
        <v>0</v>
      </c>
      <c r="AT87" s="66">
        <v>0</v>
      </c>
      <c r="AU87" s="66">
        <v>0</v>
      </c>
      <c r="AV87" s="66">
        <v>0</v>
      </c>
      <c r="AW87" s="66">
        <v>0</v>
      </c>
      <c r="AX87" s="66">
        <v>0</v>
      </c>
      <c r="AY87" s="66">
        <v>0</v>
      </c>
      <c r="AZ87" s="66">
        <v>0</v>
      </c>
      <c r="BA87" s="65">
        <f>SUM(BB87+BF87+BJ87+BL87+BO87)</f>
        <v>0</v>
      </c>
      <c r="BB87" s="65">
        <f>SUM(BC87:BE87)</f>
        <v>0</v>
      </c>
      <c r="BC87" s="65">
        <v>0</v>
      </c>
      <c r="BD87" s="65">
        <v>0</v>
      </c>
      <c r="BE87" s="65">
        <v>0</v>
      </c>
      <c r="BF87" s="65">
        <f>SUM(BG87:BI87)</f>
        <v>0</v>
      </c>
      <c r="BG87" s="65">
        <v>0</v>
      </c>
      <c r="BH87" s="65">
        <v>0</v>
      </c>
      <c r="BI87" s="65">
        <v>0</v>
      </c>
      <c r="BJ87" s="65">
        <v>0</v>
      </c>
      <c r="BK87" s="65">
        <v>0</v>
      </c>
      <c r="BL87" s="65">
        <f t="shared" si="122"/>
        <v>0</v>
      </c>
      <c r="BM87" s="65">
        <v>0</v>
      </c>
      <c r="BN87" s="65">
        <v>0</v>
      </c>
      <c r="BO87" s="65">
        <f>SUM(BP87:BZ87)</f>
        <v>0</v>
      </c>
      <c r="BP87" s="65">
        <v>0</v>
      </c>
      <c r="BQ87" s="65">
        <v>0</v>
      </c>
      <c r="BR87" s="65">
        <v>0</v>
      </c>
      <c r="BS87" s="65">
        <v>0</v>
      </c>
      <c r="BT87" s="65">
        <v>0</v>
      </c>
      <c r="BU87" s="65">
        <v>0</v>
      </c>
      <c r="BV87" s="65">
        <v>0</v>
      </c>
      <c r="BW87" s="65">
        <v>0</v>
      </c>
      <c r="BX87" s="65">
        <v>0</v>
      </c>
      <c r="BY87" s="65">
        <f>6518-6518</f>
        <v>0</v>
      </c>
      <c r="BZ87" s="65">
        <v>0</v>
      </c>
      <c r="CA87" s="65">
        <f>SUM(CB87+CN87)</f>
        <v>34580</v>
      </c>
      <c r="CB87" s="65">
        <f>SUM(CC87+CF87+CK87)</f>
        <v>34580</v>
      </c>
      <c r="CC87" s="65">
        <f t="shared" si="123"/>
        <v>34580</v>
      </c>
      <c r="CD87" s="65">
        <v>0</v>
      </c>
      <c r="CE87" s="66">
        <f>172902-138322</f>
        <v>34580</v>
      </c>
      <c r="CF87" s="65">
        <f>SUM(CG87:CJ87)</f>
        <v>0</v>
      </c>
      <c r="CG87" s="65">
        <v>0</v>
      </c>
      <c r="CH87" s="65">
        <v>0</v>
      </c>
      <c r="CI87" s="65">
        <v>0</v>
      </c>
      <c r="CJ87" s="65">
        <v>0</v>
      </c>
      <c r="CK87" s="65">
        <f>SUM(CL87:CM87)</f>
        <v>0</v>
      </c>
      <c r="CL87" s="65">
        <v>0</v>
      </c>
      <c r="CM87" s="65">
        <v>0</v>
      </c>
      <c r="CN87" s="65">
        <v>0</v>
      </c>
      <c r="CO87" s="65"/>
      <c r="CP87" s="65"/>
      <c r="CQ87" s="65"/>
      <c r="CR87" s="65"/>
      <c r="GP87" s="52"/>
    </row>
    <row r="88" spans="1:198" s="52" customFormat="1" ht="15.6" x14ac:dyDescent="0.3">
      <c r="A88" s="89" t="s">
        <v>144</v>
      </c>
      <c r="B88" s="15" t="s">
        <v>1</v>
      </c>
      <c r="C88" s="26" t="s">
        <v>318</v>
      </c>
      <c r="D88" s="17">
        <f t="shared" si="126"/>
        <v>64716115</v>
      </c>
      <c r="E88" s="17">
        <f t="shared" si="126"/>
        <v>64200185</v>
      </c>
      <c r="F88" s="17">
        <f t="shared" si="126"/>
        <v>63028369</v>
      </c>
      <c r="G88" s="17">
        <f t="shared" si="126"/>
        <v>35749463</v>
      </c>
      <c r="H88" s="17">
        <f t="shared" si="126"/>
        <v>339850</v>
      </c>
      <c r="I88" s="17">
        <f t="shared" si="126"/>
        <v>3505449</v>
      </c>
      <c r="J88" s="17">
        <f t="shared" si="126"/>
        <v>59537</v>
      </c>
      <c r="K88" s="17">
        <f t="shared" si="126"/>
        <v>227280</v>
      </c>
      <c r="L88" s="17">
        <f t="shared" si="126"/>
        <v>0</v>
      </c>
      <c r="M88" s="17">
        <f t="shared" si="126"/>
        <v>25000</v>
      </c>
      <c r="N88" s="17">
        <f t="shared" si="126"/>
        <v>2700145</v>
      </c>
      <c r="O88" s="17">
        <f t="shared" si="126"/>
        <v>493487</v>
      </c>
      <c r="P88" s="17">
        <f t="shared" si="126"/>
        <v>0</v>
      </c>
      <c r="Q88" s="17">
        <f t="shared" si="126"/>
        <v>0</v>
      </c>
      <c r="R88" s="17">
        <f t="shared" si="126"/>
        <v>0</v>
      </c>
      <c r="S88" s="17">
        <f t="shared" si="126"/>
        <v>305</v>
      </c>
      <c r="T88" s="17">
        <f t="shared" si="126"/>
        <v>395834</v>
      </c>
      <c r="U88" s="17">
        <f t="shared" si="126"/>
        <v>2009646</v>
      </c>
      <c r="V88" s="17">
        <f t="shared" si="126"/>
        <v>159903</v>
      </c>
      <c r="W88" s="17">
        <f t="shared" si="126"/>
        <v>4584</v>
      </c>
      <c r="X88" s="17">
        <f t="shared" si="126"/>
        <v>1568218</v>
      </c>
      <c r="Y88" s="17">
        <f t="shared" si="126"/>
        <v>63421</v>
      </c>
      <c r="Z88" s="17">
        <f t="shared" si="126"/>
        <v>88900</v>
      </c>
      <c r="AA88" s="17">
        <f t="shared" si="126"/>
        <v>15840</v>
      </c>
      <c r="AB88" s="17">
        <f t="shared" si="126"/>
        <v>0</v>
      </c>
      <c r="AC88" s="17">
        <f t="shared" si="126"/>
        <v>108780</v>
      </c>
      <c r="AD88" s="17">
        <f t="shared" si="126"/>
        <v>0</v>
      </c>
      <c r="AE88" s="17">
        <f t="shared" si="126"/>
        <v>21027822</v>
      </c>
      <c r="AF88" s="17">
        <f t="shared" si="126"/>
        <v>0</v>
      </c>
      <c r="AG88" s="17">
        <f t="shared" si="126"/>
        <v>0</v>
      </c>
      <c r="AH88" s="17">
        <f t="shared" si="126"/>
        <v>31898</v>
      </c>
      <c r="AI88" s="17">
        <f t="shared" si="126"/>
        <v>98781</v>
      </c>
      <c r="AJ88" s="17">
        <f t="shared" si="126"/>
        <v>0</v>
      </c>
      <c r="AK88" s="17">
        <f t="shared" si="126"/>
        <v>897</v>
      </c>
      <c r="AL88" s="17">
        <f t="shared" si="127"/>
        <v>0</v>
      </c>
      <c r="AM88" s="17">
        <f t="shared" si="127"/>
        <v>3119</v>
      </c>
      <c r="AN88" s="17">
        <f t="shared" si="127"/>
        <v>8187</v>
      </c>
      <c r="AO88" s="17">
        <f t="shared" si="127"/>
        <v>13386</v>
      </c>
      <c r="AP88" s="17">
        <f t="shared" si="127"/>
        <v>0</v>
      </c>
      <c r="AQ88" s="17">
        <f t="shared" si="127"/>
        <v>0</v>
      </c>
      <c r="AR88" s="17">
        <f t="shared" si="127"/>
        <v>0</v>
      </c>
      <c r="AS88" s="17">
        <f t="shared" si="127"/>
        <v>50000</v>
      </c>
      <c r="AT88" s="17"/>
      <c r="AU88" s="17"/>
      <c r="AV88" s="17">
        <f t="shared" si="127"/>
        <v>0</v>
      </c>
      <c r="AW88" s="17">
        <f t="shared" si="127"/>
        <v>19287313</v>
      </c>
      <c r="AX88" s="17">
        <f t="shared" si="127"/>
        <v>289120</v>
      </c>
      <c r="AY88" s="17">
        <f t="shared" si="127"/>
        <v>984912</v>
      </c>
      <c r="AZ88" s="17">
        <f t="shared" si="127"/>
        <v>260209</v>
      </c>
      <c r="BA88" s="17">
        <f t="shared" si="127"/>
        <v>1171816</v>
      </c>
      <c r="BB88" s="17">
        <f t="shared" si="127"/>
        <v>0</v>
      </c>
      <c r="BC88" s="17">
        <f t="shared" si="127"/>
        <v>0</v>
      </c>
      <c r="BD88" s="17">
        <f t="shared" si="127"/>
        <v>0</v>
      </c>
      <c r="BE88" s="17">
        <f t="shared" si="127"/>
        <v>0</v>
      </c>
      <c r="BF88" s="17">
        <f t="shared" si="127"/>
        <v>0</v>
      </c>
      <c r="BG88" s="17">
        <f t="shared" si="127"/>
        <v>0</v>
      </c>
      <c r="BH88" s="17">
        <f t="shared" si="127"/>
        <v>0</v>
      </c>
      <c r="BI88" s="17">
        <f t="shared" si="127"/>
        <v>0</v>
      </c>
      <c r="BJ88" s="17">
        <f t="shared" si="127"/>
        <v>0</v>
      </c>
      <c r="BK88" s="17">
        <f t="shared" si="127"/>
        <v>0</v>
      </c>
      <c r="BL88" s="17">
        <f t="shared" si="127"/>
        <v>172816</v>
      </c>
      <c r="BM88" s="17">
        <f t="shared" si="127"/>
        <v>172816</v>
      </c>
      <c r="BN88" s="17">
        <f t="shared" si="127"/>
        <v>0</v>
      </c>
      <c r="BO88" s="17">
        <f t="shared" si="127"/>
        <v>999000</v>
      </c>
      <c r="BP88" s="17">
        <f t="shared" si="127"/>
        <v>0</v>
      </c>
      <c r="BQ88" s="17">
        <f t="shared" si="127"/>
        <v>0</v>
      </c>
      <c r="BR88" s="17">
        <f t="shared" si="127"/>
        <v>0</v>
      </c>
      <c r="BS88" s="17">
        <f t="shared" si="127"/>
        <v>0</v>
      </c>
      <c r="BT88" s="17">
        <f t="shared" si="127"/>
        <v>0</v>
      </c>
      <c r="BU88" s="17">
        <f t="shared" si="127"/>
        <v>0</v>
      </c>
      <c r="BV88" s="17">
        <f t="shared" si="127"/>
        <v>0</v>
      </c>
      <c r="BW88" s="17">
        <f t="shared" si="127"/>
        <v>0</v>
      </c>
      <c r="BX88" s="17">
        <f t="shared" si="127"/>
        <v>0</v>
      </c>
      <c r="BY88" s="17">
        <f t="shared" si="127"/>
        <v>999000</v>
      </c>
      <c r="BZ88" s="17">
        <f t="shared" si="127"/>
        <v>0</v>
      </c>
      <c r="CA88" s="17">
        <f t="shared" si="127"/>
        <v>515930</v>
      </c>
      <c r="CB88" s="17">
        <f t="shared" si="127"/>
        <v>515930</v>
      </c>
      <c r="CC88" s="17">
        <f t="shared" si="127"/>
        <v>276847</v>
      </c>
      <c r="CD88" s="17">
        <f t="shared" si="127"/>
        <v>0</v>
      </c>
      <c r="CE88" s="17">
        <f t="shared" si="127"/>
        <v>276847</v>
      </c>
      <c r="CF88" s="17">
        <f t="shared" si="127"/>
        <v>118306</v>
      </c>
      <c r="CG88" s="17">
        <f t="shared" si="127"/>
        <v>0</v>
      </c>
      <c r="CH88" s="17">
        <f t="shared" si="127"/>
        <v>118306</v>
      </c>
      <c r="CI88" s="17">
        <f t="shared" si="127"/>
        <v>0</v>
      </c>
      <c r="CJ88" s="17">
        <f t="shared" si="127"/>
        <v>0</v>
      </c>
      <c r="CK88" s="17">
        <f t="shared" si="127"/>
        <v>120777</v>
      </c>
      <c r="CL88" s="17">
        <f t="shared" si="127"/>
        <v>0</v>
      </c>
      <c r="CM88" s="17">
        <f t="shared" si="127"/>
        <v>120777</v>
      </c>
      <c r="CN88" s="17">
        <f t="shared" si="127"/>
        <v>0</v>
      </c>
      <c r="CO88" s="64"/>
      <c r="CP88" s="64"/>
      <c r="CQ88" s="64"/>
      <c r="CR88" s="64"/>
      <c r="CS88" s="51"/>
      <c r="GP88" s="68"/>
    </row>
    <row r="89" spans="1:198" s="68" customFormat="1" ht="19.2" customHeight="1" x14ac:dyDescent="0.3">
      <c r="A89" s="92" t="s">
        <v>1</v>
      </c>
      <c r="B89" s="62" t="s">
        <v>145</v>
      </c>
      <c r="C89" s="100" t="s">
        <v>146</v>
      </c>
      <c r="D89" s="65">
        <f>SUM(E89+CA89)</f>
        <v>64716115</v>
      </c>
      <c r="E89" s="65">
        <f>SUM(F89+BA89)</f>
        <v>64200185</v>
      </c>
      <c r="F89" s="65">
        <f>SUM(G89+H89+I89+P89+S89+T89+U89+AE89+AD89)</f>
        <v>63028369</v>
      </c>
      <c r="G89" s="66">
        <v>35749463</v>
      </c>
      <c r="H89" s="66">
        <v>339850</v>
      </c>
      <c r="I89" s="65">
        <f t="shared" ref="I89" si="128">SUM(J89:O89)</f>
        <v>3505449</v>
      </c>
      <c r="J89" s="66">
        <f>128138-68601</f>
        <v>59537</v>
      </c>
      <c r="K89" s="66">
        <f>1813000-1585720</f>
        <v>227280</v>
      </c>
      <c r="L89" s="66">
        <v>0</v>
      </c>
      <c r="M89" s="66">
        <v>25000</v>
      </c>
      <c r="N89" s="66">
        <f>3100060-239083-160832</f>
        <v>2700145</v>
      </c>
      <c r="O89" s="66">
        <f>886975-393488</f>
        <v>493487</v>
      </c>
      <c r="P89" s="65">
        <f t="shared" ref="P89" si="129">SUM(Q89:R89)</f>
        <v>0</v>
      </c>
      <c r="Q89" s="66">
        <f>43390-43390</f>
        <v>0</v>
      </c>
      <c r="R89" s="66">
        <v>0</v>
      </c>
      <c r="S89" s="66">
        <f>20000-19695</f>
        <v>305</v>
      </c>
      <c r="T89" s="66">
        <f>415834-20000</f>
        <v>395834</v>
      </c>
      <c r="U89" s="65">
        <f>SUM(V89:AC89)</f>
        <v>2009646</v>
      </c>
      <c r="V89" s="66">
        <v>159903</v>
      </c>
      <c r="W89" s="66">
        <f>3000+1584</f>
        <v>4584</v>
      </c>
      <c r="X89" s="66">
        <f>708440+859778</f>
        <v>1568218</v>
      </c>
      <c r="Y89" s="66">
        <f>51885+11536</f>
        <v>63421</v>
      </c>
      <c r="Z89" s="66">
        <v>88900</v>
      </c>
      <c r="AA89" s="66">
        <f>18000-2160</f>
        <v>15840</v>
      </c>
      <c r="AB89" s="66">
        <v>0</v>
      </c>
      <c r="AC89" s="66">
        <f>52761+56019</f>
        <v>108780</v>
      </c>
      <c r="AD89" s="65">
        <v>0</v>
      </c>
      <c r="AE89" s="65">
        <f>SUM(AF89:AZ89)</f>
        <v>21027822</v>
      </c>
      <c r="AF89" s="65">
        <v>0</v>
      </c>
      <c r="AG89" s="65">
        <v>0</v>
      </c>
      <c r="AH89" s="66">
        <f>47631-15733</f>
        <v>31898</v>
      </c>
      <c r="AI89" s="66">
        <f>81892+16889</f>
        <v>98781</v>
      </c>
      <c r="AJ89" s="66">
        <v>0</v>
      </c>
      <c r="AK89" s="66">
        <f>1897-1000</f>
        <v>897</v>
      </c>
      <c r="AL89" s="66">
        <v>0</v>
      </c>
      <c r="AM89" s="66">
        <f>6380-3261</f>
        <v>3119</v>
      </c>
      <c r="AN89" s="66">
        <f>9000-813</f>
        <v>8187</v>
      </c>
      <c r="AO89" s="66">
        <v>13386</v>
      </c>
      <c r="AP89" s="66">
        <v>0</v>
      </c>
      <c r="AQ89" s="66">
        <v>0</v>
      </c>
      <c r="AR89" s="66">
        <v>0</v>
      </c>
      <c r="AS89" s="66">
        <f>100000-50000</f>
        <v>50000</v>
      </c>
      <c r="AT89" s="66">
        <v>0</v>
      </c>
      <c r="AU89" s="66">
        <v>0</v>
      </c>
      <c r="AV89" s="66">
        <v>0</v>
      </c>
      <c r="AW89" s="66">
        <v>19287313</v>
      </c>
      <c r="AX89" s="66">
        <f>349120-60000</f>
        <v>289120</v>
      </c>
      <c r="AY89" s="66">
        <f>1057100-72188</f>
        <v>984912</v>
      </c>
      <c r="AZ89" s="66">
        <f>369625-109416</f>
        <v>260209</v>
      </c>
      <c r="BA89" s="65">
        <f>SUM(BB89+BF89+BJ89+BL89+BO89)</f>
        <v>1171816</v>
      </c>
      <c r="BB89" s="65">
        <f>SUM(BC89:BE89)</f>
        <v>0</v>
      </c>
      <c r="BC89" s="65">
        <v>0</v>
      </c>
      <c r="BD89" s="65">
        <v>0</v>
      </c>
      <c r="BE89" s="65">
        <v>0</v>
      </c>
      <c r="BF89" s="65">
        <f>SUM(BG89:BI89)</f>
        <v>0</v>
      </c>
      <c r="BG89" s="65">
        <v>0</v>
      </c>
      <c r="BH89" s="65">
        <v>0</v>
      </c>
      <c r="BI89" s="65">
        <v>0</v>
      </c>
      <c r="BJ89" s="65">
        <v>0</v>
      </c>
      <c r="BK89" s="66"/>
      <c r="BL89" s="65">
        <f t="shared" ref="BL89" si="130">SUM(BM89)</f>
        <v>172816</v>
      </c>
      <c r="BM89" s="66">
        <f>252816-80000</f>
        <v>172816</v>
      </c>
      <c r="BN89" s="65">
        <v>0</v>
      </c>
      <c r="BO89" s="65">
        <f>SUM(BP89:BZ89)</f>
        <v>999000</v>
      </c>
      <c r="BP89" s="65">
        <v>0</v>
      </c>
      <c r="BQ89" s="65">
        <v>0</v>
      </c>
      <c r="BR89" s="65">
        <v>0</v>
      </c>
      <c r="BS89" s="65">
        <v>0</v>
      </c>
      <c r="BT89" s="65">
        <v>0</v>
      </c>
      <c r="BU89" s="65">
        <v>0</v>
      </c>
      <c r="BV89" s="65">
        <v>0</v>
      </c>
      <c r="BW89" s="65">
        <v>0</v>
      </c>
      <c r="BX89" s="65">
        <v>0</v>
      </c>
      <c r="BY89" s="66">
        <f>999000</f>
        <v>999000</v>
      </c>
      <c r="BZ89" s="65">
        <v>0</v>
      </c>
      <c r="CA89" s="65">
        <f>SUM(CB89+CN89)</f>
        <v>515930</v>
      </c>
      <c r="CB89" s="65">
        <f>SUM(CC89+CF89+CK89)</f>
        <v>515930</v>
      </c>
      <c r="CC89" s="65">
        <f t="shared" ref="CC89" si="131">SUM(CD89:CE89)</f>
        <v>276847</v>
      </c>
      <c r="CD89" s="65">
        <v>0</v>
      </c>
      <c r="CE89" s="66">
        <f>731075-454228</f>
        <v>276847</v>
      </c>
      <c r="CF89" s="65">
        <f>SUM(CG89:CJ89)</f>
        <v>118306</v>
      </c>
      <c r="CG89" s="65">
        <v>0</v>
      </c>
      <c r="CH89" s="66">
        <f>0+118306</f>
        <v>118306</v>
      </c>
      <c r="CI89" s="66"/>
      <c r="CJ89" s="66"/>
      <c r="CK89" s="65">
        <f>SUM(CL89:CM89)</f>
        <v>120777</v>
      </c>
      <c r="CL89" s="67"/>
      <c r="CM89" s="66">
        <f>0+120777</f>
        <v>120777</v>
      </c>
      <c r="CN89" s="65">
        <v>0</v>
      </c>
      <c r="CO89" s="65"/>
      <c r="CP89" s="65"/>
      <c r="CQ89" s="65"/>
      <c r="CR89" s="65"/>
      <c r="GP89" s="52"/>
    </row>
    <row r="90" spans="1:198" s="52" customFormat="1" ht="15.6" x14ac:dyDescent="0.3">
      <c r="A90" s="89" t="s">
        <v>147</v>
      </c>
      <c r="B90" s="15" t="s">
        <v>1</v>
      </c>
      <c r="C90" s="16" t="s">
        <v>475</v>
      </c>
      <c r="D90" s="17">
        <f t="shared" ref="D90:AK90" si="132">SUM(D91)</f>
        <v>42596624</v>
      </c>
      <c r="E90" s="17">
        <f t="shared" si="132"/>
        <v>40591705</v>
      </c>
      <c r="F90" s="17">
        <f t="shared" si="132"/>
        <v>40585377</v>
      </c>
      <c r="G90" s="17">
        <f t="shared" si="132"/>
        <v>34164376</v>
      </c>
      <c r="H90" s="17">
        <f t="shared" si="132"/>
        <v>684000</v>
      </c>
      <c r="I90" s="17">
        <f t="shared" si="132"/>
        <v>3569010</v>
      </c>
      <c r="J90" s="17">
        <f>J91</f>
        <v>34761</v>
      </c>
      <c r="K90" s="17">
        <f t="shared" ref="K90:O90" si="133">K91</f>
        <v>0</v>
      </c>
      <c r="L90" s="17">
        <f t="shared" si="133"/>
        <v>41865</v>
      </c>
      <c r="M90" s="17">
        <f t="shared" si="133"/>
        <v>46500</v>
      </c>
      <c r="N90" s="17">
        <f t="shared" si="133"/>
        <v>2547944</v>
      </c>
      <c r="O90" s="17">
        <f t="shared" si="133"/>
        <v>897940</v>
      </c>
      <c r="P90" s="17">
        <f t="shared" si="132"/>
        <v>128404</v>
      </c>
      <c r="Q90" s="17">
        <f t="shared" si="132"/>
        <v>3314</v>
      </c>
      <c r="R90" s="17">
        <f t="shared" si="132"/>
        <v>125090</v>
      </c>
      <c r="S90" s="17">
        <f t="shared" si="132"/>
        <v>0</v>
      </c>
      <c r="T90" s="17">
        <f t="shared" si="132"/>
        <v>49376</v>
      </c>
      <c r="U90" s="17">
        <f t="shared" si="132"/>
        <v>420063</v>
      </c>
      <c r="V90" s="17">
        <f t="shared" si="132"/>
        <v>45885</v>
      </c>
      <c r="W90" s="17">
        <f t="shared" si="132"/>
        <v>0</v>
      </c>
      <c r="X90" s="17">
        <f t="shared" si="132"/>
        <v>273304</v>
      </c>
      <c r="Y90" s="17">
        <f t="shared" si="132"/>
        <v>43180</v>
      </c>
      <c r="Z90" s="17">
        <f t="shared" si="132"/>
        <v>9493</v>
      </c>
      <c r="AA90" s="17">
        <f t="shared" si="132"/>
        <v>0</v>
      </c>
      <c r="AB90" s="17">
        <f t="shared" si="132"/>
        <v>0</v>
      </c>
      <c r="AC90" s="17">
        <f t="shared" si="132"/>
        <v>48201</v>
      </c>
      <c r="AD90" s="17">
        <f t="shared" si="132"/>
        <v>0</v>
      </c>
      <c r="AE90" s="17">
        <f t="shared" si="132"/>
        <v>1570148</v>
      </c>
      <c r="AF90" s="17">
        <f t="shared" si="132"/>
        <v>0</v>
      </c>
      <c r="AG90" s="17">
        <f t="shared" si="132"/>
        <v>0</v>
      </c>
      <c r="AH90" s="17">
        <f t="shared" si="132"/>
        <v>0</v>
      </c>
      <c r="AI90" s="17">
        <f t="shared" si="132"/>
        <v>0</v>
      </c>
      <c r="AJ90" s="17">
        <f t="shared" si="132"/>
        <v>0</v>
      </c>
      <c r="AK90" s="17">
        <f t="shared" si="132"/>
        <v>0</v>
      </c>
      <c r="AL90" s="17">
        <f t="shared" ref="AL90:CN90" si="134">SUM(AL91)</f>
        <v>0</v>
      </c>
      <c r="AM90" s="17">
        <f t="shared" si="134"/>
        <v>0</v>
      </c>
      <c r="AN90" s="17">
        <f t="shared" si="134"/>
        <v>8076</v>
      </c>
      <c r="AO90" s="17">
        <f t="shared" si="134"/>
        <v>19913</v>
      </c>
      <c r="AP90" s="17">
        <f t="shared" si="134"/>
        <v>0</v>
      </c>
      <c r="AQ90" s="17">
        <f t="shared" si="134"/>
        <v>66450</v>
      </c>
      <c r="AR90" s="17">
        <f t="shared" si="134"/>
        <v>3780</v>
      </c>
      <c r="AS90" s="17">
        <f t="shared" si="134"/>
        <v>19200</v>
      </c>
      <c r="AT90" s="17"/>
      <c r="AU90" s="17"/>
      <c r="AV90" s="17">
        <f t="shared" si="134"/>
        <v>0</v>
      </c>
      <c r="AW90" s="17">
        <f t="shared" si="134"/>
        <v>1052116</v>
      </c>
      <c r="AX90" s="17">
        <f t="shared" si="134"/>
        <v>45000</v>
      </c>
      <c r="AY90" s="17"/>
      <c r="AZ90" s="17">
        <f t="shared" si="134"/>
        <v>355613</v>
      </c>
      <c r="BA90" s="17">
        <f t="shared" si="134"/>
        <v>6328</v>
      </c>
      <c r="BB90" s="17">
        <f t="shared" si="134"/>
        <v>0</v>
      </c>
      <c r="BC90" s="17">
        <f t="shared" si="134"/>
        <v>0</v>
      </c>
      <c r="BD90" s="17">
        <f t="shared" si="134"/>
        <v>0</v>
      </c>
      <c r="BE90" s="17">
        <f t="shared" si="134"/>
        <v>0</v>
      </c>
      <c r="BF90" s="17">
        <f t="shared" si="134"/>
        <v>0</v>
      </c>
      <c r="BG90" s="17">
        <f t="shared" si="134"/>
        <v>0</v>
      </c>
      <c r="BH90" s="17">
        <f t="shared" si="134"/>
        <v>0</v>
      </c>
      <c r="BI90" s="17">
        <f t="shared" si="134"/>
        <v>0</v>
      </c>
      <c r="BJ90" s="17">
        <f t="shared" si="134"/>
        <v>0</v>
      </c>
      <c r="BK90" s="17">
        <f t="shared" si="134"/>
        <v>0</v>
      </c>
      <c r="BL90" s="17">
        <f t="shared" si="134"/>
        <v>6328</v>
      </c>
      <c r="BM90" s="17">
        <f t="shared" si="134"/>
        <v>6328</v>
      </c>
      <c r="BN90" s="17">
        <f t="shared" si="134"/>
        <v>0</v>
      </c>
      <c r="BO90" s="17">
        <f t="shared" si="134"/>
        <v>0</v>
      </c>
      <c r="BP90" s="17">
        <f t="shared" si="134"/>
        <v>0</v>
      </c>
      <c r="BQ90" s="17">
        <f t="shared" si="134"/>
        <v>0</v>
      </c>
      <c r="BR90" s="17">
        <f t="shared" si="134"/>
        <v>0</v>
      </c>
      <c r="BS90" s="17">
        <f t="shared" si="134"/>
        <v>0</v>
      </c>
      <c r="BT90" s="17">
        <f t="shared" si="134"/>
        <v>0</v>
      </c>
      <c r="BU90" s="17">
        <f t="shared" si="134"/>
        <v>0</v>
      </c>
      <c r="BV90" s="17">
        <f t="shared" si="134"/>
        <v>0</v>
      </c>
      <c r="BW90" s="17">
        <f t="shared" si="134"/>
        <v>0</v>
      </c>
      <c r="BX90" s="17">
        <f t="shared" si="134"/>
        <v>0</v>
      </c>
      <c r="BY90" s="17">
        <f t="shared" si="134"/>
        <v>0</v>
      </c>
      <c r="BZ90" s="17">
        <f t="shared" si="134"/>
        <v>0</v>
      </c>
      <c r="CA90" s="17">
        <f t="shared" si="134"/>
        <v>2004919</v>
      </c>
      <c r="CB90" s="17">
        <f t="shared" si="134"/>
        <v>2004919</v>
      </c>
      <c r="CC90" s="17">
        <f t="shared" si="134"/>
        <v>2004919</v>
      </c>
      <c r="CD90" s="17">
        <f t="shared" si="134"/>
        <v>0</v>
      </c>
      <c r="CE90" s="17">
        <f t="shared" si="134"/>
        <v>2004919</v>
      </c>
      <c r="CF90" s="17">
        <f t="shared" si="134"/>
        <v>0</v>
      </c>
      <c r="CG90" s="17">
        <f t="shared" si="134"/>
        <v>0</v>
      </c>
      <c r="CH90" s="17">
        <f t="shared" si="134"/>
        <v>0</v>
      </c>
      <c r="CI90" s="17">
        <f t="shared" si="134"/>
        <v>0</v>
      </c>
      <c r="CJ90" s="17">
        <f t="shared" si="134"/>
        <v>0</v>
      </c>
      <c r="CK90" s="17">
        <f t="shared" si="134"/>
        <v>0</v>
      </c>
      <c r="CL90" s="17">
        <f t="shared" si="134"/>
        <v>0</v>
      </c>
      <c r="CM90" s="17">
        <f t="shared" si="134"/>
        <v>0</v>
      </c>
      <c r="CN90" s="17">
        <f t="shared" si="134"/>
        <v>0</v>
      </c>
      <c r="CO90" s="64"/>
      <c r="CP90" s="64"/>
      <c r="CQ90" s="64"/>
      <c r="CR90" s="64"/>
      <c r="CS90" s="51"/>
      <c r="GP90" s="68"/>
    </row>
    <row r="91" spans="1:198" s="68" customFormat="1" ht="15.6" x14ac:dyDescent="0.3">
      <c r="A91" s="92" t="s">
        <v>1</v>
      </c>
      <c r="B91" s="62" t="s">
        <v>148</v>
      </c>
      <c r="C91" s="63" t="s">
        <v>530</v>
      </c>
      <c r="D91" s="65">
        <f>SUM(E91+CA91)</f>
        <v>42596624</v>
      </c>
      <c r="E91" s="65">
        <f>SUM(F91+BA91)</f>
        <v>40591705</v>
      </c>
      <c r="F91" s="65">
        <f>SUM(G91+H91+I91+P91+S91+T91+U91+AE91+AD91)</f>
        <v>40585377</v>
      </c>
      <c r="G91" s="66">
        <v>34164376</v>
      </c>
      <c r="H91" s="66">
        <v>684000</v>
      </c>
      <c r="I91" s="65">
        <f t="shared" si="120"/>
        <v>3569010</v>
      </c>
      <c r="J91" s="66">
        <v>34761</v>
      </c>
      <c r="K91" s="66">
        <f>331235-331235</f>
        <v>0</v>
      </c>
      <c r="L91" s="66">
        <v>41865</v>
      </c>
      <c r="M91" s="66">
        <f>0+46500</f>
        <v>46500</v>
      </c>
      <c r="N91" s="66">
        <f>3190631-46500-596187</f>
        <v>2547944</v>
      </c>
      <c r="O91" s="66">
        <f>324601+434200+139139</f>
        <v>897940</v>
      </c>
      <c r="P91" s="65">
        <f t="shared" si="121"/>
        <v>128404</v>
      </c>
      <c r="Q91" s="66">
        <v>3314</v>
      </c>
      <c r="R91" s="66">
        <v>125090</v>
      </c>
      <c r="S91" s="66">
        <v>0</v>
      </c>
      <c r="T91" s="66">
        <v>49376</v>
      </c>
      <c r="U91" s="65">
        <f>SUM(V91:AC91)</f>
        <v>420063</v>
      </c>
      <c r="V91" s="66">
        <f>99145-53260</f>
        <v>45885</v>
      </c>
      <c r="W91" s="66">
        <v>0</v>
      </c>
      <c r="X91" s="66">
        <f>117600+134104+21600</f>
        <v>273304</v>
      </c>
      <c r="Y91" s="66">
        <f>23263+19917</f>
        <v>43180</v>
      </c>
      <c r="Z91" s="66">
        <v>9493</v>
      </c>
      <c r="AA91" s="66">
        <v>0</v>
      </c>
      <c r="AB91" s="66">
        <v>0</v>
      </c>
      <c r="AC91" s="66">
        <f>17391+30810</f>
        <v>48201</v>
      </c>
      <c r="AD91" s="65">
        <v>0</v>
      </c>
      <c r="AE91" s="65">
        <f>SUM(AF91:AZ91)</f>
        <v>1570148</v>
      </c>
      <c r="AF91" s="65">
        <v>0</v>
      </c>
      <c r="AG91" s="65">
        <v>0</v>
      </c>
      <c r="AH91" s="65">
        <v>0</v>
      </c>
      <c r="AI91" s="65">
        <v>0</v>
      </c>
      <c r="AJ91" s="66">
        <v>0</v>
      </c>
      <c r="AK91" s="66">
        <v>0</v>
      </c>
      <c r="AL91" s="66">
        <f>5020-5020</f>
        <v>0</v>
      </c>
      <c r="AM91" s="66">
        <v>0</v>
      </c>
      <c r="AN91" s="66">
        <f>23076-15000</f>
        <v>8076</v>
      </c>
      <c r="AO91" s="66">
        <f>52380-32467</f>
        <v>19913</v>
      </c>
      <c r="AP91" s="66">
        <v>0</v>
      </c>
      <c r="AQ91" s="66">
        <f>22500+43950</f>
        <v>66450</v>
      </c>
      <c r="AR91" s="66">
        <f>6344-2564</f>
        <v>3780</v>
      </c>
      <c r="AS91" s="66">
        <v>19200</v>
      </c>
      <c r="AT91" s="66">
        <v>0</v>
      </c>
      <c r="AU91" s="66">
        <v>0</v>
      </c>
      <c r="AV91" s="66">
        <v>0</v>
      </c>
      <c r="AW91" s="66">
        <v>1052116</v>
      </c>
      <c r="AX91" s="66">
        <v>45000</v>
      </c>
      <c r="AY91" s="66">
        <v>0</v>
      </c>
      <c r="AZ91" s="66">
        <f>209038+146575</f>
        <v>355613</v>
      </c>
      <c r="BA91" s="65">
        <f>SUM(BB91+BF91+BJ91+BL91+BO91)</f>
        <v>6328</v>
      </c>
      <c r="BB91" s="65">
        <f>SUM(BC91:BE91)</f>
        <v>0</v>
      </c>
      <c r="BC91" s="65">
        <v>0</v>
      </c>
      <c r="BD91" s="65">
        <v>0</v>
      </c>
      <c r="BE91" s="65">
        <v>0</v>
      </c>
      <c r="BF91" s="65">
        <f>SUM(BG91:BI91)</f>
        <v>0</v>
      </c>
      <c r="BG91" s="65">
        <v>0</v>
      </c>
      <c r="BH91" s="65">
        <v>0</v>
      </c>
      <c r="BI91" s="65">
        <v>0</v>
      </c>
      <c r="BJ91" s="65">
        <v>0</v>
      </c>
      <c r="BK91" s="65"/>
      <c r="BL91" s="65">
        <f t="shared" si="122"/>
        <v>6328</v>
      </c>
      <c r="BM91" s="65">
        <v>6328</v>
      </c>
      <c r="BN91" s="65"/>
      <c r="BO91" s="65">
        <f>SUM(BP91:BZ91)</f>
        <v>0</v>
      </c>
      <c r="BP91" s="65">
        <v>0</v>
      </c>
      <c r="BQ91" s="65">
        <v>0</v>
      </c>
      <c r="BR91" s="65">
        <v>0</v>
      </c>
      <c r="BS91" s="65">
        <v>0</v>
      </c>
      <c r="BT91" s="65">
        <v>0</v>
      </c>
      <c r="BU91" s="65">
        <v>0</v>
      </c>
      <c r="BV91" s="65">
        <v>0</v>
      </c>
      <c r="BW91" s="65">
        <v>0</v>
      </c>
      <c r="BX91" s="65">
        <v>0</v>
      </c>
      <c r="BY91" s="65">
        <v>0</v>
      </c>
      <c r="BZ91" s="65"/>
      <c r="CA91" s="65">
        <f>SUM(CB91+CN91)</f>
        <v>2004919</v>
      </c>
      <c r="CB91" s="65">
        <f>SUM(CC91+CF91+CK91)</f>
        <v>2004919</v>
      </c>
      <c r="CC91" s="65">
        <f t="shared" si="123"/>
        <v>2004919</v>
      </c>
      <c r="CD91" s="65">
        <v>0</v>
      </c>
      <c r="CE91" s="66">
        <f>864133+681000+481386-21600</f>
        <v>2004919</v>
      </c>
      <c r="CF91" s="65">
        <f>SUM(CG91:CJ91)</f>
        <v>0</v>
      </c>
      <c r="CG91" s="65">
        <v>0</v>
      </c>
      <c r="CH91" s="65"/>
      <c r="CI91" s="65">
        <v>0</v>
      </c>
      <c r="CJ91" s="65">
        <v>0</v>
      </c>
      <c r="CK91" s="65">
        <f>SUM(CL91:CM91)</f>
        <v>0</v>
      </c>
      <c r="CL91" s="65"/>
      <c r="CM91" s="65"/>
      <c r="CN91" s="65">
        <v>0</v>
      </c>
      <c r="CO91" s="65"/>
      <c r="CP91" s="65"/>
      <c r="CQ91" s="65"/>
      <c r="CR91" s="65"/>
      <c r="GP91" s="52"/>
    </row>
    <row r="92" spans="1:198" s="52" customFormat="1" ht="31.2" x14ac:dyDescent="0.3">
      <c r="A92" s="91" t="s">
        <v>150</v>
      </c>
      <c r="B92" s="23" t="s">
        <v>1</v>
      </c>
      <c r="C92" s="24" t="s">
        <v>151</v>
      </c>
      <c r="D92" s="25">
        <f>SUM(D93+D96)</f>
        <v>14130394</v>
      </c>
      <c r="E92" s="25">
        <f t="shared" ref="E92:BU92" si="135">SUM(E93+E96)</f>
        <v>14129849</v>
      </c>
      <c r="F92" s="25">
        <f t="shared" si="135"/>
        <v>14129849</v>
      </c>
      <c r="G92" s="25">
        <f t="shared" si="135"/>
        <v>2038065</v>
      </c>
      <c r="H92" s="25">
        <f t="shared" si="135"/>
        <v>465743</v>
      </c>
      <c r="I92" s="25">
        <f t="shared" si="135"/>
        <v>48718</v>
      </c>
      <c r="J92" s="25">
        <f t="shared" si="135"/>
        <v>0</v>
      </c>
      <c r="K92" s="25">
        <f t="shared" si="135"/>
        <v>0</v>
      </c>
      <c r="L92" s="25">
        <f t="shared" si="135"/>
        <v>0</v>
      </c>
      <c r="M92" s="25">
        <f t="shared" si="135"/>
        <v>0</v>
      </c>
      <c r="N92" s="25">
        <f t="shared" si="135"/>
        <v>48718</v>
      </c>
      <c r="O92" s="25">
        <f t="shared" si="135"/>
        <v>0</v>
      </c>
      <c r="P92" s="25">
        <f t="shared" si="135"/>
        <v>0</v>
      </c>
      <c r="Q92" s="25">
        <f t="shared" si="135"/>
        <v>0</v>
      </c>
      <c r="R92" s="25">
        <f t="shared" si="135"/>
        <v>0</v>
      </c>
      <c r="S92" s="25">
        <f t="shared" si="135"/>
        <v>0</v>
      </c>
      <c r="T92" s="25">
        <f t="shared" si="135"/>
        <v>28331</v>
      </c>
      <c r="U92" s="25">
        <f t="shared" si="135"/>
        <v>78521</v>
      </c>
      <c r="V92" s="25">
        <f t="shared" si="135"/>
        <v>0</v>
      </c>
      <c r="W92" s="25">
        <f t="shared" si="135"/>
        <v>42968</v>
      </c>
      <c r="X92" s="25">
        <f t="shared" si="135"/>
        <v>8470</v>
      </c>
      <c r="Y92" s="25">
        <f t="shared" si="135"/>
        <v>27083</v>
      </c>
      <c r="Z92" s="25">
        <f t="shared" si="135"/>
        <v>0</v>
      </c>
      <c r="AA92" s="25">
        <f t="shared" si="135"/>
        <v>0</v>
      </c>
      <c r="AB92" s="25">
        <f t="shared" si="135"/>
        <v>0</v>
      </c>
      <c r="AC92" s="25">
        <f t="shared" si="135"/>
        <v>0</v>
      </c>
      <c r="AD92" s="25">
        <f t="shared" si="135"/>
        <v>0</v>
      </c>
      <c r="AE92" s="25">
        <f t="shared" si="135"/>
        <v>11470471</v>
      </c>
      <c r="AF92" s="25">
        <f t="shared" si="135"/>
        <v>0</v>
      </c>
      <c r="AG92" s="25">
        <f t="shared" si="135"/>
        <v>11408949</v>
      </c>
      <c r="AH92" s="25">
        <f t="shared" si="135"/>
        <v>0</v>
      </c>
      <c r="AI92" s="25">
        <f t="shared" si="135"/>
        <v>0</v>
      </c>
      <c r="AJ92" s="25">
        <f t="shared" si="135"/>
        <v>0</v>
      </c>
      <c r="AK92" s="25">
        <f t="shared" si="135"/>
        <v>990</v>
      </c>
      <c r="AL92" s="25">
        <f t="shared" si="135"/>
        <v>0</v>
      </c>
      <c r="AM92" s="25">
        <f t="shared" si="135"/>
        <v>0</v>
      </c>
      <c r="AN92" s="25">
        <f t="shared" si="135"/>
        <v>0</v>
      </c>
      <c r="AO92" s="25">
        <f t="shared" si="135"/>
        <v>0</v>
      </c>
      <c r="AP92" s="25">
        <f t="shared" si="135"/>
        <v>0</v>
      </c>
      <c r="AQ92" s="25">
        <f t="shared" si="135"/>
        <v>0</v>
      </c>
      <c r="AR92" s="25">
        <f t="shared" si="135"/>
        <v>0</v>
      </c>
      <c r="AS92" s="25">
        <f t="shared" si="135"/>
        <v>0</v>
      </c>
      <c r="AT92" s="25"/>
      <c r="AU92" s="25"/>
      <c r="AV92" s="25">
        <f t="shared" si="135"/>
        <v>0</v>
      </c>
      <c r="AW92" s="25">
        <f t="shared" si="135"/>
        <v>0</v>
      </c>
      <c r="AX92" s="25">
        <f t="shared" si="135"/>
        <v>54900</v>
      </c>
      <c r="AY92" s="25"/>
      <c r="AZ92" s="25">
        <f t="shared" si="135"/>
        <v>5632</v>
      </c>
      <c r="BA92" s="25">
        <f t="shared" si="135"/>
        <v>0</v>
      </c>
      <c r="BB92" s="25">
        <f t="shared" si="135"/>
        <v>0</v>
      </c>
      <c r="BC92" s="25">
        <f t="shared" si="135"/>
        <v>0</v>
      </c>
      <c r="BD92" s="25">
        <f t="shared" si="135"/>
        <v>0</v>
      </c>
      <c r="BE92" s="25">
        <f t="shared" si="135"/>
        <v>0</v>
      </c>
      <c r="BF92" s="25">
        <f t="shared" si="135"/>
        <v>0</v>
      </c>
      <c r="BG92" s="25">
        <f t="shared" si="135"/>
        <v>0</v>
      </c>
      <c r="BH92" s="25">
        <f t="shared" ref="BH92" si="136">SUM(BH93+BH96)</f>
        <v>0</v>
      </c>
      <c r="BI92" s="25">
        <f t="shared" si="135"/>
        <v>0</v>
      </c>
      <c r="BJ92" s="25">
        <f t="shared" si="135"/>
        <v>0</v>
      </c>
      <c r="BK92" s="25">
        <f t="shared" ref="BK92" si="137">SUM(BK93+BK96)</f>
        <v>0</v>
      </c>
      <c r="BL92" s="25">
        <f t="shared" si="135"/>
        <v>0</v>
      </c>
      <c r="BM92" s="25">
        <f t="shared" si="135"/>
        <v>0</v>
      </c>
      <c r="BN92" s="25">
        <f t="shared" ref="BN92" si="138">SUM(BN93+BN96)</f>
        <v>0</v>
      </c>
      <c r="BO92" s="25">
        <f t="shared" si="135"/>
        <v>0</v>
      </c>
      <c r="BP92" s="25">
        <f t="shared" si="135"/>
        <v>0</v>
      </c>
      <c r="BQ92" s="25">
        <f t="shared" si="135"/>
        <v>0</v>
      </c>
      <c r="BR92" s="25">
        <f t="shared" si="135"/>
        <v>0</v>
      </c>
      <c r="BS92" s="25">
        <f t="shared" si="135"/>
        <v>0</v>
      </c>
      <c r="BT92" s="25">
        <f t="shared" si="135"/>
        <v>0</v>
      </c>
      <c r="BU92" s="25">
        <f t="shared" si="135"/>
        <v>0</v>
      </c>
      <c r="BV92" s="25">
        <f t="shared" ref="BV92:CQ92" si="139">SUM(BV93+BV96)</f>
        <v>0</v>
      </c>
      <c r="BW92" s="25">
        <f t="shared" si="139"/>
        <v>0</v>
      </c>
      <c r="BX92" s="25">
        <f t="shared" si="139"/>
        <v>0</v>
      </c>
      <c r="BY92" s="25">
        <f t="shared" si="139"/>
        <v>0</v>
      </c>
      <c r="BZ92" s="25">
        <f t="shared" si="139"/>
        <v>0</v>
      </c>
      <c r="CA92" s="25">
        <f t="shared" si="139"/>
        <v>545</v>
      </c>
      <c r="CB92" s="25">
        <f t="shared" si="139"/>
        <v>545</v>
      </c>
      <c r="CC92" s="25">
        <f t="shared" si="139"/>
        <v>545</v>
      </c>
      <c r="CD92" s="25">
        <f t="shared" si="139"/>
        <v>0</v>
      </c>
      <c r="CE92" s="25">
        <f t="shared" si="139"/>
        <v>545</v>
      </c>
      <c r="CF92" s="25">
        <f t="shared" si="139"/>
        <v>0</v>
      </c>
      <c r="CG92" s="25">
        <f t="shared" ref="CG92:CH92" si="140">SUM(CG93+CG96)</f>
        <v>0</v>
      </c>
      <c r="CH92" s="25">
        <f t="shared" si="140"/>
        <v>0</v>
      </c>
      <c r="CI92" s="25">
        <f t="shared" si="139"/>
        <v>0</v>
      </c>
      <c r="CJ92" s="25">
        <f t="shared" ref="CJ92" si="141">SUM(CJ93+CJ96)</f>
        <v>0</v>
      </c>
      <c r="CK92" s="25">
        <f t="shared" si="139"/>
        <v>0</v>
      </c>
      <c r="CL92" s="25">
        <f t="shared" ref="CL92" si="142">SUM(CL93+CL96)</f>
        <v>0</v>
      </c>
      <c r="CM92" s="25">
        <f t="shared" si="139"/>
        <v>0</v>
      </c>
      <c r="CN92" s="25">
        <f t="shared" si="139"/>
        <v>0</v>
      </c>
      <c r="CO92" s="25">
        <f t="shared" si="139"/>
        <v>0</v>
      </c>
      <c r="CP92" s="25">
        <f t="shared" si="139"/>
        <v>0</v>
      </c>
      <c r="CQ92" s="25">
        <f t="shared" si="139"/>
        <v>0</v>
      </c>
      <c r="CR92" s="25">
        <f t="shared" ref="CR92" si="143">SUM(CR93+CR96)</f>
        <v>0</v>
      </c>
      <c r="CS92" s="51"/>
      <c r="GP92" s="68"/>
    </row>
    <row r="93" spans="1:198" s="52" customFormat="1" ht="15.6" x14ac:dyDescent="0.3">
      <c r="A93" s="89" t="s">
        <v>152</v>
      </c>
      <c r="B93" s="15" t="s">
        <v>1</v>
      </c>
      <c r="C93" s="16" t="s">
        <v>153</v>
      </c>
      <c r="D93" s="17">
        <f t="shared" ref="D93:AK93" si="144">SUM(D94:D95)</f>
        <v>2356403</v>
      </c>
      <c r="E93" s="17">
        <f t="shared" si="144"/>
        <v>2355858</v>
      </c>
      <c r="F93" s="17">
        <f t="shared" si="144"/>
        <v>2355858</v>
      </c>
      <c r="G93" s="17">
        <f t="shared" si="144"/>
        <v>1741644</v>
      </c>
      <c r="H93" s="17">
        <f t="shared" si="144"/>
        <v>397122</v>
      </c>
      <c r="I93" s="17">
        <f t="shared" si="144"/>
        <v>48718</v>
      </c>
      <c r="J93" s="17">
        <f t="shared" si="144"/>
        <v>0</v>
      </c>
      <c r="K93" s="17">
        <f t="shared" si="144"/>
        <v>0</v>
      </c>
      <c r="L93" s="17">
        <f t="shared" si="144"/>
        <v>0</v>
      </c>
      <c r="M93" s="17">
        <f t="shared" si="144"/>
        <v>0</v>
      </c>
      <c r="N93" s="17">
        <f t="shared" si="144"/>
        <v>48718</v>
      </c>
      <c r="O93" s="17">
        <f t="shared" si="144"/>
        <v>0</v>
      </c>
      <c r="P93" s="17">
        <f t="shared" si="144"/>
        <v>0</v>
      </c>
      <c r="Q93" s="17">
        <f t="shared" si="144"/>
        <v>0</v>
      </c>
      <c r="R93" s="17">
        <f t="shared" si="144"/>
        <v>0</v>
      </c>
      <c r="S93" s="17">
        <f t="shared" si="144"/>
        <v>0</v>
      </c>
      <c r="T93" s="17">
        <f t="shared" si="144"/>
        <v>28331</v>
      </c>
      <c r="U93" s="17">
        <f t="shared" si="144"/>
        <v>78521</v>
      </c>
      <c r="V93" s="17">
        <f t="shared" si="144"/>
        <v>0</v>
      </c>
      <c r="W93" s="17">
        <f t="shared" si="144"/>
        <v>42968</v>
      </c>
      <c r="X93" s="17">
        <f t="shared" si="144"/>
        <v>8470</v>
      </c>
      <c r="Y93" s="17">
        <f t="shared" si="144"/>
        <v>27083</v>
      </c>
      <c r="Z93" s="17">
        <f t="shared" si="144"/>
        <v>0</v>
      </c>
      <c r="AA93" s="17">
        <f t="shared" si="144"/>
        <v>0</v>
      </c>
      <c r="AB93" s="17">
        <f t="shared" si="144"/>
        <v>0</v>
      </c>
      <c r="AC93" s="17">
        <f t="shared" ref="AC93:AD93" si="145">SUM(AC94:AC95)</f>
        <v>0</v>
      </c>
      <c r="AD93" s="17">
        <f t="shared" si="145"/>
        <v>0</v>
      </c>
      <c r="AE93" s="17">
        <f t="shared" si="144"/>
        <v>61522</v>
      </c>
      <c r="AF93" s="17">
        <f t="shared" si="144"/>
        <v>0</v>
      </c>
      <c r="AG93" s="17">
        <f t="shared" ref="AG93" si="146">SUM(AG94:AG95)</f>
        <v>0</v>
      </c>
      <c r="AH93" s="17">
        <f t="shared" si="144"/>
        <v>0</v>
      </c>
      <c r="AI93" s="17">
        <f t="shared" si="144"/>
        <v>0</v>
      </c>
      <c r="AJ93" s="17">
        <f t="shared" si="144"/>
        <v>0</v>
      </c>
      <c r="AK93" s="17">
        <f t="shared" si="144"/>
        <v>990</v>
      </c>
      <c r="AL93" s="17">
        <f t="shared" ref="AL93:CN93" si="147">SUM(AL94:AL95)</f>
        <v>0</v>
      </c>
      <c r="AM93" s="17">
        <f t="shared" si="147"/>
        <v>0</v>
      </c>
      <c r="AN93" s="17">
        <f t="shared" si="147"/>
        <v>0</v>
      </c>
      <c r="AO93" s="17">
        <f t="shared" si="147"/>
        <v>0</v>
      </c>
      <c r="AP93" s="17">
        <f t="shared" si="147"/>
        <v>0</v>
      </c>
      <c r="AQ93" s="17">
        <f t="shared" si="147"/>
        <v>0</v>
      </c>
      <c r="AR93" s="17">
        <f t="shared" si="147"/>
        <v>0</v>
      </c>
      <c r="AS93" s="17">
        <f t="shared" si="147"/>
        <v>0</v>
      </c>
      <c r="AT93" s="17"/>
      <c r="AU93" s="17"/>
      <c r="AV93" s="17">
        <f t="shared" si="147"/>
        <v>0</v>
      </c>
      <c r="AW93" s="17">
        <f t="shared" si="147"/>
        <v>0</v>
      </c>
      <c r="AX93" s="17">
        <f t="shared" si="147"/>
        <v>54900</v>
      </c>
      <c r="AY93" s="17"/>
      <c r="AZ93" s="17">
        <f t="shared" si="147"/>
        <v>5632</v>
      </c>
      <c r="BA93" s="17">
        <f t="shared" si="147"/>
        <v>0</v>
      </c>
      <c r="BB93" s="17">
        <f t="shared" si="147"/>
        <v>0</v>
      </c>
      <c r="BC93" s="17">
        <f t="shared" si="147"/>
        <v>0</v>
      </c>
      <c r="BD93" s="17">
        <f t="shared" si="147"/>
        <v>0</v>
      </c>
      <c r="BE93" s="17">
        <f t="shared" si="147"/>
        <v>0</v>
      </c>
      <c r="BF93" s="17">
        <f t="shared" si="147"/>
        <v>0</v>
      </c>
      <c r="BG93" s="17">
        <f t="shared" si="147"/>
        <v>0</v>
      </c>
      <c r="BH93" s="17">
        <f t="shared" ref="BH93" si="148">SUM(BH94:BH95)</f>
        <v>0</v>
      </c>
      <c r="BI93" s="17">
        <f t="shared" si="147"/>
        <v>0</v>
      </c>
      <c r="BJ93" s="17">
        <f t="shared" si="147"/>
        <v>0</v>
      </c>
      <c r="BK93" s="17">
        <f t="shared" ref="BK93" si="149">SUM(BK94:BK95)</f>
        <v>0</v>
      </c>
      <c r="BL93" s="17">
        <f t="shared" si="147"/>
        <v>0</v>
      </c>
      <c r="BM93" s="17">
        <f t="shared" si="147"/>
        <v>0</v>
      </c>
      <c r="BN93" s="17">
        <f t="shared" ref="BN93" si="150">SUM(BN94:BN95)</f>
        <v>0</v>
      </c>
      <c r="BO93" s="17">
        <f t="shared" si="147"/>
        <v>0</v>
      </c>
      <c r="BP93" s="17">
        <f t="shared" si="147"/>
        <v>0</v>
      </c>
      <c r="BQ93" s="17">
        <f t="shared" si="147"/>
        <v>0</v>
      </c>
      <c r="BR93" s="17">
        <f t="shared" si="147"/>
        <v>0</v>
      </c>
      <c r="BS93" s="17">
        <f t="shared" si="147"/>
        <v>0</v>
      </c>
      <c r="BT93" s="17">
        <f t="shared" si="147"/>
        <v>0</v>
      </c>
      <c r="BU93" s="17">
        <f t="shared" si="147"/>
        <v>0</v>
      </c>
      <c r="BV93" s="17">
        <f t="shared" si="147"/>
        <v>0</v>
      </c>
      <c r="BW93" s="17">
        <f t="shared" si="147"/>
        <v>0</v>
      </c>
      <c r="BX93" s="17">
        <f t="shared" si="147"/>
        <v>0</v>
      </c>
      <c r="BY93" s="17">
        <f t="shared" si="147"/>
        <v>0</v>
      </c>
      <c r="BZ93" s="17">
        <f t="shared" si="147"/>
        <v>0</v>
      </c>
      <c r="CA93" s="17">
        <f t="shared" si="147"/>
        <v>545</v>
      </c>
      <c r="CB93" s="17">
        <f t="shared" si="147"/>
        <v>545</v>
      </c>
      <c r="CC93" s="17">
        <f t="shared" si="147"/>
        <v>545</v>
      </c>
      <c r="CD93" s="17">
        <f t="shared" si="147"/>
        <v>0</v>
      </c>
      <c r="CE93" s="17">
        <f t="shared" si="147"/>
        <v>545</v>
      </c>
      <c r="CF93" s="17">
        <f t="shared" si="147"/>
        <v>0</v>
      </c>
      <c r="CG93" s="17">
        <f t="shared" ref="CG93:CH93" si="151">SUM(CG94:CG95)</f>
        <v>0</v>
      </c>
      <c r="CH93" s="17">
        <f t="shared" si="151"/>
        <v>0</v>
      </c>
      <c r="CI93" s="17">
        <f t="shared" si="147"/>
        <v>0</v>
      </c>
      <c r="CJ93" s="17">
        <f t="shared" ref="CJ93" si="152">SUM(CJ94:CJ95)</f>
        <v>0</v>
      </c>
      <c r="CK93" s="17">
        <f t="shared" si="147"/>
        <v>0</v>
      </c>
      <c r="CL93" s="17">
        <f t="shared" ref="CL93" si="153">SUM(CL94:CL95)</f>
        <v>0</v>
      </c>
      <c r="CM93" s="17">
        <f t="shared" si="147"/>
        <v>0</v>
      </c>
      <c r="CN93" s="17">
        <f t="shared" si="147"/>
        <v>0</v>
      </c>
      <c r="CO93" s="64"/>
      <c r="CP93" s="64"/>
      <c r="CQ93" s="64"/>
      <c r="CR93" s="64"/>
      <c r="CS93" s="51"/>
    </row>
    <row r="94" spans="1:198" s="68" customFormat="1" ht="31.2" x14ac:dyDescent="0.3">
      <c r="A94" s="92" t="s">
        <v>1</v>
      </c>
      <c r="B94" s="62" t="s">
        <v>62</v>
      </c>
      <c r="C94" s="63" t="s">
        <v>154</v>
      </c>
      <c r="D94" s="65">
        <f t="shared" ref="D94:D95" si="154">SUM(E94+CA94)</f>
        <v>1503972</v>
      </c>
      <c r="E94" s="65">
        <f>SUM(F94+BA94)</f>
        <v>1503972</v>
      </c>
      <c r="F94" s="65">
        <f>SUM(G94+H94+I94+P94+S94+T94+U94+AE94+AD94)</f>
        <v>1503972</v>
      </c>
      <c r="G94" s="66">
        <v>1149414</v>
      </c>
      <c r="H94" s="66">
        <v>261232</v>
      </c>
      <c r="I94" s="65">
        <f t="shared" si="120"/>
        <v>0</v>
      </c>
      <c r="J94" s="66">
        <v>0</v>
      </c>
      <c r="K94" s="66">
        <v>0</v>
      </c>
      <c r="L94" s="66">
        <v>0</v>
      </c>
      <c r="M94" s="66">
        <v>0</v>
      </c>
      <c r="N94" s="66">
        <v>0</v>
      </c>
      <c r="O94" s="66">
        <v>0</v>
      </c>
      <c r="P94" s="65">
        <f t="shared" si="121"/>
        <v>0</v>
      </c>
      <c r="Q94" s="65">
        <v>0</v>
      </c>
      <c r="R94" s="65">
        <v>0</v>
      </c>
      <c r="S94" s="65">
        <v>0</v>
      </c>
      <c r="T94" s="66">
        <v>11982</v>
      </c>
      <c r="U94" s="65">
        <f t="shared" ref="U94:U95" si="155">SUM(V94:AC94)</f>
        <v>75712</v>
      </c>
      <c r="V94" s="67"/>
      <c r="W94" s="66">
        <f>30404+12564</f>
        <v>42968</v>
      </c>
      <c r="X94" s="66">
        <f>2637+3024</f>
        <v>5661</v>
      </c>
      <c r="Y94" s="66">
        <f>22725+4358</f>
        <v>27083</v>
      </c>
      <c r="Z94" s="66">
        <v>0</v>
      </c>
      <c r="AA94" s="67"/>
      <c r="AB94" s="67"/>
      <c r="AC94" s="67"/>
      <c r="AD94" s="65">
        <v>0</v>
      </c>
      <c r="AE94" s="65">
        <f>SUM(AF94:AZ94)</f>
        <v>5632</v>
      </c>
      <c r="AF94" s="67">
        <v>0</v>
      </c>
      <c r="AG94" s="67">
        <v>0</v>
      </c>
      <c r="AH94" s="67">
        <v>0</v>
      </c>
      <c r="AI94" s="67">
        <v>0</v>
      </c>
      <c r="AJ94" s="67">
        <v>0</v>
      </c>
      <c r="AK94" s="67">
        <v>0</v>
      </c>
      <c r="AL94" s="67">
        <v>0</v>
      </c>
      <c r="AM94" s="67">
        <v>0</v>
      </c>
      <c r="AN94" s="67">
        <v>0</v>
      </c>
      <c r="AO94" s="67">
        <v>0</v>
      </c>
      <c r="AP94" s="67">
        <v>0</v>
      </c>
      <c r="AQ94" s="67">
        <v>0</v>
      </c>
      <c r="AR94" s="67">
        <v>0</v>
      </c>
      <c r="AS94" s="65">
        <v>0</v>
      </c>
      <c r="AT94" s="65">
        <v>0</v>
      </c>
      <c r="AU94" s="65">
        <v>0</v>
      </c>
      <c r="AV94" s="65">
        <v>0</v>
      </c>
      <c r="AW94" s="65">
        <v>0</v>
      </c>
      <c r="AX94" s="66">
        <v>0</v>
      </c>
      <c r="AY94" s="66">
        <v>0</v>
      </c>
      <c r="AZ94" s="66">
        <v>5632</v>
      </c>
      <c r="BA94" s="65">
        <f>SUM(BB94+BF94+BJ94+BL94+BO94)</f>
        <v>0</v>
      </c>
      <c r="BB94" s="65">
        <f>SUM(BC94:BE94)</f>
        <v>0</v>
      </c>
      <c r="BC94" s="65">
        <v>0</v>
      </c>
      <c r="BD94" s="65">
        <v>0</v>
      </c>
      <c r="BE94" s="65">
        <v>0</v>
      </c>
      <c r="BF94" s="65">
        <f t="shared" ref="BF94:BF95" si="156">SUM(BG94:BI94)</f>
        <v>0</v>
      </c>
      <c r="BG94" s="65">
        <v>0</v>
      </c>
      <c r="BH94" s="65">
        <v>0</v>
      </c>
      <c r="BI94" s="65">
        <v>0</v>
      </c>
      <c r="BJ94" s="65">
        <v>0</v>
      </c>
      <c r="BK94" s="65">
        <v>0</v>
      </c>
      <c r="BL94" s="65">
        <f t="shared" si="122"/>
        <v>0</v>
      </c>
      <c r="BM94" s="65">
        <v>0</v>
      </c>
      <c r="BN94" s="65">
        <v>0</v>
      </c>
      <c r="BO94" s="65">
        <f>SUM(BP94:BZ94)</f>
        <v>0</v>
      </c>
      <c r="BP94" s="65">
        <v>0</v>
      </c>
      <c r="BQ94" s="65">
        <v>0</v>
      </c>
      <c r="BR94" s="66"/>
      <c r="BS94" s="65">
        <v>0</v>
      </c>
      <c r="BT94" s="65">
        <v>0</v>
      </c>
      <c r="BU94" s="65">
        <v>0</v>
      </c>
      <c r="BV94" s="65">
        <v>0</v>
      </c>
      <c r="BW94" s="65">
        <v>0</v>
      </c>
      <c r="BX94" s="65">
        <v>0</v>
      </c>
      <c r="BY94" s="65">
        <v>0</v>
      </c>
      <c r="BZ94" s="65">
        <v>0</v>
      </c>
      <c r="CA94" s="65">
        <f>SUM(CB94+CN94)</f>
        <v>0</v>
      </c>
      <c r="CB94" s="65">
        <f>SUM(CC94+CF94+CK94)</f>
        <v>0</v>
      </c>
      <c r="CC94" s="65">
        <f t="shared" si="123"/>
        <v>0</v>
      </c>
      <c r="CD94" s="65">
        <v>0</v>
      </c>
      <c r="CE94" s="65">
        <v>0</v>
      </c>
      <c r="CF94" s="65">
        <f>SUM(CG94:CJ94)</f>
        <v>0</v>
      </c>
      <c r="CG94" s="65">
        <v>0</v>
      </c>
      <c r="CH94" s="65">
        <v>0</v>
      </c>
      <c r="CI94" s="65">
        <v>0</v>
      </c>
      <c r="CJ94" s="65">
        <v>0</v>
      </c>
      <c r="CK94" s="65">
        <f>SUM(CL94:CM94)</f>
        <v>0</v>
      </c>
      <c r="CL94" s="65">
        <v>0</v>
      </c>
      <c r="CM94" s="65">
        <v>0</v>
      </c>
      <c r="CN94" s="65">
        <v>0</v>
      </c>
      <c r="CO94" s="65"/>
      <c r="CP94" s="65"/>
      <c r="CQ94" s="65"/>
      <c r="CR94" s="65"/>
    </row>
    <row r="95" spans="1:198" s="68" customFormat="1" ht="31.2" x14ac:dyDescent="0.3">
      <c r="A95" s="92" t="s">
        <v>1</v>
      </c>
      <c r="B95" s="62" t="s">
        <v>70</v>
      </c>
      <c r="C95" s="63" t="s">
        <v>155</v>
      </c>
      <c r="D95" s="65">
        <f t="shared" si="154"/>
        <v>852431</v>
      </c>
      <c r="E95" s="65">
        <f>SUM(F95+BA95)</f>
        <v>851886</v>
      </c>
      <c r="F95" s="65">
        <f>SUM(G95+H95+I95+P95+S95+T95+U95+AE95+AD95)</f>
        <v>851886</v>
      </c>
      <c r="G95" s="66">
        <v>592230</v>
      </c>
      <c r="H95" s="66">
        <v>135890</v>
      </c>
      <c r="I95" s="65">
        <f t="shared" si="120"/>
        <v>48718</v>
      </c>
      <c r="J95" s="66">
        <v>0</v>
      </c>
      <c r="K95" s="66">
        <v>0</v>
      </c>
      <c r="L95" s="66">
        <v>0</v>
      </c>
      <c r="M95" s="66">
        <v>0</v>
      </c>
      <c r="N95" s="66">
        <f>65409-16691</f>
        <v>48718</v>
      </c>
      <c r="O95" s="66"/>
      <c r="P95" s="65">
        <f t="shared" si="121"/>
        <v>0</v>
      </c>
      <c r="Q95" s="65">
        <v>0</v>
      </c>
      <c r="R95" s="65">
        <v>0</v>
      </c>
      <c r="S95" s="65">
        <v>0</v>
      </c>
      <c r="T95" s="66">
        <v>16349</v>
      </c>
      <c r="U95" s="65">
        <f t="shared" si="155"/>
        <v>2809</v>
      </c>
      <c r="V95" s="67"/>
      <c r="W95" s="66">
        <v>0</v>
      </c>
      <c r="X95" s="66">
        <f>1277+1532</f>
        <v>2809</v>
      </c>
      <c r="Y95" s="66">
        <v>0</v>
      </c>
      <c r="Z95" s="66">
        <v>0</v>
      </c>
      <c r="AA95" s="67"/>
      <c r="AB95" s="67"/>
      <c r="AC95" s="67"/>
      <c r="AD95" s="65">
        <v>0</v>
      </c>
      <c r="AE95" s="65">
        <f>SUM(AF95:AZ95)</f>
        <v>55890</v>
      </c>
      <c r="AF95" s="66">
        <v>0</v>
      </c>
      <c r="AG95" s="67">
        <v>0</v>
      </c>
      <c r="AH95" s="67">
        <v>0</v>
      </c>
      <c r="AI95" s="67">
        <v>0</v>
      </c>
      <c r="AJ95" s="67">
        <v>0</v>
      </c>
      <c r="AK95" s="67">
        <f>2522-1532</f>
        <v>990</v>
      </c>
      <c r="AL95" s="67">
        <v>0</v>
      </c>
      <c r="AM95" s="67">
        <v>0</v>
      </c>
      <c r="AN95" s="67">
        <v>0</v>
      </c>
      <c r="AO95" s="67">
        <v>0</v>
      </c>
      <c r="AP95" s="67">
        <v>0</v>
      </c>
      <c r="AQ95" s="67">
        <v>0</v>
      </c>
      <c r="AR95" s="67">
        <v>0</v>
      </c>
      <c r="AS95" s="65">
        <v>0</v>
      </c>
      <c r="AT95" s="65">
        <v>0</v>
      </c>
      <c r="AU95" s="65">
        <v>0</v>
      </c>
      <c r="AV95" s="65">
        <v>0</v>
      </c>
      <c r="AW95" s="65">
        <v>0</v>
      </c>
      <c r="AX95" s="66">
        <v>54900</v>
      </c>
      <c r="AY95" s="66">
        <v>0</v>
      </c>
      <c r="AZ95" s="66">
        <v>0</v>
      </c>
      <c r="BA95" s="65">
        <f>SUM(BB95+BF95+BJ95+BL95+BO95)</f>
        <v>0</v>
      </c>
      <c r="BB95" s="65">
        <f>SUM(BC95:BE95)</f>
        <v>0</v>
      </c>
      <c r="BC95" s="65">
        <v>0</v>
      </c>
      <c r="BD95" s="65">
        <v>0</v>
      </c>
      <c r="BE95" s="65">
        <v>0</v>
      </c>
      <c r="BF95" s="65">
        <f t="shared" si="156"/>
        <v>0</v>
      </c>
      <c r="BG95" s="65">
        <v>0</v>
      </c>
      <c r="BH95" s="65">
        <v>0</v>
      </c>
      <c r="BI95" s="65">
        <v>0</v>
      </c>
      <c r="BJ95" s="65">
        <v>0</v>
      </c>
      <c r="BK95" s="65">
        <v>0</v>
      </c>
      <c r="BL95" s="65">
        <f t="shared" si="122"/>
        <v>0</v>
      </c>
      <c r="BM95" s="65">
        <v>0</v>
      </c>
      <c r="BN95" s="65">
        <v>0</v>
      </c>
      <c r="BO95" s="65">
        <f>SUM(BP95:BZ95)</f>
        <v>0</v>
      </c>
      <c r="BP95" s="65">
        <v>0</v>
      </c>
      <c r="BQ95" s="65">
        <v>0</v>
      </c>
      <c r="BR95" s="65">
        <v>0</v>
      </c>
      <c r="BS95" s="65">
        <v>0</v>
      </c>
      <c r="BT95" s="65">
        <v>0</v>
      </c>
      <c r="BU95" s="65">
        <v>0</v>
      </c>
      <c r="BV95" s="65">
        <v>0</v>
      </c>
      <c r="BW95" s="65">
        <v>0</v>
      </c>
      <c r="BX95" s="65">
        <v>0</v>
      </c>
      <c r="BY95" s="65">
        <v>0</v>
      </c>
      <c r="BZ95" s="65">
        <v>0</v>
      </c>
      <c r="CA95" s="65">
        <f>SUM(CB95+CN95)</f>
        <v>545</v>
      </c>
      <c r="CB95" s="65">
        <f>SUM(CC95+CF95+CK95)</f>
        <v>545</v>
      </c>
      <c r="CC95" s="65">
        <f t="shared" si="123"/>
        <v>545</v>
      </c>
      <c r="CD95" s="65">
        <v>0</v>
      </c>
      <c r="CE95" s="66">
        <f>2723-2178</f>
        <v>545</v>
      </c>
      <c r="CF95" s="65">
        <f>SUM(CG95:CJ95)</f>
        <v>0</v>
      </c>
      <c r="CG95" s="65">
        <v>0</v>
      </c>
      <c r="CH95" s="65">
        <v>0</v>
      </c>
      <c r="CI95" s="65">
        <v>0</v>
      </c>
      <c r="CJ95" s="65">
        <v>0</v>
      </c>
      <c r="CK95" s="65">
        <f>SUM(CL95:CM95)</f>
        <v>0</v>
      </c>
      <c r="CL95" s="65">
        <v>0</v>
      </c>
      <c r="CM95" s="65">
        <v>0</v>
      </c>
      <c r="CN95" s="65">
        <v>0</v>
      </c>
      <c r="CO95" s="65"/>
      <c r="CP95" s="65"/>
      <c r="CQ95" s="65"/>
      <c r="CR95" s="65"/>
      <c r="GP95" s="52"/>
    </row>
    <row r="96" spans="1:198" s="52" customFormat="1" ht="31.2" x14ac:dyDescent="0.3">
      <c r="A96" s="89" t="s">
        <v>156</v>
      </c>
      <c r="B96" s="15" t="s">
        <v>1</v>
      </c>
      <c r="C96" s="16" t="s">
        <v>476</v>
      </c>
      <c r="D96" s="17">
        <f t="shared" ref="D96:AI96" si="157">SUM(D97:D103)</f>
        <v>11773991</v>
      </c>
      <c r="E96" s="17">
        <f t="shared" si="157"/>
        <v>11773991</v>
      </c>
      <c r="F96" s="17">
        <f t="shared" si="157"/>
        <v>11773991</v>
      </c>
      <c r="G96" s="17">
        <f t="shared" si="157"/>
        <v>296421</v>
      </c>
      <c r="H96" s="17">
        <f t="shared" si="157"/>
        <v>68621</v>
      </c>
      <c r="I96" s="17">
        <f t="shared" si="157"/>
        <v>0</v>
      </c>
      <c r="J96" s="17">
        <f t="shared" si="157"/>
        <v>0</v>
      </c>
      <c r="K96" s="17">
        <f t="shared" si="157"/>
        <v>0</v>
      </c>
      <c r="L96" s="17">
        <f t="shared" si="157"/>
        <v>0</v>
      </c>
      <c r="M96" s="17">
        <f t="shared" si="157"/>
        <v>0</v>
      </c>
      <c r="N96" s="17">
        <f t="shared" si="157"/>
        <v>0</v>
      </c>
      <c r="O96" s="17">
        <f t="shared" si="157"/>
        <v>0</v>
      </c>
      <c r="P96" s="17">
        <f t="shared" si="157"/>
        <v>0</v>
      </c>
      <c r="Q96" s="17">
        <f t="shared" si="157"/>
        <v>0</v>
      </c>
      <c r="R96" s="17">
        <f t="shared" si="157"/>
        <v>0</v>
      </c>
      <c r="S96" s="17">
        <f t="shared" si="157"/>
        <v>0</v>
      </c>
      <c r="T96" s="17">
        <f t="shared" si="157"/>
        <v>0</v>
      </c>
      <c r="U96" s="17">
        <f t="shared" si="157"/>
        <v>0</v>
      </c>
      <c r="V96" s="17">
        <f t="shared" si="157"/>
        <v>0</v>
      </c>
      <c r="W96" s="17">
        <f t="shared" si="157"/>
        <v>0</v>
      </c>
      <c r="X96" s="17">
        <f t="shared" si="157"/>
        <v>0</v>
      </c>
      <c r="Y96" s="17">
        <f t="shared" si="157"/>
        <v>0</v>
      </c>
      <c r="Z96" s="17">
        <f t="shared" si="157"/>
        <v>0</v>
      </c>
      <c r="AA96" s="17">
        <f t="shared" si="157"/>
        <v>0</v>
      </c>
      <c r="AB96" s="17">
        <f t="shared" si="157"/>
        <v>0</v>
      </c>
      <c r="AC96" s="17">
        <f t="shared" si="157"/>
        <v>0</v>
      </c>
      <c r="AD96" s="17">
        <f t="shared" si="157"/>
        <v>0</v>
      </c>
      <c r="AE96" s="17">
        <f t="shared" si="157"/>
        <v>11408949</v>
      </c>
      <c r="AF96" s="17">
        <f t="shared" si="157"/>
        <v>0</v>
      </c>
      <c r="AG96" s="17">
        <f t="shared" si="157"/>
        <v>11408949</v>
      </c>
      <c r="AH96" s="17">
        <f t="shared" si="157"/>
        <v>0</v>
      </c>
      <c r="AI96" s="17">
        <f t="shared" si="157"/>
        <v>0</v>
      </c>
      <c r="AJ96" s="17">
        <f t="shared" ref="AJ96:BP96" si="158">SUM(AJ97:AJ103)</f>
        <v>0</v>
      </c>
      <c r="AK96" s="17">
        <f t="shared" si="158"/>
        <v>0</v>
      </c>
      <c r="AL96" s="17">
        <f t="shared" si="158"/>
        <v>0</v>
      </c>
      <c r="AM96" s="17">
        <f t="shared" si="158"/>
        <v>0</v>
      </c>
      <c r="AN96" s="17">
        <f t="shared" si="158"/>
        <v>0</v>
      </c>
      <c r="AO96" s="17">
        <f t="shared" si="158"/>
        <v>0</v>
      </c>
      <c r="AP96" s="17">
        <f t="shared" si="158"/>
        <v>0</v>
      </c>
      <c r="AQ96" s="17">
        <f t="shared" si="158"/>
        <v>0</v>
      </c>
      <c r="AR96" s="17">
        <f t="shared" si="158"/>
        <v>0</v>
      </c>
      <c r="AS96" s="17">
        <f t="shared" si="158"/>
        <v>0</v>
      </c>
      <c r="AT96" s="17">
        <f t="shared" si="158"/>
        <v>0</v>
      </c>
      <c r="AU96" s="17">
        <f t="shared" si="158"/>
        <v>0</v>
      </c>
      <c r="AV96" s="17">
        <f t="shared" si="158"/>
        <v>0</v>
      </c>
      <c r="AW96" s="17">
        <f t="shared" si="158"/>
        <v>0</v>
      </c>
      <c r="AX96" s="17">
        <f t="shared" si="158"/>
        <v>0</v>
      </c>
      <c r="AY96" s="17">
        <f t="shared" si="158"/>
        <v>0</v>
      </c>
      <c r="AZ96" s="17">
        <f t="shared" si="158"/>
        <v>0</v>
      </c>
      <c r="BA96" s="17">
        <f t="shared" si="158"/>
        <v>0</v>
      </c>
      <c r="BB96" s="17">
        <f t="shared" si="158"/>
        <v>0</v>
      </c>
      <c r="BC96" s="17">
        <f t="shared" si="158"/>
        <v>0</v>
      </c>
      <c r="BD96" s="17">
        <f t="shared" si="158"/>
        <v>0</v>
      </c>
      <c r="BE96" s="17">
        <f t="shared" si="158"/>
        <v>0</v>
      </c>
      <c r="BF96" s="17">
        <f t="shared" si="158"/>
        <v>0</v>
      </c>
      <c r="BG96" s="17">
        <f t="shared" si="158"/>
        <v>0</v>
      </c>
      <c r="BH96" s="17">
        <f t="shared" ref="BH96" si="159">SUM(BH97:BH103)</f>
        <v>0</v>
      </c>
      <c r="BI96" s="17">
        <f t="shared" si="158"/>
        <v>0</v>
      </c>
      <c r="BJ96" s="17">
        <f t="shared" si="158"/>
        <v>0</v>
      </c>
      <c r="BK96" s="17">
        <f t="shared" si="158"/>
        <v>0</v>
      </c>
      <c r="BL96" s="17">
        <f t="shared" si="158"/>
        <v>0</v>
      </c>
      <c r="BM96" s="17">
        <f t="shared" si="158"/>
        <v>0</v>
      </c>
      <c r="BN96" s="17">
        <f t="shared" si="158"/>
        <v>0</v>
      </c>
      <c r="BO96" s="17">
        <f t="shared" si="158"/>
        <v>0</v>
      </c>
      <c r="BP96" s="17">
        <f t="shared" si="158"/>
        <v>0</v>
      </c>
      <c r="BQ96" s="17">
        <f t="shared" ref="BQ96:CN96" si="160">SUM(BQ97:BQ103)</f>
        <v>0</v>
      </c>
      <c r="BR96" s="17">
        <f t="shared" si="160"/>
        <v>0</v>
      </c>
      <c r="BS96" s="17">
        <f t="shared" si="160"/>
        <v>0</v>
      </c>
      <c r="BT96" s="17">
        <f t="shared" si="160"/>
        <v>0</v>
      </c>
      <c r="BU96" s="17">
        <f t="shared" si="160"/>
        <v>0</v>
      </c>
      <c r="BV96" s="17">
        <f t="shared" si="160"/>
        <v>0</v>
      </c>
      <c r="BW96" s="17">
        <f t="shared" si="160"/>
        <v>0</v>
      </c>
      <c r="BX96" s="17">
        <f t="shared" si="160"/>
        <v>0</v>
      </c>
      <c r="BY96" s="17">
        <f t="shared" si="160"/>
        <v>0</v>
      </c>
      <c r="BZ96" s="17">
        <f t="shared" si="160"/>
        <v>0</v>
      </c>
      <c r="CA96" s="17">
        <f t="shared" si="160"/>
        <v>0</v>
      </c>
      <c r="CB96" s="17">
        <f t="shared" si="160"/>
        <v>0</v>
      </c>
      <c r="CC96" s="17">
        <f t="shared" si="160"/>
        <v>0</v>
      </c>
      <c r="CD96" s="17">
        <f t="shared" si="160"/>
        <v>0</v>
      </c>
      <c r="CE96" s="17">
        <f t="shared" si="160"/>
        <v>0</v>
      </c>
      <c r="CF96" s="17">
        <f t="shared" si="160"/>
        <v>0</v>
      </c>
      <c r="CG96" s="17">
        <f t="shared" si="160"/>
        <v>0</v>
      </c>
      <c r="CH96" s="17">
        <f t="shared" si="160"/>
        <v>0</v>
      </c>
      <c r="CI96" s="17">
        <f t="shared" si="160"/>
        <v>0</v>
      </c>
      <c r="CJ96" s="17">
        <f t="shared" si="160"/>
        <v>0</v>
      </c>
      <c r="CK96" s="17">
        <f t="shared" si="160"/>
        <v>0</v>
      </c>
      <c r="CL96" s="17">
        <f t="shared" si="160"/>
        <v>0</v>
      </c>
      <c r="CM96" s="17">
        <f t="shared" si="160"/>
        <v>0</v>
      </c>
      <c r="CN96" s="17">
        <f t="shared" si="160"/>
        <v>0</v>
      </c>
      <c r="CO96" s="64"/>
      <c r="CP96" s="64"/>
      <c r="CQ96" s="64"/>
      <c r="CR96" s="64"/>
      <c r="CS96" s="51"/>
    </row>
    <row r="97" spans="1:198" ht="15.6" x14ac:dyDescent="0.3">
      <c r="A97" s="90" t="s">
        <v>1</v>
      </c>
      <c r="B97" s="19" t="s">
        <v>54</v>
      </c>
      <c r="C97" s="20" t="s">
        <v>319</v>
      </c>
      <c r="D97" s="18">
        <f t="shared" ref="D97:D102" si="161">SUM(E97+CA97)</f>
        <v>502252</v>
      </c>
      <c r="E97" s="18">
        <f t="shared" ref="E97:E103" si="162">SUM(F97+BA97)</f>
        <v>502252</v>
      </c>
      <c r="F97" s="18">
        <f t="shared" ref="F97:F103" si="163">SUM(G97+H97+I97+P97+S97+T97+U97+AE97+AD97)</f>
        <v>502252</v>
      </c>
      <c r="G97" s="18">
        <v>0</v>
      </c>
      <c r="H97" s="18">
        <v>0</v>
      </c>
      <c r="I97" s="18">
        <f>SUM(J97:O97)</f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f>SUM(Q97:R97)</f>
        <v>0</v>
      </c>
      <c r="Q97" s="18">
        <v>0</v>
      </c>
      <c r="R97" s="18">
        <v>0</v>
      </c>
      <c r="S97" s="18">
        <v>0</v>
      </c>
      <c r="T97" s="18">
        <v>0</v>
      </c>
      <c r="U97" s="18">
        <f t="shared" ref="U97:U103" si="164">SUM(V97:AC97)</f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f t="shared" ref="AE97:AE103" si="165">SUM(AF97:AZ97)</f>
        <v>502252</v>
      </c>
      <c r="AF97" s="22">
        <v>0</v>
      </c>
      <c r="AG97" s="21">
        <v>502252</v>
      </c>
      <c r="AH97" s="18">
        <v>0</v>
      </c>
      <c r="AI97" s="18">
        <v>0</v>
      </c>
      <c r="AJ97" s="18">
        <v>0</v>
      </c>
      <c r="AK97" s="18">
        <v>0</v>
      </c>
      <c r="AL97" s="18">
        <v>0</v>
      </c>
      <c r="AM97" s="18">
        <v>0</v>
      </c>
      <c r="AN97" s="18">
        <v>0</v>
      </c>
      <c r="AO97" s="18">
        <v>0</v>
      </c>
      <c r="AP97" s="18">
        <v>0</v>
      </c>
      <c r="AQ97" s="18">
        <v>0</v>
      </c>
      <c r="AR97" s="18">
        <v>0</v>
      </c>
      <c r="AS97" s="18">
        <v>0</v>
      </c>
      <c r="AT97" s="18">
        <v>0</v>
      </c>
      <c r="AU97" s="18">
        <v>0</v>
      </c>
      <c r="AV97" s="18">
        <v>0</v>
      </c>
      <c r="AW97" s="18">
        <v>0</v>
      </c>
      <c r="AX97" s="18">
        <v>0</v>
      </c>
      <c r="AY97" s="18">
        <v>0</v>
      </c>
      <c r="AZ97" s="18">
        <v>0</v>
      </c>
      <c r="BA97" s="18">
        <f t="shared" ref="BA97:BA103" si="166">SUM(BB97+BF97+BJ97+BL97+BO97)</f>
        <v>0</v>
      </c>
      <c r="BB97" s="18">
        <f t="shared" ref="BB97:BB103" si="167">SUM(BC97:BE97)</f>
        <v>0</v>
      </c>
      <c r="BC97" s="18">
        <v>0</v>
      </c>
      <c r="BD97" s="18">
        <v>0</v>
      </c>
      <c r="BE97" s="18">
        <v>0</v>
      </c>
      <c r="BF97" s="18">
        <f t="shared" ref="BF97:BF103" si="168">SUM(BG97:BI97)</f>
        <v>0</v>
      </c>
      <c r="BG97" s="18">
        <v>0</v>
      </c>
      <c r="BH97" s="18">
        <v>0</v>
      </c>
      <c r="BI97" s="18">
        <v>0</v>
      </c>
      <c r="BJ97" s="18">
        <v>0</v>
      </c>
      <c r="BK97" s="18">
        <v>0</v>
      </c>
      <c r="BL97" s="18">
        <f>SUM(BM97)</f>
        <v>0</v>
      </c>
      <c r="BM97" s="18">
        <v>0</v>
      </c>
      <c r="BN97" s="18">
        <v>0</v>
      </c>
      <c r="BO97" s="18">
        <f t="shared" ref="BO97:BO103" si="169">SUM(BP97:BZ97)</f>
        <v>0</v>
      </c>
      <c r="BP97" s="18">
        <v>0</v>
      </c>
      <c r="BQ97" s="18">
        <v>0</v>
      </c>
      <c r="BR97" s="18">
        <v>0</v>
      </c>
      <c r="BS97" s="18">
        <v>0</v>
      </c>
      <c r="BT97" s="18">
        <v>0</v>
      </c>
      <c r="BU97" s="18">
        <v>0</v>
      </c>
      <c r="BV97" s="18">
        <v>0</v>
      </c>
      <c r="BW97" s="18">
        <v>0</v>
      </c>
      <c r="BX97" s="18">
        <v>0</v>
      </c>
      <c r="BY97" s="18">
        <v>0</v>
      </c>
      <c r="BZ97" s="18">
        <v>0</v>
      </c>
      <c r="CA97" s="18">
        <f t="shared" ref="CA97:CA103" si="170">SUM(CB97+CN97)</f>
        <v>0</v>
      </c>
      <c r="CB97" s="18">
        <f t="shared" ref="CB97:CB103" si="171">SUM(CC97+CF97+CK97)</f>
        <v>0</v>
      </c>
      <c r="CC97" s="18">
        <f>SUM(CD97:CE97)</f>
        <v>0</v>
      </c>
      <c r="CD97" s="18">
        <v>0</v>
      </c>
      <c r="CE97" s="18">
        <v>0</v>
      </c>
      <c r="CF97" s="18">
        <f t="shared" ref="CF97:CF103" si="172">SUM(CG97:CJ97)</f>
        <v>0</v>
      </c>
      <c r="CG97" s="18">
        <v>0</v>
      </c>
      <c r="CH97" s="18">
        <v>0</v>
      </c>
      <c r="CI97" s="18">
        <v>0</v>
      </c>
      <c r="CJ97" s="18">
        <v>0</v>
      </c>
      <c r="CK97" s="18">
        <f t="shared" ref="CK97:CK103" si="173">SUM(CL97:CM97)</f>
        <v>0</v>
      </c>
      <c r="CL97" s="18">
        <v>0</v>
      </c>
      <c r="CM97" s="18">
        <v>0</v>
      </c>
      <c r="CN97" s="18">
        <v>0</v>
      </c>
      <c r="CO97" s="65"/>
      <c r="CP97" s="65"/>
      <c r="CQ97" s="65"/>
      <c r="CR97" s="65"/>
      <c r="CS97" s="46"/>
      <c r="GP97" s="68"/>
    </row>
    <row r="98" spans="1:198" ht="15.6" x14ac:dyDescent="0.3">
      <c r="A98" s="90" t="s">
        <v>1</v>
      </c>
      <c r="B98" s="19" t="s">
        <v>56</v>
      </c>
      <c r="C98" s="20" t="s">
        <v>157</v>
      </c>
      <c r="D98" s="18">
        <f t="shared" si="161"/>
        <v>1568934</v>
      </c>
      <c r="E98" s="18">
        <f t="shared" si="162"/>
        <v>1568934</v>
      </c>
      <c r="F98" s="18">
        <f t="shared" si="163"/>
        <v>1568934</v>
      </c>
      <c r="G98" s="18">
        <v>0</v>
      </c>
      <c r="H98" s="18">
        <v>0</v>
      </c>
      <c r="I98" s="18">
        <f>SUM(J98:O98)</f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f>SUM(Q98:R98)</f>
        <v>0</v>
      </c>
      <c r="Q98" s="18">
        <v>0</v>
      </c>
      <c r="R98" s="18">
        <v>0</v>
      </c>
      <c r="S98" s="18">
        <v>0</v>
      </c>
      <c r="T98" s="18">
        <v>0</v>
      </c>
      <c r="U98" s="18">
        <f t="shared" si="164"/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f t="shared" si="165"/>
        <v>1568934</v>
      </c>
      <c r="AF98" s="22">
        <v>0</v>
      </c>
      <c r="AG98" s="21">
        <f>3641043-1115200-956909</f>
        <v>1568934</v>
      </c>
      <c r="AH98" s="18">
        <v>0</v>
      </c>
      <c r="AI98" s="18">
        <v>0</v>
      </c>
      <c r="AJ98" s="18">
        <v>0</v>
      </c>
      <c r="AK98" s="18">
        <v>0</v>
      </c>
      <c r="AL98" s="18">
        <v>0</v>
      </c>
      <c r="AM98" s="18">
        <v>0</v>
      </c>
      <c r="AN98" s="18">
        <v>0</v>
      </c>
      <c r="AO98" s="18">
        <v>0</v>
      </c>
      <c r="AP98" s="18">
        <v>0</v>
      </c>
      <c r="AQ98" s="18">
        <v>0</v>
      </c>
      <c r="AR98" s="18">
        <v>0</v>
      </c>
      <c r="AS98" s="18">
        <v>0</v>
      </c>
      <c r="AT98" s="18">
        <v>0</v>
      </c>
      <c r="AU98" s="18">
        <v>0</v>
      </c>
      <c r="AV98" s="18">
        <v>0</v>
      </c>
      <c r="AW98" s="18">
        <v>0</v>
      </c>
      <c r="AX98" s="18">
        <v>0</v>
      </c>
      <c r="AY98" s="18">
        <v>0</v>
      </c>
      <c r="AZ98" s="18">
        <v>0</v>
      </c>
      <c r="BA98" s="18">
        <f t="shared" si="166"/>
        <v>0</v>
      </c>
      <c r="BB98" s="18">
        <f t="shared" si="167"/>
        <v>0</v>
      </c>
      <c r="BC98" s="18">
        <v>0</v>
      </c>
      <c r="BD98" s="18">
        <v>0</v>
      </c>
      <c r="BE98" s="18">
        <v>0</v>
      </c>
      <c r="BF98" s="18">
        <f t="shared" si="168"/>
        <v>0</v>
      </c>
      <c r="BG98" s="18">
        <v>0</v>
      </c>
      <c r="BH98" s="18">
        <v>0</v>
      </c>
      <c r="BI98" s="18">
        <v>0</v>
      </c>
      <c r="BJ98" s="18">
        <v>0</v>
      </c>
      <c r="BK98" s="18">
        <v>0</v>
      </c>
      <c r="BL98" s="18">
        <f>SUM(BM98)</f>
        <v>0</v>
      </c>
      <c r="BM98" s="18">
        <v>0</v>
      </c>
      <c r="BN98" s="18">
        <v>0</v>
      </c>
      <c r="BO98" s="18">
        <f t="shared" si="169"/>
        <v>0</v>
      </c>
      <c r="BP98" s="18">
        <v>0</v>
      </c>
      <c r="BQ98" s="18">
        <v>0</v>
      </c>
      <c r="BR98" s="18">
        <v>0</v>
      </c>
      <c r="BS98" s="18">
        <v>0</v>
      </c>
      <c r="BT98" s="18">
        <v>0</v>
      </c>
      <c r="BU98" s="18">
        <v>0</v>
      </c>
      <c r="BV98" s="18">
        <v>0</v>
      </c>
      <c r="BW98" s="18">
        <v>0</v>
      </c>
      <c r="BX98" s="18">
        <v>0</v>
      </c>
      <c r="BY98" s="18">
        <v>0</v>
      </c>
      <c r="BZ98" s="18">
        <v>0</v>
      </c>
      <c r="CA98" s="18">
        <f t="shared" si="170"/>
        <v>0</v>
      </c>
      <c r="CB98" s="18">
        <f t="shared" si="171"/>
        <v>0</v>
      </c>
      <c r="CC98" s="18">
        <f>SUM(CD98:CE98)</f>
        <v>0</v>
      </c>
      <c r="CD98" s="18">
        <v>0</v>
      </c>
      <c r="CE98" s="18">
        <v>0</v>
      </c>
      <c r="CF98" s="18">
        <f t="shared" si="172"/>
        <v>0</v>
      </c>
      <c r="CG98" s="18">
        <v>0</v>
      </c>
      <c r="CH98" s="18">
        <v>0</v>
      </c>
      <c r="CI98" s="18">
        <v>0</v>
      </c>
      <c r="CJ98" s="18">
        <v>0</v>
      </c>
      <c r="CK98" s="18">
        <f t="shared" si="173"/>
        <v>0</v>
      </c>
      <c r="CL98" s="18">
        <v>0</v>
      </c>
      <c r="CM98" s="18">
        <v>0</v>
      </c>
      <c r="CN98" s="18">
        <v>0</v>
      </c>
      <c r="CO98" s="65"/>
      <c r="CP98" s="65"/>
      <c r="CQ98" s="65"/>
      <c r="CR98" s="65"/>
      <c r="CS98" s="46"/>
      <c r="GP98" s="68"/>
    </row>
    <row r="99" spans="1:198" ht="31.2" x14ac:dyDescent="0.3">
      <c r="A99" s="90" t="s">
        <v>1</v>
      </c>
      <c r="B99" s="19" t="s">
        <v>122</v>
      </c>
      <c r="C99" s="20" t="s">
        <v>463</v>
      </c>
      <c r="D99" s="18">
        <f t="shared" si="161"/>
        <v>221652</v>
      </c>
      <c r="E99" s="18">
        <f t="shared" si="162"/>
        <v>221652</v>
      </c>
      <c r="F99" s="18">
        <f t="shared" si="163"/>
        <v>221652</v>
      </c>
      <c r="G99" s="18">
        <v>0</v>
      </c>
      <c r="H99" s="18">
        <v>0</v>
      </c>
      <c r="I99" s="18">
        <f t="shared" si="120"/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f t="shared" si="121"/>
        <v>0</v>
      </c>
      <c r="Q99" s="18">
        <v>0</v>
      </c>
      <c r="R99" s="18">
        <v>0</v>
      </c>
      <c r="S99" s="18">
        <v>0</v>
      </c>
      <c r="T99" s="18">
        <v>0</v>
      </c>
      <c r="U99" s="18">
        <f t="shared" si="164"/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f t="shared" si="165"/>
        <v>221652</v>
      </c>
      <c r="AF99" s="22">
        <v>0</v>
      </c>
      <c r="AG99" s="21">
        <v>221652</v>
      </c>
      <c r="AH99" s="18">
        <v>0</v>
      </c>
      <c r="AI99" s="18">
        <v>0</v>
      </c>
      <c r="AJ99" s="18">
        <v>0</v>
      </c>
      <c r="AK99" s="18">
        <v>0</v>
      </c>
      <c r="AL99" s="18">
        <v>0</v>
      </c>
      <c r="AM99" s="18">
        <v>0</v>
      </c>
      <c r="AN99" s="18">
        <v>0</v>
      </c>
      <c r="AO99" s="18">
        <v>0</v>
      </c>
      <c r="AP99" s="18">
        <v>0</v>
      </c>
      <c r="AQ99" s="18">
        <v>0</v>
      </c>
      <c r="AR99" s="18">
        <v>0</v>
      </c>
      <c r="AS99" s="18">
        <v>0</v>
      </c>
      <c r="AT99" s="18">
        <v>0</v>
      </c>
      <c r="AU99" s="18">
        <v>0</v>
      </c>
      <c r="AV99" s="18">
        <v>0</v>
      </c>
      <c r="AW99" s="18">
        <v>0</v>
      </c>
      <c r="AX99" s="18">
        <v>0</v>
      </c>
      <c r="AY99" s="18">
        <v>0</v>
      </c>
      <c r="AZ99" s="18">
        <v>0</v>
      </c>
      <c r="BA99" s="18">
        <f t="shared" si="166"/>
        <v>0</v>
      </c>
      <c r="BB99" s="18">
        <f t="shared" si="167"/>
        <v>0</v>
      </c>
      <c r="BC99" s="18">
        <v>0</v>
      </c>
      <c r="BD99" s="18">
        <v>0</v>
      </c>
      <c r="BE99" s="18">
        <v>0</v>
      </c>
      <c r="BF99" s="18">
        <f t="shared" si="168"/>
        <v>0</v>
      </c>
      <c r="BG99" s="18">
        <v>0</v>
      </c>
      <c r="BH99" s="18">
        <v>0</v>
      </c>
      <c r="BI99" s="18">
        <v>0</v>
      </c>
      <c r="BJ99" s="18">
        <v>0</v>
      </c>
      <c r="BK99" s="18">
        <v>0</v>
      </c>
      <c r="BL99" s="18">
        <f t="shared" si="122"/>
        <v>0</v>
      </c>
      <c r="BM99" s="18">
        <v>0</v>
      </c>
      <c r="BN99" s="18">
        <v>0</v>
      </c>
      <c r="BO99" s="18">
        <f t="shared" si="169"/>
        <v>0</v>
      </c>
      <c r="BP99" s="18">
        <v>0</v>
      </c>
      <c r="BQ99" s="18">
        <v>0</v>
      </c>
      <c r="BR99" s="18">
        <v>0</v>
      </c>
      <c r="BS99" s="18">
        <v>0</v>
      </c>
      <c r="BT99" s="18">
        <v>0</v>
      </c>
      <c r="BU99" s="18">
        <v>0</v>
      </c>
      <c r="BV99" s="18">
        <v>0</v>
      </c>
      <c r="BW99" s="18">
        <v>0</v>
      </c>
      <c r="BX99" s="18">
        <v>0</v>
      </c>
      <c r="BY99" s="18">
        <v>0</v>
      </c>
      <c r="BZ99" s="18">
        <v>0</v>
      </c>
      <c r="CA99" s="18">
        <f t="shared" si="170"/>
        <v>0</v>
      </c>
      <c r="CB99" s="18">
        <f t="shared" si="171"/>
        <v>0</v>
      </c>
      <c r="CC99" s="18">
        <f t="shared" si="123"/>
        <v>0</v>
      </c>
      <c r="CD99" s="18">
        <v>0</v>
      </c>
      <c r="CE99" s="18">
        <v>0</v>
      </c>
      <c r="CF99" s="18">
        <f t="shared" si="172"/>
        <v>0</v>
      </c>
      <c r="CG99" s="18">
        <v>0</v>
      </c>
      <c r="CH99" s="18">
        <v>0</v>
      </c>
      <c r="CI99" s="18">
        <v>0</v>
      </c>
      <c r="CJ99" s="18">
        <v>0</v>
      </c>
      <c r="CK99" s="18">
        <f t="shared" si="173"/>
        <v>0</v>
      </c>
      <c r="CL99" s="18">
        <v>0</v>
      </c>
      <c r="CM99" s="18">
        <v>0</v>
      </c>
      <c r="CN99" s="18">
        <v>0</v>
      </c>
      <c r="CO99" s="65"/>
      <c r="CP99" s="65"/>
      <c r="CQ99" s="65"/>
      <c r="CR99" s="65"/>
      <c r="CS99" s="46"/>
      <c r="GP99" s="52"/>
    </row>
    <row r="100" spans="1:198" ht="31.2" x14ac:dyDescent="0.3">
      <c r="A100" s="93"/>
      <c r="B100" s="37" t="s">
        <v>60</v>
      </c>
      <c r="C100" s="38" t="s">
        <v>529</v>
      </c>
      <c r="D100" s="35">
        <f t="shared" si="161"/>
        <v>1507820</v>
      </c>
      <c r="E100" s="35">
        <f t="shared" si="162"/>
        <v>1507820</v>
      </c>
      <c r="F100" s="35">
        <f t="shared" ref="F100" si="174">SUM(G100+H100+I100+P100+S100+T100+U100+AE100+AD100)</f>
        <v>1507820</v>
      </c>
      <c r="G100" s="31">
        <v>0</v>
      </c>
      <c r="H100" s="31">
        <v>0</v>
      </c>
      <c r="I100" s="35">
        <f t="shared" ref="I100" si="175">SUM(J100:O100)</f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5">
        <f t="shared" ref="P100" si="176">SUM(Q100:R100)</f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f t="shared" ref="U100" si="177">SUM(V100:AC100)</f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f t="shared" si="165"/>
        <v>1507820</v>
      </c>
      <c r="AF100" s="36">
        <v>0</v>
      </c>
      <c r="AG100" s="31">
        <v>1507820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>
        <v>0</v>
      </c>
      <c r="AP100" s="35">
        <v>0</v>
      </c>
      <c r="AQ100" s="35">
        <v>0</v>
      </c>
      <c r="AR100" s="35">
        <v>0</v>
      </c>
      <c r="AS100" s="35">
        <v>0</v>
      </c>
      <c r="AT100" s="35">
        <v>0</v>
      </c>
      <c r="AU100" s="35">
        <v>0</v>
      </c>
      <c r="AV100" s="35">
        <v>0</v>
      </c>
      <c r="AW100" s="35">
        <v>0</v>
      </c>
      <c r="AX100" s="35">
        <v>0</v>
      </c>
      <c r="AY100" s="35">
        <v>0</v>
      </c>
      <c r="AZ100" s="35">
        <v>0</v>
      </c>
      <c r="BA100" s="35">
        <f t="shared" si="166"/>
        <v>0</v>
      </c>
      <c r="BB100" s="35">
        <f t="shared" ref="BB100" si="178">SUM(BC100:BE100)</f>
        <v>0</v>
      </c>
      <c r="BC100" s="35">
        <v>0</v>
      </c>
      <c r="BD100" s="35">
        <v>0</v>
      </c>
      <c r="BE100" s="35">
        <v>0</v>
      </c>
      <c r="BF100" s="35">
        <f t="shared" si="168"/>
        <v>0</v>
      </c>
      <c r="BG100" s="35">
        <v>0</v>
      </c>
      <c r="BH100" s="35">
        <v>0</v>
      </c>
      <c r="BI100" s="35">
        <v>0</v>
      </c>
      <c r="BJ100" s="35">
        <v>0</v>
      </c>
      <c r="BK100" s="35">
        <v>0</v>
      </c>
      <c r="BL100" s="35">
        <f t="shared" ref="BL100" si="179">SUM(BM100)</f>
        <v>0</v>
      </c>
      <c r="BM100" s="35">
        <v>0</v>
      </c>
      <c r="BN100" s="35">
        <v>0</v>
      </c>
      <c r="BO100" s="35">
        <f t="shared" si="169"/>
        <v>0</v>
      </c>
      <c r="BP100" s="35">
        <v>0</v>
      </c>
      <c r="BQ100" s="35">
        <v>0</v>
      </c>
      <c r="BR100" s="35">
        <v>0</v>
      </c>
      <c r="BS100" s="35">
        <v>0</v>
      </c>
      <c r="BT100" s="35">
        <v>0</v>
      </c>
      <c r="BU100" s="35">
        <v>0</v>
      </c>
      <c r="BV100" s="35">
        <v>0</v>
      </c>
      <c r="BW100" s="35">
        <v>0</v>
      </c>
      <c r="BX100" s="35">
        <v>0</v>
      </c>
      <c r="BY100" s="35">
        <v>0</v>
      </c>
      <c r="BZ100" s="35">
        <v>0</v>
      </c>
      <c r="CA100" s="35">
        <f t="shared" si="170"/>
        <v>0</v>
      </c>
      <c r="CB100" s="35">
        <f t="shared" si="171"/>
        <v>0</v>
      </c>
      <c r="CC100" s="35">
        <f t="shared" ref="CC100" si="180">SUM(CD100:CE100)</f>
        <v>0</v>
      </c>
      <c r="CD100" s="35">
        <v>0</v>
      </c>
      <c r="CE100" s="35">
        <v>0</v>
      </c>
      <c r="CF100" s="18">
        <f t="shared" si="172"/>
        <v>0</v>
      </c>
      <c r="CG100" s="35">
        <v>0</v>
      </c>
      <c r="CH100" s="35">
        <v>0</v>
      </c>
      <c r="CI100" s="35">
        <v>0</v>
      </c>
      <c r="CJ100" s="35">
        <v>0</v>
      </c>
      <c r="CK100" s="35">
        <f t="shared" si="173"/>
        <v>0</v>
      </c>
      <c r="CL100" s="35">
        <v>0</v>
      </c>
      <c r="CM100" s="35">
        <v>0</v>
      </c>
      <c r="CN100" s="35">
        <v>0</v>
      </c>
      <c r="CO100" s="65"/>
      <c r="CP100" s="65"/>
      <c r="CQ100" s="65"/>
      <c r="CR100" s="65"/>
      <c r="CS100" s="46"/>
    </row>
    <row r="101" spans="1:198" ht="31.2" x14ac:dyDescent="0.3">
      <c r="A101" s="93" t="s">
        <v>1</v>
      </c>
      <c r="B101" s="37" t="s">
        <v>62</v>
      </c>
      <c r="C101" s="38" t="s">
        <v>429</v>
      </c>
      <c r="D101" s="35">
        <f t="shared" si="161"/>
        <v>7494550</v>
      </c>
      <c r="E101" s="35">
        <f t="shared" si="162"/>
        <v>7494550</v>
      </c>
      <c r="F101" s="35">
        <f t="shared" si="163"/>
        <v>7494550</v>
      </c>
      <c r="G101" s="31">
        <v>0</v>
      </c>
      <c r="H101" s="31">
        <v>0</v>
      </c>
      <c r="I101" s="35">
        <f t="shared" si="120"/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5">
        <f t="shared" si="121"/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f t="shared" si="164"/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f t="shared" si="165"/>
        <v>7494550</v>
      </c>
      <c r="AF101" s="36">
        <v>0</v>
      </c>
      <c r="AG101" s="31">
        <v>7494550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>
        <v>0</v>
      </c>
      <c r="AP101" s="35">
        <v>0</v>
      </c>
      <c r="AQ101" s="35">
        <v>0</v>
      </c>
      <c r="AR101" s="35">
        <v>0</v>
      </c>
      <c r="AS101" s="35">
        <v>0</v>
      </c>
      <c r="AT101" s="35">
        <v>0</v>
      </c>
      <c r="AU101" s="35">
        <v>0</v>
      </c>
      <c r="AV101" s="35">
        <v>0</v>
      </c>
      <c r="AW101" s="35">
        <v>0</v>
      </c>
      <c r="AX101" s="35">
        <v>0</v>
      </c>
      <c r="AY101" s="35">
        <v>0</v>
      </c>
      <c r="AZ101" s="35">
        <v>0</v>
      </c>
      <c r="BA101" s="35">
        <f t="shared" si="166"/>
        <v>0</v>
      </c>
      <c r="BB101" s="35">
        <f t="shared" si="167"/>
        <v>0</v>
      </c>
      <c r="BC101" s="35">
        <v>0</v>
      </c>
      <c r="BD101" s="35">
        <v>0</v>
      </c>
      <c r="BE101" s="35">
        <v>0</v>
      </c>
      <c r="BF101" s="35">
        <f t="shared" si="168"/>
        <v>0</v>
      </c>
      <c r="BG101" s="35">
        <v>0</v>
      </c>
      <c r="BH101" s="35">
        <v>0</v>
      </c>
      <c r="BI101" s="35">
        <v>0</v>
      </c>
      <c r="BJ101" s="35">
        <v>0</v>
      </c>
      <c r="BK101" s="35">
        <v>0</v>
      </c>
      <c r="BL101" s="35">
        <f t="shared" si="122"/>
        <v>0</v>
      </c>
      <c r="BM101" s="35">
        <v>0</v>
      </c>
      <c r="BN101" s="35">
        <v>0</v>
      </c>
      <c r="BO101" s="35">
        <f t="shared" si="169"/>
        <v>0</v>
      </c>
      <c r="BP101" s="35">
        <v>0</v>
      </c>
      <c r="BQ101" s="35">
        <v>0</v>
      </c>
      <c r="BR101" s="35">
        <v>0</v>
      </c>
      <c r="BS101" s="35">
        <v>0</v>
      </c>
      <c r="BT101" s="35">
        <v>0</v>
      </c>
      <c r="BU101" s="35">
        <v>0</v>
      </c>
      <c r="BV101" s="35">
        <v>0</v>
      </c>
      <c r="BW101" s="35">
        <v>0</v>
      </c>
      <c r="BX101" s="35">
        <v>0</v>
      </c>
      <c r="BY101" s="35">
        <v>0</v>
      </c>
      <c r="BZ101" s="35">
        <v>0</v>
      </c>
      <c r="CA101" s="35">
        <f t="shared" si="170"/>
        <v>0</v>
      </c>
      <c r="CB101" s="35">
        <f t="shared" si="171"/>
        <v>0</v>
      </c>
      <c r="CC101" s="35">
        <f t="shared" si="123"/>
        <v>0</v>
      </c>
      <c r="CD101" s="35">
        <v>0</v>
      </c>
      <c r="CE101" s="35">
        <v>0</v>
      </c>
      <c r="CF101" s="18">
        <f t="shared" si="172"/>
        <v>0</v>
      </c>
      <c r="CG101" s="35">
        <v>0</v>
      </c>
      <c r="CH101" s="35">
        <v>0</v>
      </c>
      <c r="CI101" s="35">
        <v>0</v>
      </c>
      <c r="CJ101" s="35">
        <v>0</v>
      </c>
      <c r="CK101" s="35">
        <f t="shared" si="173"/>
        <v>0</v>
      </c>
      <c r="CL101" s="35">
        <v>0</v>
      </c>
      <c r="CM101" s="35">
        <v>0</v>
      </c>
      <c r="CN101" s="35">
        <v>0</v>
      </c>
      <c r="CO101" s="65"/>
      <c r="CP101" s="65"/>
      <c r="CQ101" s="65"/>
      <c r="CR101" s="65"/>
      <c r="CS101" s="46"/>
    </row>
    <row r="102" spans="1:198" ht="31.2" x14ac:dyDescent="0.3">
      <c r="A102" s="93" t="s">
        <v>1</v>
      </c>
      <c r="B102" s="32" t="s">
        <v>158</v>
      </c>
      <c r="C102" s="33" t="s">
        <v>320</v>
      </c>
      <c r="D102" s="35">
        <f t="shared" si="161"/>
        <v>365042</v>
      </c>
      <c r="E102" s="35">
        <f t="shared" si="162"/>
        <v>365042</v>
      </c>
      <c r="F102" s="35">
        <f t="shared" si="163"/>
        <v>365042</v>
      </c>
      <c r="G102" s="31">
        <v>296421</v>
      </c>
      <c r="H102" s="31">
        <v>68621</v>
      </c>
      <c r="I102" s="35">
        <f t="shared" si="120"/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/>
      <c r="P102" s="35">
        <f t="shared" si="121"/>
        <v>0</v>
      </c>
      <c r="Q102" s="35">
        <v>0</v>
      </c>
      <c r="R102" s="35"/>
      <c r="S102" s="35">
        <v>0</v>
      </c>
      <c r="T102" s="35">
        <v>0</v>
      </c>
      <c r="U102" s="35">
        <f t="shared" si="164"/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f t="shared" si="165"/>
        <v>0</v>
      </c>
      <c r="AF102" s="36">
        <v>0</v>
      </c>
      <c r="AG102" s="31"/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>
        <v>0</v>
      </c>
      <c r="AP102" s="35">
        <v>0</v>
      </c>
      <c r="AQ102" s="35">
        <v>0</v>
      </c>
      <c r="AR102" s="35">
        <v>0</v>
      </c>
      <c r="AS102" s="35">
        <v>0</v>
      </c>
      <c r="AT102" s="35">
        <v>0</v>
      </c>
      <c r="AU102" s="35">
        <v>0</v>
      </c>
      <c r="AV102" s="35">
        <v>0</v>
      </c>
      <c r="AW102" s="35">
        <v>0</v>
      </c>
      <c r="AX102" s="35">
        <v>0</v>
      </c>
      <c r="AY102" s="35">
        <v>0</v>
      </c>
      <c r="AZ102" s="35">
        <v>0</v>
      </c>
      <c r="BA102" s="35">
        <f t="shared" si="166"/>
        <v>0</v>
      </c>
      <c r="BB102" s="35">
        <f t="shared" si="167"/>
        <v>0</v>
      </c>
      <c r="BC102" s="35">
        <v>0</v>
      </c>
      <c r="BD102" s="35">
        <v>0</v>
      </c>
      <c r="BE102" s="35">
        <v>0</v>
      </c>
      <c r="BF102" s="35">
        <f t="shared" si="168"/>
        <v>0</v>
      </c>
      <c r="BG102" s="35">
        <v>0</v>
      </c>
      <c r="BH102" s="35">
        <v>0</v>
      </c>
      <c r="BI102" s="35">
        <v>0</v>
      </c>
      <c r="BJ102" s="35">
        <v>0</v>
      </c>
      <c r="BK102" s="35">
        <v>0</v>
      </c>
      <c r="BL102" s="35">
        <f t="shared" si="122"/>
        <v>0</v>
      </c>
      <c r="BM102" s="35">
        <v>0</v>
      </c>
      <c r="BN102" s="35">
        <v>0</v>
      </c>
      <c r="BO102" s="35">
        <f t="shared" si="169"/>
        <v>0</v>
      </c>
      <c r="BP102" s="35">
        <v>0</v>
      </c>
      <c r="BQ102" s="35">
        <v>0</v>
      </c>
      <c r="BR102" s="35">
        <v>0</v>
      </c>
      <c r="BS102" s="35">
        <v>0</v>
      </c>
      <c r="BT102" s="35">
        <v>0</v>
      </c>
      <c r="BU102" s="35">
        <v>0</v>
      </c>
      <c r="BV102" s="35">
        <v>0</v>
      </c>
      <c r="BW102" s="35">
        <v>0</v>
      </c>
      <c r="BX102" s="35">
        <v>0</v>
      </c>
      <c r="BY102" s="35">
        <v>0</v>
      </c>
      <c r="BZ102" s="35">
        <v>0</v>
      </c>
      <c r="CA102" s="35">
        <f t="shared" si="170"/>
        <v>0</v>
      </c>
      <c r="CB102" s="35">
        <f t="shared" si="171"/>
        <v>0</v>
      </c>
      <c r="CC102" s="35">
        <f t="shared" si="123"/>
        <v>0</v>
      </c>
      <c r="CD102" s="35">
        <v>0</v>
      </c>
      <c r="CE102" s="35"/>
      <c r="CF102" s="18">
        <f t="shared" si="172"/>
        <v>0</v>
      </c>
      <c r="CG102" s="35">
        <v>0</v>
      </c>
      <c r="CH102" s="35">
        <v>0</v>
      </c>
      <c r="CI102" s="35">
        <v>0</v>
      </c>
      <c r="CJ102" s="35">
        <v>0</v>
      </c>
      <c r="CK102" s="35">
        <f t="shared" si="173"/>
        <v>0</v>
      </c>
      <c r="CL102" s="35">
        <v>0</v>
      </c>
      <c r="CM102" s="35">
        <v>0</v>
      </c>
      <c r="CN102" s="35">
        <v>0</v>
      </c>
      <c r="CO102" s="65"/>
      <c r="CP102" s="65"/>
      <c r="CQ102" s="65"/>
      <c r="CR102" s="65"/>
      <c r="CS102" s="46"/>
    </row>
    <row r="103" spans="1:198" s="46" customFormat="1" ht="31.2" x14ac:dyDescent="0.3">
      <c r="A103" s="93"/>
      <c r="B103" s="37" t="s">
        <v>74</v>
      </c>
      <c r="C103" s="38" t="s">
        <v>430</v>
      </c>
      <c r="D103" s="35">
        <f>SUM(E103+CA103)</f>
        <v>113741</v>
      </c>
      <c r="E103" s="35">
        <f t="shared" si="162"/>
        <v>113741</v>
      </c>
      <c r="F103" s="35">
        <f t="shared" si="163"/>
        <v>113741</v>
      </c>
      <c r="G103" s="31">
        <v>0</v>
      </c>
      <c r="H103" s="31">
        <v>0</v>
      </c>
      <c r="I103" s="35">
        <f t="shared" si="120"/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5">
        <f t="shared" si="121"/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f t="shared" si="164"/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f t="shared" si="165"/>
        <v>113741</v>
      </c>
      <c r="AF103" s="36">
        <v>0</v>
      </c>
      <c r="AG103" s="31">
        <f>227736-113995</f>
        <v>113741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>
        <v>0</v>
      </c>
      <c r="AP103" s="35">
        <v>0</v>
      </c>
      <c r="AQ103" s="35">
        <v>0</v>
      </c>
      <c r="AR103" s="35">
        <v>0</v>
      </c>
      <c r="AS103" s="35">
        <v>0</v>
      </c>
      <c r="AT103" s="35">
        <v>0</v>
      </c>
      <c r="AU103" s="35">
        <v>0</v>
      </c>
      <c r="AV103" s="35">
        <v>0</v>
      </c>
      <c r="AW103" s="35">
        <v>0</v>
      </c>
      <c r="AX103" s="35">
        <v>0</v>
      </c>
      <c r="AY103" s="35">
        <v>0</v>
      </c>
      <c r="AZ103" s="35">
        <v>0</v>
      </c>
      <c r="BA103" s="35">
        <f t="shared" si="166"/>
        <v>0</v>
      </c>
      <c r="BB103" s="35">
        <f t="shared" si="167"/>
        <v>0</v>
      </c>
      <c r="BC103" s="35">
        <v>0</v>
      </c>
      <c r="BD103" s="35">
        <v>0</v>
      </c>
      <c r="BE103" s="35">
        <v>0</v>
      </c>
      <c r="BF103" s="35">
        <f t="shared" si="168"/>
        <v>0</v>
      </c>
      <c r="BG103" s="35">
        <v>0</v>
      </c>
      <c r="BH103" s="35">
        <v>0</v>
      </c>
      <c r="BI103" s="35">
        <v>0</v>
      </c>
      <c r="BJ103" s="35">
        <v>0</v>
      </c>
      <c r="BK103" s="35">
        <v>0</v>
      </c>
      <c r="BL103" s="35">
        <f t="shared" si="122"/>
        <v>0</v>
      </c>
      <c r="BM103" s="35">
        <v>0</v>
      </c>
      <c r="BN103" s="35">
        <v>0</v>
      </c>
      <c r="BO103" s="35">
        <f t="shared" si="169"/>
        <v>0</v>
      </c>
      <c r="BP103" s="35">
        <v>0</v>
      </c>
      <c r="BQ103" s="35">
        <v>0</v>
      </c>
      <c r="BR103" s="35">
        <v>0</v>
      </c>
      <c r="BS103" s="35">
        <v>0</v>
      </c>
      <c r="BT103" s="35">
        <v>0</v>
      </c>
      <c r="BU103" s="35">
        <v>0</v>
      </c>
      <c r="BV103" s="35">
        <v>0</v>
      </c>
      <c r="BW103" s="35">
        <v>0</v>
      </c>
      <c r="BX103" s="35">
        <v>0</v>
      </c>
      <c r="BY103" s="35">
        <v>0</v>
      </c>
      <c r="BZ103" s="35">
        <v>0</v>
      </c>
      <c r="CA103" s="35">
        <f t="shared" si="170"/>
        <v>0</v>
      </c>
      <c r="CB103" s="35">
        <f t="shared" si="171"/>
        <v>0</v>
      </c>
      <c r="CC103" s="35">
        <f t="shared" si="123"/>
        <v>0</v>
      </c>
      <c r="CD103" s="35">
        <v>0</v>
      </c>
      <c r="CE103" s="35">
        <v>0</v>
      </c>
      <c r="CF103" s="18">
        <f t="shared" si="172"/>
        <v>0</v>
      </c>
      <c r="CG103" s="35">
        <v>0</v>
      </c>
      <c r="CH103" s="35">
        <v>0</v>
      </c>
      <c r="CI103" s="35">
        <v>0</v>
      </c>
      <c r="CJ103" s="35">
        <v>0</v>
      </c>
      <c r="CK103" s="35">
        <f t="shared" si="173"/>
        <v>0</v>
      </c>
      <c r="CL103" s="35">
        <v>0</v>
      </c>
      <c r="CM103" s="35">
        <v>0</v>
      </c>
      <c r="CN103" s="35">
        <v>0</v>
      </c>
      <c r="CO103" s="65"/>
      <c r="CP103" s="65"/>
      <c r="CQ103" s="65"/>
      <c r="CR103" s="65"/>
      <c r="GP103" s="44"/>
    </row>
    <row r="104" spans="1:198" s="51" customFormat="1" ht="31.2" x14ac:dyDescent="0.3">
      <c r="A104" s="91" t="s">
        <v>159</v>
      </c>
      <c r="B104" s="23" t="s">
        <v>1</v>
      </c>
      <c r="C104" s="24" t="s">
        <v>160</v>
      </c>
      <c r="D104" s="25">
        <f>SUM(D105+D107)</f>
        <v>210819581</v>
      </c>
      <c r="E104" s="25">
        <f t="shared" ref="E104:BQ104" si="181">SUM(E105+E107)</f>
        <v>210819581</v>
      </c>
      <c r="F104" s="25">
        <f t="shared" si="181"/>
        <v>0</v>
      </c>
      <c r="G104" s="25">
        <f t="shared" si="181"/>
        <v>0</v>
      </c>
      <c r="H104" s="25">
        <f t="shared" si="181"/>
        <v>0</v>
      </c>
      <c r="I104" s="25">
        <f t="shared" si="181"/>
        <v>0</v>
      </c>
      <c r="J104" s="25">
        <f t="shared" si="181"/>
        <v>0</v>
      </c>
      <c r="K104" s="25">
        <f t="shared" si="181"/>
        <v>0</v>
      </c>
      <c r="L104" s="25">
        <f t="shared" si="181"/>
        <v>0</v>
      </c>
      <c r="M104" s="25">
        <f t="shared" si="181"/>
        <v>0</v>
      </c>
      <c r="N104" s="25">
        <f t="shared" si="181"/>
        <v>0</v>
      </c>
      <c r="O104" s="25">
        <f t="shared" si="181"/>
        <v>0</v>
      </c>
      <c r="P104" s="25">
        <f t="shared" si="181"/>
        <v>0</v>
      </c>
      <c r="Q104" s="25">
        <f t="shared" si="181"/>
        <v>0</v>
      </c>
      <c r="R104" s="25">
        <f t="shared" si="181"/>
        <v>0</v>
      </c>
      <c r="S104" s="25">
        <f t="shared" si="181"/>
        <v>0</v>
      </c>
      <c r="T104" s="25">
        <f t="shared" si="181"/>
        <v>0</v>
      </c>
      <c r="U104" s="25">
        <f t="shared" si="181"/>
        <v>0</v>
      </c>
      <c r="V104" s="25">
        <f t="shared" si="181"/>
        <v>0</v>
      </c>
      <c r="W104" s="25">
        <f t="shared" si="181"/>
        <v>0</v>
      </c>
      <c r="X104" s="25">
        <f t="shared" si="181"/>
        <v>0</v>
      </c>
      <c r="Y104" s="25">
        <f t="shared" si="181"/>
        <v>0</v>
      </c>
      <c r="Z104" s="25">
        <f t="shared" si="181"/>
        <v>0</v>
      </c>
      <c r="AA104" s="25">
        <f t="shared" si="181"/>
        <v>0</v>
      </c>
      <c r="AB104" s="25">
        <f t="shared" si="181"/>
        <v>0</v>
      </c>
      <c r="AC104" s="25">
        <f t="shared" si="181"/>
        <v>0</v>
      </c>
      <c r="AD104" s="25">
        <f t="shared" si="181"/>
        <v>0</v>
      </c>
      <c r="AE104" s="25">
        <f t="shared" si="181"/>
        <v>0</v>
      </c>
      <c r="AF104" s="25">
        <f t="shared" si="181"/>
        <v>0</v>
      </c>
      <c r="AG104" s="25">
        <f t="shared" si="181"/>
        <v>0</v>
      </c>
      <c r="AH104" s="25">
        <f t="shared" si="181"/>
        <v>0</v>
      </c>
      <c r="AI104" s="25">
        <f t="shared" si="181"/>
        <v>0</v>
      </c>
      <c r="AJ104" s="25">
        <f t="shared" si="181"/>
        <v>0</v>
      </c>
      <c r="AK104" s="25">
        <f t="shared" si="181"/>
        <v>0</v>
      </c>
      <c r="AL104" s="25">
        <f t="shared" si="181"/>
        <v>0</v>
      </c>
      <c r="AM104" s="25">
        <f t="shared" si="181"/>
        <v>0</v>
      </c>
      <c r="AN104" s="25">
        <f t="shared" si="181"/>
        <v>0</v>
      </c>
      <c r="AO104" s="25">
        <f t="shared" si="181"/>
        <v>0</v>
      </c>
      <c r="AP104" s="25">
        <f t="shared" si="181"/>
        <v>0</v>
      </c>
      <c r="AQ104" s="25">
        <f t="shared" si="181"/>
        <v>0</v>
      </c>
      <c r="AR104" s="25">
        <f t="shared" si="181"/>
        <v>0</v>
      </c>
      <c r="AS104" s="25">
        <f t="shared" si="181"/>
        <v>0</v>
      </c>
      <c r="AT104" s="25">
        <f t="shared" si="181"/>
        <v>0</v>
      </c>
      <c r="AU104" s="25">
        <f t="shared" si="181"/>
        <v>0</v>
      </c>
      <c r="AV104" s="25">
        <f t="shared" si="181"/>
        <v>0</v>
      </c>
      <c r="AW104" s="25">
        <f t="shared" si="181"/>
        <v>0</v>
      </c>
      <c r="AX104" s="25">
        <f t="shared" si="181"/>
        <v>0</v>
      </c>
      <c r="AY104" s="25">
        <f t="shared" si="181"/>
        <v>0</v>
      </c>
      <c r="AZ104" s="25">
        <f t="shared" si="181"/>
        <v>0</v>
      </c>
      <c r="BA104" s="25">
        <f t="shared" si="181"/>
        <v>210819581</v>
      </c>
      <c r="BB104" s="25">
        <f t="shared" si="181"/>
        <v>209509563</v>
      </c>
      <c r="BC104" s="25">
        <f t="shared" si="181"/>
        <v>209509563</v>
      </c>
      <c r="BD104" s="25">
        <f t="shared" si="181"/>
        <v>0</v>
      </c>
      <c r="BE104" s="25">
        <f t="shared" si="181"/>
        <v>0</v>
      </c>
      <c r="BF104" s="25">
        <f t="shared" si="181"/>
        <v>1310018</v>
      </c>
      <c r="BG104" s="25">
        <f t="shared" si="181"/>
        <v>0</v>
      </c>
      <c r="BH104" s="25">
        <f t="shared" si="181"/>
        <v>1310018</v>
      </c>
      <c r="BI104" s="25">
        <f t="shared" si="181"/>
        <v>0</v>
      </c>
      <c r="BJ104" s="25">
        <f t="shared" si="181"/>
        <v>0</v>
      </c>
      <c r="BK104" s="25">
        <f t="shared" si="181"/>
        <v>0</v>
      </c>
      <c r="BL104" s="25">
        <f t="shared" si="181"/>
        <v>0</v>
      </c>
      <c r="BM104" s="25">
        <f t="shared" si="181"/>
        <v>0</v>
      </c>
      <c r="BN104" s="25">
        <f t="shared" si="181"/>
        <v>0</v>
      </c>
      <c r="BO104" s="25">
        <f t="shared" si="181"/>
        <v>0</v>
      </c>
      <c r="BP104" s="25">
        <f t="shared" si="181"/>
        <v>0</v>
      </c>
      <c r="BQ104" s="25">
        <f t="shared" si="181"/>
        <v>0</v>
      </c>
      <c r="BR104" s="25">
        <f t="shared" ref="BR104:CQ104" si="182">SUM(BR105+BR107)</f>
        <v>0</v>
      </c>
      <c r="BS104" s="25">
        <f t="shared" si="182"/>
        <v>0</v>
      </c>
      <c r="BT104" s="25">
        <f t="shared" si="182"/>
        <v>0</v>
      </c>
      <c r="BU104" s="25">
        <f t="shared" si="182"/>
        <v>0</v>
      </c>
      <c r="BV104" s="25">
        <f t="shared" si="182"/>
        <v>0</v>
      </c>
      <c r="BW104" s="25">
        <f t="shared" si="182"/>
        <v>0</v>
      </c>
      <c r="BX104" s="25">
        <f t="shared" si="182"/>
        <v>0</v>
      </c>
      <c r="BY104" s="25">
        <f t="shared" si="182"/>
        <v>0</v>
      </c>
      <c r="BZ104" s="25">
        <f t="shared" si="182"/>
        <v>0</v>
      </c>
      <c r="CA104" s="25">
        <f t="shared" si="182"/>
        <v>0</v>
      </c>
      <c r="CB104" s="25">
        <f t="shared" si="182"/>
        <v>0</v>
      </c>
      <c r="CC104" s="25">
        <f t="shared" si="182"/>
        <v>0</v>
      </c>
      <c r="CD104" s="25">
        <f t="shared" si="182"/>
        <v>0</v>
      </c>
      <c r="CE104" s="25">
        <f t="shared" si="182"/>
        <v>0</v>
      </c>
      <c r="CF104" s="25">
        <f t="shared" si="182"/>
        <v>0</v>
      </c>
      <c r="CG104" s="25">
        <f t="shared" si="182"/>
        <v>0</v>
      </c>
      <c r="CH104" s="25">
        <f t="shared" si="182"/>
        <v>0</v>
      </c>
      <c r="CI104" s="25">
        <f t="shared" si="182"/>
        <v>0</v>
      </c>
      <c r="CJ104" s="25">
        <f t="shared" si="182"/>
        <v>0</v>
      </c>
      <c r="CK104" s="25">
        <f t="shared" si="182"/>
        <v>0</v>
      </c>
      <c r="CL104" s="25">
        <f t="shared" si="182"/>
        <v>0</v>
      </c>
      <c r="CM104" s="25">
        <f t="shared" si="182"/>
        <v>0</v>
      </c>
      <c r="CN104" s="25">
        <f t="shared" si="182"/>
        <v>0</v>
      </c>
      <c r="CO104" s="25">
        <f t="shared" si="182"/>
        <v>0</v>
      </c>
      <c r="CP104" s="25">
        <f t="shared" si="182"/>
        <v>0</v>
      </c>
      <c r="CQ104" s="25">
        <f t="shared" si="182"/>
        <v>0</v>
      </c>
      <c r="CR104" s="25">
        <f t="shared" ref="CR104" si="183">SUM(CR105+CR107)</f>
        <v>0</v>
      </c>
      <c r="GP104" s="44"/>
    </row>
    <row r="105" spans="1:198" s="82" customFormat="1" ht="15.6" x14ac:dyDescent="0.3">
      <c r="A105" s="94" t="s">
        <v>583</v>
      </c>
      <c r="B105" s="79" t="s">
        <v>1</v>
      </c>
      <c r="C105" s="80" t="s">
        <v>584</v>
      </c>
      <c r="D105" s="64">
        <f>SUM(D106)</f>
        <v>1310018</v>
      </c>
      <c r="E105" s="64">
        <f t="shared" ref="E105:BU107" si="184">SUM(E106)</f>
        <v>1310018</v>
      </c>
      <c r="F105" s="64">
        <f t="shared" si="184"/>
        <v>0</v>
      </c>
      <c r="G105" s="64">
        <f t="shared" si="184"/>
        <v>0</v>
      </c>
      <c r="H105" s="64">
        <f t="shared" si="184"/>
        <v>0</v>
      </c>
      <c r="I105" s="64">
        <f t="shared" si="184"/>
        <v>0</v>
      </c>
      <c r="J105" s="64">
        <f t="shared" si="184"/>
        <v>0</v>
      </c>
      <c r="K105" s="64">
        <f t="shared" si="184"/>
        <v>0</v>
      </c>
      <c r="L105" s="64">
        <f t="shared" si="184"/>
        <v>0</v>
      </c>
      <c r="M105" s="64">
        <f t="shared" si="184"/>
        <v>0</v>
      </c>
      <c r="N105" s="64">
        <f t="shared" si="184"/>
        <v>0</v>
      </c>
      <c r="O105" s="64">
        <f t="shared" si="184"/>
        <v>0</v>
      </c>
      <c r="P105" s="64">
        <f t="shared" si="184"/>
        <v>0</v>
      </c>
      <c r="Q105" s="64">
        <f t="shared" si="184"/>
        <v>0</v>
      </c>
      <c r="R105" s="64">
        <f t="shared" si="184"/>
        <v>0</v>
      </c>
      <c r="S105" s="64">
        <f t="shared" si="184"/>
        <v>0</v>
      </c>
      <c r="T105" s="64">
        <f t="shared" si="184"/>
        <v>0</v>
      </c>
      <c r="U105" s="64">
        <f t="shared" si="184"/>
        <v>0</v>
      </c>
      <c r="V105" s="64">
        <f t="shared" si="184"/>
        <v>0</v>
      </c>
      <c r="W105" s="64">
        <f t="shared" si="184"/>
        <v>0</v>
      </c>
      <c r="X105" s="64">
        <f t="shared" si="184"/>
        <v>0</v>
      </c>
      <c r="Y105" s="64">
        <f t="shared" si="184"/>
        <v>0</v>
      </c>
      <c r="Z105" s="64">
        <f t="shared" si="184"/>
        <v>0</v>
      </c>
      <c r="AA105" s="64">
        <f t="shared" si="184"/>
        <v>0</v>
      </c>
      <c r="AB105" s="64">
        <f t="shared" si="184"/>
        <v>0</v>
      </c>
      <c r="AC105" s="64">
        <f t="shared" si="184"/>
        <v>0</v>
      </c>
      <c r="AD105" s="64">
        <f t="shared" si="184"/>
        <v>0</v>
      </c>
      <c r="AE105" s="64">
        <f t="shared" si="184"/>
        <v>0</v>
      </c>
      <c r="AF105" s="64">
        <f t="shared" si="184"/>
        <v>0</v>
      </c>
      <c r="AG105" s="64">
        <f t="shared" si="184"/>
        <v>0</v>
      </c>
      <c r="AH105" s="64">
        <f t="shared" si="184"/>
        <v>0</v>
      </c>
      <c r="AI105" s="64">
        <f t="shared" si="184"/>
        <v>0</v>
      </c>
      <c r="AJ105" s="64">
        <f t="shared" si="184"/>
        <v>0</v>
      </c>
      <c r="AK105" s="64">
        <f t="shared" si="184"/>
        <v>0</v>
      </c>
      <c r="AL105" s="64">
        <f t="shared" si="184"/>
        <v>0</v>
      </c>
      <c r="AM105" s="64">
        <f t="shared" si="184"/>
        <v>0</v>
      </c>
      <c r="AN105" s="64">
        <f t="shared" si="184"/>
        <v>0</v>
      </c>
      <c r="AO105" s="64">
        <f t="shared" si="184"/>
        <v>0</v>
      </c>
      <c r="AP105" s="64">
        <f t="shared" si="184"/>
        <v>0</v>
      </c>
      <c r="AQ105" s="64">
        <f t="shared" si="184"/>
        <v>0</v>
      </c>
      <c r="AR105" s="64">
        <f t="shared" si="184"/>
        <v>0</v>
      </c>
      <c r="AS105" s="64">
        <f t="shared" si="184"/>
        <v>0</v>
      </c>
      <c r="AT105" s="64"/>
      <c r="AU105" s="64"/>
      <c r="AV105" s="64">
        <f t="shared" si="184"/>
        <v>0</v>
      </c>
      <c r="AW105" s="64">
        <f t="shared" si="184"/>
        <v>0</v>
      </c>
      <c r="AX105" s="64">
        <f t="shared" si="184"/>
        <v>0</v>
      </c>
      <c r="AY105" s="64"/>
      <c r="AZ105" s="64">
        <f t="shared" si="184"/>
        <v>0</v>
      </c>
      <c r="BA105" s="64">
        <f t="shared" si="184"/>
        <v>1310018</v>
      </c>
      <c r="BB105" s="64">
        <f t="shared" si="184"/>
        <v>0</v>
      </c>
      <c r="BC105" s="64">
        <f t="shared" si="184"/>
        <v>0</v>
      </c>
      <c r="BD105" s="64">
        <f t="shared" si="184"/>
        <v>0</v>
      </c>
      <c r="BE105" s="64">
        <f t="shared" si="184"/>
        <v>0</v>
      </c>
      <c r="BF105" s="64">
        <f t="shared" si="184"/>
        <v>1310018</v>
      </c>
      <c r="BG105" s="64">
        <f t="shared" si="184"/>
        <v>0</v>
      </c>
      <c r="BH105" s="64">
        <f t="shared" si="184"/>
        <v>1310018</v>
      </c>
      <c r="BI105" s="64">
        <f t="shared" si="184"/>
        <v>0</v>
      </c>
      <c r="BJ105" s="64">
        <f t="shared" si="184"/>
        <v>0</v>
      </c>
      <c r="BK105" s="64">
        <f t="shared" si="184"/>
        <v>0</v>
      </c>
      <c r="BL105" s="64">
        <f t="shared" si="184"/>
        <v>0</v>
      </c>
      <c r="BM105" s="64">
        <f t="shared" si="184"/>
        <v>0</v>
      </c>
      <c r="BN105" s="64">
        <f t="shared" si="184"/>
        <v>0</v>
      </c>
      <c r="BO105" s="64">
        <f t="shared" si="184"/>
        <v>0</v>
      </c>
      <c r="BP105" s="64">
        <f t="shared" si="184"/>
        <v>0</v>
      </c>
      <c r="BQ105" s="64">
        <f t="shared" si="184"/>
        <v>0</v>
      </c>
      <c r="BR105" s="64">
        <f t="shared" si="184"/>
        <v>0</v>
      </c>
      <c r="BS105" s="64">
        <f t="shared" si="184"/>
        <v>0</v>
      </c>
      <c r="BT105" s="64">
        <f t="shared" si="184"/>
        <v>0</v>
      </c>
      <c r="BU105" s="64">
        <f t="shared" si="184"/>
        <v>0</v>
      </c>
      <c r="BV105" s="64">
        <f t="shared" ref="BV105:CN107" si="185">SUM(BV106)</f>
        <v>0</v>
      </c>
      <c r="BW105" s="64">
        <f t="shared" si="185"/>
        <v>0</v>
      </c>
      <c r="BX105" s="64">
        <f t="shared" si="185"/>
        <v>0</v>
      </c>
      <c r="BY105" s="64">
        <f t="shared" si="185"/>
        <v>0</v>
      </c>
      <c r="BZ105" s="64">
        <f t="shared" si="185"/>
        <v>0</v>
      </c>
      <c r="CA105" s="64">
        <f t="shared" si="185"/>
        <v>0</v>
      </c>
      <c r="CB105" s="64">
        <f t="shared" si="185"/>
        <v>0</v>
      </c>
      <c r="CC105" s="64">
        <f t="shared" si="185"/>
        <v>0</v>
      </c>
      <c r="CD105" s="64">
        <f t="shared" si="185"/>
        <v>0</v>
      </c>
      <c r="CE105" s="64">
        <f t="shared" si="185"/>
        <v>0</v>
      </c>
      <c r="CF105" s="64">
        <f t="shared" si="185"/>
        <v>0</v>
      </c>
      <c r="CG105" s="64">
        <f t="shared" si="185"/>
        <v>0</v>
      </c>
      <c r="CH105" s="64">
        <f t="shared" si="185"/>
        <v>0</v>
      </c>
      <c r="CI105" s="64">
        <f t="shared" si="185"/>
        <v>0</v>
      </c>
      <c r="CJ105" s="64">
        <f t="shared" si="185"/>
        <v>0</v>
      </c>
      <c r="CK105" s="64">
        <f t="shared" si="185"/>
        <v>0</v>
      </c>
      <c r="CL105" s="64">
        <f t="shared" si="185"/>
        <v>0</v>
      </c>
      <c r="CM105" s="64">
        <f t="shared" si="185"/>
        <v>0</v>
      </c>
      <c r="CN105" s="64">
        <f t="shared" si="185"/>
        <v>0</v>
      </c>
      <c r="CO105" s="64"/>
      <c r="CP105" s="64"/>
      <c r="CQ105" s="64"/>
      <c r="CR105" s="64"/>
      <c r="GP105" s="44"/>
    </row>
    <row r="106" spans="1:198" s="68" customFormat="1" ht="31.2" x14ac:dyDescent="0.3">
      <c r="A106" s="92" t="s">
        <v>1</v>
      </c>
      <c r="B106" s="62" t="s">
        <v>50</v>
      </c>
      <c r="C106" s="63" t="s">
        <v>603</v>
      </c>
      <c r="D106" s="65">
        <f>SUM(E106+CA106)</f>
        <v>1310018</v>
      </c>
      <c r="E106" s="65">
        <f>SUM(F106+BA106)</f>
        <v>1310018</v>
      </c>
      <c r="F106" s="65">
        <f>SUM(G106+H106+I106+P106+S106+T106+U106+AE106+AD106)</f>
        <v>0</v>
      </c>
      <c r="G106" s="65">
        <v>0</v>
      </c>
      <c r="H106" s="65">
        <v>0</v>
      </c>
      <c r="I106" s="65">
        <f t="shared" ref="I106" si="186">SUM(J106:O106)</f>
        <v>0</v>
      </c>
      <c r="J106" s="65">
        <v>0</v>
      </c>
      <c r="K106" s="65">
        <v>0</v>
      </c>
      <c r="L106" s="65">
        <v>0</v>
      </c>
      <c r="M106" s="65">
        <v>0</v>
      </c>
      <c r="N106" s="65">
        <v>0</v>
      </c>
      <c r="O106" s="65">
        <v>0</v>
      </c>
      <c r="P106" s="65">
        <f t="shared" ref="P106" si="187">SUM(Q106:R106)</f>
        <v>0</v>
      </c>
      <c r="Q106" s="65">
        <v>0</v>
      </c>
      <c r="R106" s="65">
        <v>0</v>
      </c>
      <c r="S106" s="65">
        <v>0</v>
      </c>
      <c r="T106" s="65">
        <v>0</v>
      </c>
      <c r="U106" s="65">
        <f>SUM(V106:AC106)</f>
        <v>0</v>
      </c>
      <c r="V106" s="65">
        <v>0</v>
      </c>
      <c r="W106" s="65">
        <v>0</v>
      </c>
      <c r="X106" s="65">
        <v>0</v>
      </c>
      <c r="Y106" s="65">
        <v>0</v>
      </c>
      <c r="Z106" s="65">
        <v>0</v>
      </c>
      <c r="AA106" s="65">
        <v>0</v>
      </c>
      <c r="AB106" s="65">
        <v>0</v>
      </c>
      <c r="AC106" s="65">
        <v>0</v>
      </c>
      <c r="AD106" s="65">
        <v>0</v>
      </c>
      <c r="AE106" s="65">
        <f>SUM(AF106:AZ106)</f>
        <v>0</v>
      </c>
      <c r="AF106" s="65">
        <v>0</v>
      </c>
      <c r="AG106" s="65">
        <v>0</v>
      </c>
      <c r="AH106" s="65">
        <v>0</v>
      </c>
      <c r="AI106" s="65">
        <v>0</v>
      </c>
      <c r="AJ106" s="65">
        <v>0</v>
      </c>
      <c r="AK106" s="65">
        <v>0</v>
      </c>
      <c r="AL106" s="65">
        <v>0</v>
      </c>
      <c r="AM106" s="65">
        <v>0</v>
      </c>
      <c r="AN106" s="65">
        <v>0</v>
      </c>
      <c r="AO106" s="65">
        <v>0</v>
      </c>
      <c r="AP106" s="65">
        <v>0</v>
      </c>
      <c r="AQ106" s="65">
        <v>0</v>
      </c>
      <c r="AR106" s="65">
        <v>0</v>
      </c>
      <c r="AS106" s="65">
        <v>0</v>
      </c>
      <c r="AT106" s="65"/>
      <c r="AU106" s="65"/>
      <c r="AV106" s="65">
        <v>0</v>
      </c>
      <c r="AW106" s="65">
        <v>0</v>
      </c>
      <c r="AX106" s="65">
        <v>0</v>
      </c>
      <c r="AY106" s="65"/>
      <c r="AZ106" s="65">
        <v>0</v>
      </c>
      <c r="BA106" s="65">
        <f>SUM(BB106+BF106+BJ106+BL106+BO106)</f>
        <v>1310018</v>
      </c>
      <c r="BB106" s="65">
        <f>SUM(BC106:BE106)</f>
        <v>0</v>
      </c>
      <c r="BC106" s="65"/>
      <c r="BD106" s="65">
        <v>0</v>
      </c>
      <c r="BE106" s="65">
        <v>0</v>
      </c>
      <c r="BF106" s="65">
        <f>SUM(BG106:BI106)</f>
        <v>1310018</v>
      </c>
      <c r="BG106" s="65">
        <v>0</v>
      </c>
      <c r="BH106" s="65">
        <f>0+1310018</f>
        <v>1310018</v>
      </c>
      <c r="BI106" s="65">
        <v>0</v>
      </c>
      <c r="BJ106" s="65">
        <v>0</v>
      </c>
      <c r="BK106" s="65"/>
      <c r="BL106" s="65">
        <f t="shared" ref="BL106" si="188">SUM(BM106)</f>
        <v>0</v>
      </c>
      <c r="BM106" s="65">
        <v>0</v>
      </c>
      <c r="BN106" s="65">
        <v>0</v>
      </c>
      <c r="BO106" s="65">
        <f>SUM(BP106:BZ106)</f>
        <v>0</v>
      </c>
      <c r="BP106" s="65">
        <v>0</v>
      </c>
      <c r="BQ106" s="65">
        <v>0</v>
      </c>
      <c r="BR106" s="65">
        <v>0</v>
      </c>
      <c r="BS106" s="65">
        <v>0</v>
      </c>
      <c r="BT106" s="65">
        <v>0</v>
      </c>
      <c r="BU106" s="65">
        <v>0</v>
      </c>
      <c r="BV106" s="65">
        <v>0</v>
      </c>
      <c r="BW106" s="65">
        <v>0</v>
      </c>
      <c r="BX106" s="65">
        <v>0</v>
      </c>
      <c r="BY106" s="65">
        <v>0</v>
      </c>
      <c r="BZ106" s="65">
        <v>0</v>
      </c>
      <c r="CA106" s="65">
        <f>SUM(CB106+CN106)</f>
        <v>0</v>
      </c>
      <c r="CB106" s="65">
        <f>SUM(CC106+CF106+CK106)</f>
        <v>0</v>
      </c>
      <c r="CC106" s="65">
        <f t="shared" ref="CC106" si="189">SUM(CD106:CE106)</f>
        <v>0</v>
      </c>
      <c r="CD106" s="65">
        <v>0</v>
      </c>
      <c r="CE106" s="65">
        <v>0</v>
      </c>
      <c r="CF106" s="65">
        <f>SUM(CG106:CJ106)</f>
        <v>0</v>
      </c>
      <c r="CG106" s="65">
        <v>0</v>
      </c>
      <c r="CH106" s="65">
        <v>0</v>
      </c>
      <c r="CI106" s="65">
        <v>0</v>
      </c>
      <c r="CJ106" s="65">
        <v>0</v>
      </c>
      <c r="CK106" s="65">
        <f>SUM(CL106:CM106)</f>
        <v>0</v>
      </c>
      <c r="CL106" s="65">
        <v>0</v>
      </c>
      <c r="CM106" s="65">
        <v>0</v>
      </c>
      <c r="CN106" s="65">
        <v>0</v>
      </c>
      <c r="CO106" s="65"/>
      <c r="CP106" s="65"/>
      <c r="CQ106" s="65"/>
      <c r="CR106" s="65"/>
      <c r="GP106" s="46"/>
    </row>
    <row r="107" spans="1:198" s="51" customFormat="1" ht="31.2" x14ac:dyDescent="0.3">
      <c r="A107" s="89" t="s">
        <v>161</v>
      </c>
      <c r="B107" s="15" t="s">
        <v>1</v>
      </c>
      <c r="C107" s="16" t="s">
        <v>477</v>
      </c>
      <c r="D107" s="17">
        <f>SUM(D108)</f>
        <v>209509563</v>
      </c>
      <c r="E107" s="17">
        <f t="shared" si="184"/>
        <v>209509563</v>
      </c>
      <c r="F107" s="17">
        <f t="shared" si="184"/>
        <v>0</v>
      </c>
      <c r="G107" s="17">
        <f t="shared" si="184"/>
        <v>0</v>
      </c>
      <c r="H107" s="17">
        <f t="shared" si="184"/>
        <v>0</v>
      </c>
      <c r="I107" s="17">
        <f t="shared" si="184"/>
        <v>0</v>
      </c>
      <c r="J107" s="17">
        <f t="shared" si="184"/>
        <v>0</v>
      </c>
      <c r="K107" s="17">
        <f t="shared" si="184"/>
        <v>0</v>
      </c>
      <c r="L107" s="17">
        <f t="shared" si="184"/>
        <v>0</v>
      </c>
      <c r="M107" s="17">
        <f t="shared" si="184"/>
        <v>0</v>
      </c>
      <c r="N107" s="17">
        <f t="shared" si="184"/>
        <v>0</v>
      </c>
      <c r="O107" s="17">
        <f t="shared" si="184"/>
        <v>0</v>
      </c>
      <c r="P107" s="17">
        <f t="shared" si="184"/>
        <v>0</v>
      </c>
      <c r="Q107" s="17">
        <f t="shared" si="184"/>
        <v>0</v>
      </c>
      <c r="R107" s="17">
        <f t="shared" si="184"/>
        <v>0</v>
      </c>
      <c r="S107" s="17">
        <f t="shared" si="184"/>
        <v>0</v>
      </c>
      <c r="T107" s="17">
        <f t="shared" si="184"/>
        <v>0</v>
      </c>
      <c r="U107" s="17">
        <f t="shared" si="184"/>
        <v>0</v>
      </c>
      <c r="V107" s="17">
        <f t="shared" si="184"/>
        <v>0</v>
      </c>
      <c r="W107" s="17">
        <f t="shared" si="184"/>
        <v>0</v>
      </c>
      <c r="X107" s="17">
        <f t="shared" si="184"/>
        <v>0</v>
      </c>
      <c r="Y107" s="17">
        <f t="shared" si="184"/>
        <v>0</v>
      </c>
      <c r="Z107" s="17">
        <f t="shared" si="184"/>
        <v>0</v>
      </c>
      <c r="AA107" s="17">
        <f t="shared" si="184"/>
        <v>0</v>
      </c>
      <c r="AB107" s="17">
        <f t="shared" si="184"/>
        <v>0</v>
      </c>
      <c r="AC107" s="17">
        <f t="shared" si="184"/>
        <v>0</v>
      </c>
      <c r="AD107" s="17">
        <f t="shared" si="184"/>
        <v>0</v>
      </c>
      <c r="AE107" s="17">
        <f t="shared" si="184"/>
        <v>0</v>
      </c>
      <c r="AF107" s="17">
        <f t="shared" si="184"/>
        <v>0</v>
      </c>
      <c r="AG107" s="17">
        <f t="shared" si="184"/>
        <v>0</v>
      </c>
      <c r="AH107" s="17">
        <f t="shared" si="184"/>
        <v>0</v>
      </c>
      <c r="AI107" s="17">
        <f t="shared" si="184"/>
        <v>0</v>
      </c>
      <c r="AJ107" s="17">
        <f t="shared" si="184"/>
        <v>0</v>
      </c>
      <c r="AK107" s="17">
        <f t="shared" si="184"/>
        <v>0</v>
      </c>
      <c r="AL107" s="17">
        <f t="shared" si="184"/>
        <v>0</v>
      </c>
      <c r="AM107" s="17">
        <f t="shared" si="184"/>
        <v>0</v>
      </c>
      <c r="AN107" s="17">
        <f t="shared" si="184"/>
        <v>0</v>
      </c>
      <c r="AO107" s="17">
        <f t="shared" si="184"/>
        <v>0</v>
      </c>
      <c r="AP107" s="17">
        <f t="shared" si="184"/>
        <v>0</v>
      </c>
      <c r="AQ107" s="17">
        <f t="shared" si="184"/>
        <v>0</v>
      </c>
      <c r="AR107" s="17">
        <f t="shared" si="184"/>
        <v>0</v>
      </c>
      <c r="AS107" s="17">
        <f t="shared" si="184"/>
        <v>0</v>
      </c>
      <c r="AT107" s="17"/>
      <c r="AU107" s="17"/>
      <c r="AV107" s="17">
        <f t="shared" si="184"/>
        <v>0</v>
      </c>
      <c r="AW107" s="17">
        <f t="shared" si="184"/>
        <v>0</v>
      </c>
      <c r="AX107" s="17">
        <f t="shared" si="184"/>
        <v>0</v>
      </c>
      <c r="AY107" s="17"/>
      <c r="AZ107" s="17">
        <f t="shared" si="184"/>
        <v>0</v>
      </c>
      <c r="BA107" s="17">
        <f t="shared" si="184"/>
        <v>209509563</v>
      </c>
      <c r="BB107" s="17">
        <f t="shared" si="184"/>
        <v>209509563</v>
      </c>
      <c r="BC107" s="17">
        <f t="shared" si="184"/>
        <v>209509563</v>
      </c>
      <c r="BD107" s="17">
        <f t="shared" si="184"/>
        <v>0</v>
      </c>
      <c r="BE107" s="17">
        <f t="shared" si="184"/>
        <v>0</v>
      </c>
      <c r="BF107" s="17">
        <f t="shared" si="184"/>
        <v>0</v>
      </c>
      <c r="BG107" s="17">
        <f t="shared" si="184"/>
        <v>0</v>
      </c>
      <c r="BH107" s="17">
        <f t="shared" si="184"/>
        <v>0</v>
      </c>
      <c r="BI107" s="17">
        <f t="shared" si="184"/>
        <v>0</v>
      </c>
      <c r="BJ107" s="17">
        <f t="shared" si="184"/>
        <v>0</v>
      </c>
      <c r="BK107" s="17">
        <f t="shared" si="184"/>
        <v>0</v>
      </c>
      <c r="BL107" s="17">
        <f t="shared" si="184"/>
        <v>0</v>
      </c>
      <c r="BM107" s="17">
        <f t="shared" si="184"/>
        <v>0</v>
      </c>
      <c r="BN107" s="17">
        <f t="shared" si="184"/>
        <v>0</v>
      </c>
      <c r="BO107" s="17">
        <f t="shared" si="184"/>
        <v>0</v>
      </c>
      <c r="BP107" s="17">
        <f t="shared" si="184"/>
        <v>0</v>
      </c>
      <c r="BQ107" s="17">
        <f t="shared" si="184"/>
        <v>0</v>
      </c>
      <c r="BR107" s="17">
        <f t="shared" si="184"/>
        <v>0</v>
      </c>
      <c r="BS107" s="17">
        <f t="shared" si="184"/>
        <v>0</v>
      </c>
      <c r="BT107" s="17">
        <f t="shared" si="184"/>
        <v>0</v>
      </c>
      <c r="BU107" s="17">
        <f t="shared" si="184"/>
        <v>0</v>
      </c>
      <c r="BV107" s="17">
        <f t="shared" si="185"/>
        <v>0</v>
      </c>
      <c r="BW107" s="17">
        <f t="shared" si="185"/>
        <v>0</v>
      </c>
      <c r="BX107" s="17">
        <f t="shared" si="185"/>
        <v>0</v>
      </c>
      <c r="BY107" s="17">
        <f t="shared" si="185"/>
        <v>0</v>
      </c>
      <c r="BZ107" s="17">
        <f t="shared" si="185"/>
        <v>0</v>
      </c>
      <c r="CA107" s="17">
        <f t="shared" si="185"/>
        <v>0</v>
      </c>
      <c r="CB107" s="17">
        <f t="shared" si="185"/>
        <v>0</v>
      </c>
      <c r="CC107" s="17">
        <f t="shared" si="185"/>
        <v>0</v>
      </c>
      <c r="CD107" s="17">
        <f t="shared" si="185"/>
        <v>0</v>
      </c>
      <c r="CE107" s="17">
        <f t="shared" si="185"/>
        <v>0</v>
      </c>
      <c r="CF107" s="17">
        <f t="shared" si="185"/>
        <v>0</v>
      </c>
      <c r="CG107" s="17">
        <f t="shared" si="185"/>
        <v>0</v>
      </c>
      <c r="CH107" s="17">
        <f t="shared" si="185"/>
        <v>0</v>
      </c>
      <c r="CI107" s="17">
        <f t="shared" si="185"/>
        <v>0</v>
      </c>
      <c r="CJ107" s="17">
        <f t="shared" si="185"/>
        <v>0</v>
      </c>
      <c r="CK107" s="17">
        <f t="shared" si="185"/>
        <v>0</v>
      </c>
      <c r="CL107" s="17">
        <f t="shared" si="185"/>
        <v>0</v>
      </c>
      <c r="CM107" s="17">
        <f t="shared" si="185"/>
        <v>0</v>
      </c>
      <c r="CN107" s="17">
        <f t="shared" si="185"/>
        <v>0</v>
      </c>
      <c r="CO107" s="64"/>
      <c r="CP107" s="64"/>
      <c r="CQ107" s="64"/>
      <c r="CR107" s="64"/>
    </row>
    <row r="108" spans="1:198" s="68" customFormat="1" ht="15.6" x14ac:dyDescent="0.3">
      <c r="A108" s="92" t="s">
        <v>1</v>
      </c>
      <c r="B108" s="62" t="s">
        <v>50</v>
      </c>
      <c r="C108" s="63" t="s">
        <v>162</v>
      </c>
      <c r="D108" s="65">
        <f>SUM(E108+CA108)</f>
        <v>209509563</v>
      </c>
      <c r="E108" s="65">
        <f>SUM(F108+BA108)</f>
        <v>209509563</v>
      </c>
      <c r="F108" s="65">
        <f>SUM(G108+H108+I108+P108+S108+T108+U108+AE108+AD108)</f>
        <v>0</v>
      </c>
      <c r="G108" s="65">
        <v>0</v>
      </c>
      <c r="H108" s="65">
        <v>0</v>
      </c>
      <c r="I108" s="65">
        <f t="shared" si="120"/>
        <v>0</v>
      </c>
      <c r="J108" s="65">
        <v>0</v>
      </c>
      <c r="K108" s="65">
        <v>0</v>
      </c>
      <c r="L108" s="65">
        <v>0</v>
      </c>
      <c r="M108" s="65">
        <v>0</v>
      </c>
      <c r="N108" s="65">
        <v>0</v>
      </c>
      <c r="O108" s="65">
        <v>0</v>
      </c>
      <c r="P108" s="65">
        <f t="shared" si="121"/>
        <v>0</v>
      </c>
      <c r="Q108" s="65">
        <v>0</v>
      </c>
      <c r="R108" s="65">
        <v>0</v>
      </c>
      <c r="S108" s="65">
        <v>0</v>
      </c>
      <c r="T108" s="65">
        <v>0</v>
      </c>
      <c r="U108" s="65">
        <f>SUM(V108:AC108)</f>
        <v>0</v>
      </c>
      <c r="V108" s="65">
        <v>0</v>
      </c>
      <c r="W108" s="65">
        <v>0</v>
      </c>
      <c r="X108" s="65">
        <v>0</v>
      </c>
      <c r="Y108" s="65">
        <v>0</v>
      </c>
      <c r="Z108" s="65">
        <v>0</v>
      </c>
      <c r="AA108" s="65">
        <v>0</v>
      </c>
      <c r="AB108" s="65">
        <v>0</v>
      </c>
      <c r="AC108" s="65">
        <v>0</v>
      </c>
      <c r="AD108" s="65">
        <v>0</v>
      </c>
      <c r="AE108" s="65">
        <f>SUM(AF108:AZ108)</f>
        <v>0</v>
      </c>
      <c r="AF108" s="65">
        <v>0</v>
      </c>
      <c r="AG108" s="65">
        <v>0</v>
      </c>
      <c r="AH108" s="65">
        <v>0</v>
      </c>
      <c r="AI108" s="65">
        <v>0</v>
      </c>
      <c r="AJ108" s="65">
        <v>0</v>
      </c>
      <c r="AK108" s="65">
        <v>0</v>
      </c>
      <c r="AL108" s="65">
        <v>0</v>
      </c>
      <c r="AM108" s="65">
        <v>0</v>
      </c>
      <c r="AN108" s="65">
        <v>0</v>
      </c>
      <c r="AO108" s="65">
        <v>0</v>
      </c>
      <c r="AP108" s="65">
        <v>0</v>
      </c>
      <c r="AQ108" s="65">
        <v>0</v>
      </c>
      <c r="AR108" s="65">
        <v>0</v>
      </c>
      <c r="AS108" s="65">
        <v>0</v>
      </c>
      <c r="AT108" s="65"/>
      <c r="AU108" s="65"/>
      <c r="AV108" s="65">
        <v>0</v>
      </c>
      <c r="AW108" s="65">
        <v>0</v>
      </c>
      <c r="AX108" s="65">
        <v>0</v>
      </c>
      <c r="AY108" s="65"/>
      <c r="AZ108" s="65">
        <v>0</v>
      </c>
      <c r="BA108" s="65">
        <f>SUM(BB108+BF108+BJ108+BL108+BO108)</f>
        <v>209509563</v>
      </c>
      <c r="BB108" s="65">
        <f>SUM(BC108:BE108)</f>
        <v>209509563</v>
      </c>
      <c r="BC108" s="65">
        <f>283464734+18033752-220145154+117868312+10287919</f>
        <v>209509563</v>
      </c>
      <c r="BD108" s="65">
        <v>0</v>
      </c>
      <c r="BE108" s="65">
        <v>0</v>
      </c>
      <c r="BF108" s="65">
        <f>SUM(BG108:BI108)</f>
        <v>0</v>
      </c>
      <c r="BG108" s="65">
        <v>0</v>
      </c>
      <c r="BH108" s="65">
        <v>0</v>
      </c>
      <c r="BI108" s="65">
        <v>0</v>
      </c>
      <c r="BJ108" s="65">
        <v>0</v>
      </c>
      <c r="BK108" s="65"/>
      <c r="BL108" s="65">
        <f t="shared" si="122"/>
        <v>0</v>
      </c>
      <c r="BM108" s="65">
        <v>0</v>
      </c>
      <c r="BN108" s="65">
        <v>0</v>
      </c>
      <c r="BO108" s="65">
        <f>SUM(BP108:BZ108)</f>
        <v>0</v>
      </c>
      <c r="BP108" s="65">
        <v>0</v>
      </c>
      <c r="BQ108" s="65">
        <v>0</v>
      </c>
      <c r="BR108" s="65">
        <v>0</v>
      </c>
      <c r="BS108" s="65">
        <v>0</v>
      </c>
      <c r="BT108" s="65">
        <v>0</v>
      </c>
      <c r="BU108" s="65">
        <v>0</v>
      </c>
      <c r="BV108" s="65">
        <v>0</v>
      </c>
      <c r="BW108" s="65">
        <v>0</v>
      </c>
      <c r="BX108" s="65">
        <v>0</v>
      </c>
      <c r="BY108" s="65">
        <v>0</v>
      </c>
      <c r="BZ108" s="65">
        <v>0</v>
      </c>
      <c r="CA108" s="65">
        <f>SUM(CB108+CN108)</f>
        <v>0</v>
      </c>
      <c r="CB108" s="65">
        <f>SUM(CC108+CF108+CK108)</f>
        <v>0</v>
      </c>
      <c r="CC108" s="65">
        <f t="shared" si="123"/>
        <v>0</v>
      </c>
      <c r="CD108" s="65">
        <v>0</v>
      </c>
      <c r="CE108" s="65">
        <v>0</v>
      </c>
      <c r="CF108" s="65">
        <f>SUM(CG108:CJ108)</f>
        <v>0</v>
      </c>
      <c r="CG108" s="65">
        <v>0</v>
      </c>
      <c r="CH108" s="65">
        <v>0</v>
      </c>
      <c r="CI108" s="65">
        <v>0</v>
      </c>
      <c r="CJ108" s="65">
        <v>0</v>
      </c>
      <c r="CK108" s="65">
        <f>SUM(CL108:CM108)</f>
        <v>0</v>
      </c>
      <c r="CL108" s="65">
        <v>0</v>
      </c>
      <c r="CM108" s="65">
        <v>0</v>
      </c>
      <c r="CN108" s="65">
        <v>0</v>
      </c>
      <c r="CO108" s="65"/>
      <c r="CP108" s="65"/>
      <c r="CQ108" s="65"/>
      <c r="CR108" s="65"/>
      <c r="GP108" s="82"/>
    </row>
    <row r="109" spans="1:198" ht="15.6" x14ac:dyDescent="0.3">
      <c r="A109" s="91" t="s">
        <v>163</v>
      </c>
      <c r="B109" s="23" t="s">
        <v>1</v>
      </c>
      <c r="C109" s="24" t="s">
        <v>164</v>
      </c>
      <c r="D109" s="25">
        <f t="shared" ref="D109:AK109" si="190">SUM(D110)</f>
        <v>4540727</v>
      </c>
      <c r="E109" s="25">
        <f t="shared" si="190"/>
        <v>4540727</v>
      </c>
      <c r="F109" s="25">
        <f t="shared" si="190"/>
        <v>4540727</v>
      </c>
      <c r="G109" s="25">
        <f t="shared" si="190"/>
        <v>3691305</v>
      </c>
      <c r="H109" s="25">
        <f t="shared" si="190"/>
        <v>849422</v>
      </c>
      <c r="I109" s="25">
        <f t="shared" si="190"/>
        <v>0</v>
      </c>
      <c r="J109" s="25">
        <f t="shared" si="190"/>
        <v>0</v>
      </c>
      <c r="K109" s="25">
        <f t="shared" si="190"/>
        <v>0</v>
      </c>
      <c r="L109" s="25">
        <f t="shared" si="190"/>
        <v>0</v>
      </c>
      <c r="M109" s="25">
        <f t="shared" si="190"/>
        <v>0</v>
      </c>
      <c r="N109" s="25">
        <f t="shared" si="190"/>
        <v>0</v>
      </c>
      <c r="O109" s="25">
        <f t="shared" si="190"/>
        <v>0</v>
      </c>
      <c r="P109" s="25">
        <f t="shared" si="190"/>
        <v>0</v>
      </c>
      <c r="Q109" s="25">
        <f t="shared" si="190"/>
        <v>0</v>
      </c>
      <c r="R109" s="25">
        <f t="shared" si="190"/>
        <v>0</v>
      </c>
      <c r="S109" s="25">
        <f t="shared" si="190"/>
        <v>0</v>
      </c>
      <c r="T109" s="25">
        <f t="shared" si="190"/>
        <v>0</v>
      </c>
      <c r="U109" s="25">
        <f t="shared" si="190"/>
        <v>0</v>
      </c>
      <c r="V109" s="25">
        <f t="shared" si="190"/>
        <v>0</v>
      </c>
      <c r="W109" s="25">
        <f t="shared" si="190"/>
        <v>0</v>
      </c>
      <c r="X109" s="25">
        <f t="shared" si="190"/>
        <v>0</v>
      </c>
      <c r="Y109" s="25">
        <f t="shared" si="190"/>
        <v>0</v>
      </c>
      <c r="Z109" s="25">
        <f t="shared" si="190"/>
        <v>0</v>
      </c>
      <c r="AA109" s="25">
        <f t="shared" si="190"/>
        <v>0</v>
      </c>
      <c r="AB109" s="25">
        <f t="shared" si="190"/>
        <v>0</v>
      </c>
      <c r="AC109" s="25">
        <f t="shared" si="190"/>
        <v>0</v>
      </c>
      <c r="AD109" s="25">
        <f t="shared" si="190"/>
        <v>0</v>
      </c>
      <c r="AE109" s="25">
        <f t="shared" si="190"/>
        <v>0</v>
      </c>
      <c r="AF109" s="25">
        <f t="shared" si="190"/>
        <v>0</v>
      </c>
      <c r="AG109" s="25">
        <f t="shared" si="190"/>
        <v>0</v>
      </c>
      <c r="AH109" s="25">
        <f t="shared" si="190"/>
        <v>0</v>
      </c>
      <c r="AI109" s="25">
        <f t="shared" si="190"/>
        <v>0</v>
      </c>
      <c r="AJ109" s="25">
        <f t="shared" si="190"/>
        <v>0</v>
      </c>
      <c r="AK109" s="25">
        <f t="shared" si="190"/>
        <v>0</v>
      </c>
      <c r="AL109" s="25">
        <f t="shared" ref="AL109:CR109" si="191">SUM(AL110)</f>
        <v>0</v>
      </c>
      <c r="AM109" s="25">
        <f t="shared" si="191"/>
        <v>0</v>
      </c>
      <c r="AN109" s="25">
        <f t="shared" si="191"/>
        <v>0</v>
      </c>
      <c r="AO109" s="25">
        <f t="shared" si="191"/>
        <v>0</v>
      </c>
      <c r="AP109" s="25">
        <f t="shared" si="191"/>
        <v>0</v>
      </c>
      <c r="AQ109" s="25">
        <f t="shared" si="191"/>
        <v>0</v>
      </c>
      <c r="AR109" s="25">
        <f t="shared" si="191"/>
        <v>0</v>
      </c>
      <c r="AS109" s="25">
        <f t="shared" si="191"/>
        <v>0</v>
      </c>
      <c r="AT109" s="25"/>
      <c r="AU109" s="25"/>
      <c r="AV109" s="25">
        <f t="shared" si="191"/>
        <v>0</v>
      </c>
      <c r="AW109" s="25">
        <f t="shared" si="191"/>
        <v>0</v>
      </c>
      <c r="AX109" s="25">
        <f t="shared" si="191"/>
        <v>0</v>
      </c>
      <c r="AY109" s="25"/>
      <c r="AZ109" s="25">
        <f t="shared" si="191"/>
        <v>0</v>
      </c>
      <c r="BA109" s="25">
        <f t="shared" si="191"/>
        <v>0</v>
      </c>
      <c r="BB109" s="25">
        <f t="shared" si="191"/>
        <v>0</v>
      </c>
      <c r="BC109" s="25">
        <f t="shared" si="191"/>
        <v>0</v>
      </c>
      <c r="BD109" s="25">
        <f t="shared" si="191"/>
        <v>0</v>
      </c>
      <c r="BE109" s="25">
        <f t="shared" si="191"/>
        <v>0</v>
      </c>
      <c r="BF109" s="25">
        <f t="shared" si="191"/>
        <v>0</v>
      </c>
      <c r="BG109" s="25">
        <f t="shared" si="191"/>
        <v>0</v>
      </c>
      <c r="BH109" s="25">
        <f t="shared" si="191"/>
        <v>0</v>
      </c>
      <c r="BI109" s="25">
        <f t="shared" si="191"/>
        <v>0</v>
      </c>
      <c r="BJ109" s="25">
        <f t="shared" si="191"/>
        <v>0</v>
      </c>
      <c r="BK109" s="25">
        <f t="shared" si="191"/>
        <v>0</v>
      </c>
      <c r="BL109" s="25">
        <f t="shared" si="191"/>
        <v>0</v>
      </c>
      <c r="BM109" s="25">
        <f t="shared" si="191"/>
        <v>0</v>
      </c>
      <c r="BN109" s="25">
        <f t="shared" si="191"/>
        <v>0</v>
      </c>
      <c r="BO109" s="25">
        <f t="shared" si="191"/>
        <v>0</v>
      </c>
      <c r="BP109" s="25">
        <f t="shared" si="191"/>
        <v>0</v>
      </c>
      <c r="BQ109" s="25">
        <f t="shared" si="191"/>
        <v>0</v>
      </c>
      <c r="BR109" s="25">
        <f t="shared" si="191"/>
        <v>0</v>
      </c>
      <c r="BS109" s="25">
        <f t="shared" si="191"/>
        <v>0</v>
      </c>
      <c r="BT109" s="25">
        <f t="shared" si="191"/>
        <v>0</v>
      </c>
      <c r="BU109" s="25">
        <f t="shared" si="191"/>
        <v>0</v>
      </c>
      <c r="BV109" s="25">
        <f t="shared" si="191"/>
        <v>0</v>
      </c>
      <c r="BW109" s="25">
        <f t="shared" si="191"/>
        <v>0</v>
      </c>
      <c r="BX109" s="25">
        <f t="shared" si="191"/>
        <v>0</v>
      </c>
      <c r="BY109" s="25">
        <f t="shared" si="191"/>
        <v>0</v>
      </c>
      <c r="BZ109" s="25">
        <f t="shared" si="191"/>
        <v>0</v>
      </c>
      <c r="CA109" s="25">
        <f t="shared" si="191"/>
        <v>0</v>
      </c>
      <c r="CB109" s="25">
        <f t="shared" si="191"/>
        <v>0</v>
      </c>
      <c r="CC109" s="25">
        <f t="shared" si="191"/>
        <v>0</v>
      </c>
      <c r="CD109" s="25">
        <f t="shared" si="191"/>
        <v>0</v>
      </c>
      <c r="CE109" s="25">
        <f t="shared" si="191"/>
        <v>0</v>
      </c>
      <c r="CF109" s="25">
        <f t="shared" si="191"/>
        <v>0</v>
      </c>
      <c r="CG109" s="25">
        <f t="shared" si="191"/>
        <v>0</v>
      </c>
      <c r="CH109" s="25">
        <f t="shared" si="191"/>
        <v>0</v>
      </c>
      <c r="CI109" s="25">
        <f t="shared" si="191"/>
        <v>0</v>
      </c>
      <c r="CJ109" s="25">
        <f t="shared" si="191"/>
        <v>0</v>
      </c>
      <c r="CK109" s="25">
        <f t="shared" si="191"/>
        <v>0</v>
      </c>
      <c r="CL109" s="25">
        <f t="shared" si="191"/>
        <v>0</v>
      </c>
      <c r="CM109" s="25">
        <f t="shared" si="191"/>
        <v>0</v>
      </c>
      <c r="CN109" s="25">
        <f t="shared" si="191"/>
        <v>0</v>
      </c>
      <c r="CO109" s="25">
        <f t="shared" si="191"/>
        <v>0</v>
      </c>
      <c r="CP109" s="25">
        <f t="shared" si="191"/>
        <v>0</v>
      </c>
      <c r="CQ109" s="25">
        <f t="shared" si="191"/>
        <v>0</v>
      </c>
      <c r="CR109" s="25">
        <f t="shared" si="191"/>
        <v>0</v>
      </c>
      <c r="CS109" s="51"/>
      <c r="GP109" s="68"/>
    </row>
    <row r="110" spans="1:198" s="52" customFormat="1" ht="31.2" x14ac:dyDescent="0.3">
      <c r="A110" s="89" t="s">
        <v>165</v>
      </c>
      <c r="B110" s="15" t="s">
        <v>1</v>
      </c>
      <c r="C110" s="16" t="s">
        <v>478</v>
      </c>
      <c r="D110" s="17">
        <f t="shared" ref="D110:AS110" si="192">SUM(D111:D111)</f>
        <v>4540727</v>
      </c>
      <c r="E110" s="18">
        <f t="shared" si="192"/>
        <v>4540727</v>
      </c>
      <c r="F110" s="18">
        <f t="shared" si="192"/>
        <v>4540727</v>
      </c>
      <c r="G110" s="18">
        <f t="shared" si="192"/>
        <v>3691305</v>
      </c>
      <c r="H110" s="18">
        <f t="shared" si="192"/>
        <v>849422</v>
      </c>
      <c r="I110" s="18">
        <f t="shared" si="192"/>
        <v>0</v>
      </c>
      <c r="J110" s="18">
        <f t="shared" si="192"/>
        <v>0</v>
      </c>
      <c r="K110" s="18">
        <f t="shared" si="192"/>
        <v>0</v>
      </c>
      <c r="L110" s="18">
        <f t="shared" si="192"/>
        <v>0</v>
      </c>
      <c r="M110" s="18">
        <f t="shared" si="192"/>
        <v>0</v>
      </c>
      <c r="N110" s="18">
        <f t="shared" si="192"/>
        <v>0</v>
      </c>
      <c r="O110" s="18">
        <f t="shared" si="192"/>
        <v>0</v>
      </c>
      <c r="P110" s="18">
        <f t="shared" si="192"/>
        <v>0</v>
      </c>
      <c r="Q110" s="18">
        <f t="shared" si="192"/>
        <v>0</v>
      </c>
      <c r="R110" s="18">
        <f t="shared" si="192"/>
        <v>0</v>
      </c>
      <c r="S110" s="18">
        <f t="shared" si="192"/>
        <v>0</v>
      </c>
      <c r="T110" s="18">
        <f t="shared" si="192"/>
        <v>0</v>
      </c>
      <c r="U110" s="18">
        <f t="shared" si="192"/>
        <v>0</v>
      </c>
      <c r="V110" s="18">
        <f t="shared" si="192"/>
        <v>0</v>
      </c>
      <c r="W110" s="18">
        <f t="shared" si="192"/>
        <v>0</v>
      </c>
      <c r="X110" s="18">
        <f t="shared" si="192"/>
        <v>0</v>
      </c>
      <c r="Y110" s="18">
        <f t="shared" si="192"/>
        <v>0</v>
      </c>
      <c r="Z110" s="18">
        <f t="shared" si="192"/>
        <v>0</v>
      </c>
      <c r="AA110" s="18">
        <f t="shared" si="192"/>
        <v>0</v>
      </c>
      <c r="AB110" s="18">
        <f t="shared" si="192"/>
        <v>0</v>
      </c>
      <c r="AC110" s="18">
        <f t="shared" si="192"/>
        <v>0</v>
      </c>
      <c r="AD110" s="18">
        <f t="shared" si="192"/>
        <v>0</v>
      </c>
      <c r="AE110" s="18">
        <f t="shared" si="192"/>
        <v>0</v>
      </c>
      <c r="AF110" s="18">
        <f t="shared" si="192"/>
        <v>0</v>
      </c>
      <c r="AG110" s="18">
        <f t="shared" si="192"/>
        <v>0</v>
      </c>
      <c r="AH110" s="18">
        <f t="shared" si="192"/>
        <v>0</v>
      </c>
      <c r="AI110" s="18">
        <f t="shared" si="192"/>
        <v>0</v>
      </c>
      <c r="AJ110" s="18">
        <f t="shared" si="192"/>
        <v>0</v>
      </c>
      <c r="AK110" s="18">
        <f t="shared" si="192"/>
        <v>0</v>
      </c>
      <c r="AL110" s="18">
        <f t="shared" si="192"/>
        <v>0</v>
      </c>
      <c r="AM110" s="18">
        <f t="shared" si="192"/>
        <v>0</v>
      </c>
      <c r="AN110" s="18">
        <f t="shared" si="192"/>
        <v>0</v>
      </c>
      <c r="AO110" s="18">
        <f t="shared" si="192"/>
        <v>0</v>
      </c>
      <c r="AP110" s="18">
        <f t="shared" si="192"/>
        <v>0</v>
      </c>
      <c r="AQ110" s="18">
        <f t="shared" si="192"/>
        <v>0</v>
      </c>
      <c r="AR110" s="18">
        <f t="shared" si="192"/>
        <v>0</v>
      </c>
      <c r="AS110" s="18">
        <f t="shared" si="192"/>
        <v>0</v>
      </c>
      <c r="AT110" s="18"/>
      <c r="AU110" s="18"/>
      <c r="AV110" s="18">
        <f>SUM(AV111:AV111)</f>
        <v>0</v>
      </c>
      <c r="AW110" s="18">
        <f>SUM(AW111:AW111)</f>
        <v>0</v>
      </c>
      <c r="AX110" s="18">
        <f>SUM(AX111:AX111)</f>
        <v>0</v>
      </c>
      <c r="AY110" s="18"/>
      <c r="AZ110" s="18">
        <f t="shared" ref="AZ110:CM110" si="193">SUM(AZ111:AZ111)</f>
        <v>0</v>
      </c>
      <c r="BA110" s="18">
        <f t="shared" si="193"/>
        <v>0</v>
      </c>
      <c r="BB110" s="18">
        <f t="shared" si="193"/>
        <v>0</v>
      </c>
      <c r="BC110" s="18">
        <f t="shared" si="193"/>
        <v>0</v>
      </c>
      <c r="BD110" s="18">
        <f t="shared" si="193"/>
        <v>0</v>
      </c>
      <c r="BE110" s="18">
        <f t="shared" si="193"/>
        <v>0</v>
      </c>
      <c r="BF110" s="18">
        <f t="shared" si="193"/>
        <v>0</v>
      </c>
      <c r="BG110" s="18">
        <f t="shared" si="193"/>
        <v>0</v>
      </c>
      <c r="BH110" s="18">
        <f t="shared" si="193"/>
        <v>0</v>
      </c>
      <c r="BI110" s="18">
        <f t="shared" si="193"/>
        <v>0</v>
      </c>
      <c r="BJ110" s="18">
        <f t="shared" si="193"/>
        <v>0</v>
      </c>
      <c r="BK110" s="18">
        <f t="shared" si="193"/>
        <v>0</v>
      </c>
      <c r="BL110" s="18">
        <f t="shared" si="193"/>
        <v>0</v>
      </c>
      <c r="BM110" s="18">
        <f t="shared" si="193"/>
        <v>0</v>
      </c>
      <c r="BN110" s="18">
        <f t="shared" si="193"/>
        <v>0</v>
      </c>
      <c r="BO110" s="18">
        <f t="shared" si="193"/>
        <v>0</v>
      </c>
      <c r="BP110" s="18">
        <f t="shared" si="193"/>
        <v>0</v>
      </c>
      <c r="BQ110" s="18">
        <f t="shared" si="193"/>
        <v>0</v>
      </c>
      <c r="BR110" s="18">
        <f t="shared" si="193"/>
        <v>0</v>
      </c>
      <c r="BS110" s="18">
        <f t="shared" si="193"/>
        <v>0</v>
      </c>
      <c r="BT110" s="18">
        <f t="shared" si="193"/>
        <v>0</v>
      </c>
      <c r="BU110" s="18">
        <f t="shared" si="193"/>
        <v>0</v>
      </c>
      <c r="BV110" s="18">
        <f t="shared" si="193"/>
        <v>0</v>
      </c>
      <c r="BW110" s="18">
        <f t="shared" si="193"/>
        <v>0</v>
      </c>
      <c r="BX110" s="18">
        <f t="shared" si="193"/>
        <v>0</v>
      </c>
      <c r="BY110" s="18">
        <f t="shared" si="193"/>
        <v>0</v>
      </c>
      <c r="BZ110" s="18">
        <f t="shared" si="193"/>
        <v>0</v>
      </c>
      <c r="CA110" s="18">
        <f t="shared" si="193"/>
        <v>0</v>
      </c>
      <c r="CB110" s="18">
        <f t="shared" si="193"/>
        <v>0</v>
      </c>
      <c r="CC110" s="18">
        <f t="shared" si="193"/>
        <v>0</v>
      </c>
      <c r="CD110" s="18">
        <f t="shared" si="193"/>
        <v>0</v>
      </c>
      <c r="CE110" s="18">
        <f t="shared" si="193"/>
        <v>0</v>
      </c>
      <c r="CF110" s="18">
        <f t="shared" si="193"/>
        <v>0</v>
      </c>
      <c r="CG110" s="18">
        <f t="shared" si="193"/>
        <v>0</v>
      </c>
      <c r="CH110" s="18">
        <f t="shared" si="193"/>
        <v>0</v>
      </c>
      <c r="CI110" s="18">
        <f t="shared" si="193"/>
        <v>0</v>
      </c>
      <c r="CJ110" s="18">
        <f t="shared" si="193"/>
        <v>0</v>
      </c>
      <c r="CK110" s="18">
        <f t="shared" si="193"/>
        <v>0</v>
      </c>
      <c r="CL110" s="18">
        <f t="shared" si="193"/>
        <v>0</v>
      </c>
      <c r="CM110" s="18">
        <f t="shared" si="193"/>
        <v>0</v>
      </c>
      <c r="CN110" s="18">
        <f t="shared" ref="CN110" si="194">SUM(CN111:CN111)</f>
        <v>0</v>
      </c>
      <c r="CO110" s="65"/>
      <c r="CP110" s="65"/>
      <c r="CQ110" s="65"/>
      <c r="CR110" s="65"/>
      <c r="CS110" s="46"/>
      <c r="GP110" s="51"/>
    </row>
    <row r="111" spans="1:198" ht="15.6" x14ac:dyDescent="0.3">
      <c r="A111" s="90" t="s">
        <v>1</v>
      </c>
      <c r="B111" s="19" t="s">
        <v>62</v>
      </c>
      <c r="C111" s="20" t="s">
        <v>479</v>
      </c>
      <c r="D111" s="18">
        <f>SUM(E111+CA111)</f>
        <v>4540727</v>
      </c>
      <c r="E111" s="18">
        <f>SUM(F111+BA111)</f>
        <v>4540727</v>
      </c>
      <c r="F111" s="18">
        <f>SUM(G111+H111+I111+P111+S111+T111+U111+AE111+AD111)</f>
        <v>4540727</v>
      </c>
      <c r="G111" s="21">
        <v>3691305</v>
      </c>
      <c r="H111" s="21">
        <v>849422</v>
      </c>
      <c r="I111" s="18">
        <f t="shared" si="120"/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f t="shared" si="121"/>
        <v>0</v>
      </c>
      <c r="Q111" s="18">
        <v>0</v>
      </c>
      <c r="R111" s="18">
        <v>0</v>
      </c>
      <c r="S111" s="18">
        <v>0</v>
      </c>
      <c r="T111" s="18"/>
      <c r="U111" s="18">
        <f t="shared" ref="U111" si="195">SUM(V111:AC111)</f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f>SUM(AF111:AZ111)</f>
        <v>0</v>
      </c>
      <c r="AF111" s="18">
        <v>0</v>
      </c>
      <c r="AG111" s="18">
        <v>0</v>
      </c>
      <c r="AH111" s="18">
        <v>0</v>
      </c>
      <c r="AI111" s="18">
        <v>0</v>
      </c>
      <c r="AJ111" s="18">
        <v>0</v>
      </c>
      <c r="AK111" s="18">
        <v>0</v>
      </c>
      <c r="AL111" s="18">
        <v>0</v>
      </c>
      <c r="AM111" s="18">
        <v>0</v>
      </c>
      <c r="AN111" s="18">
        <v>0</v>
      </c>
      <c r="AO111" s="18">
        <v>0</v>
      </c>
      <c r="AP111" s="18">
        <v>0</v>
      </c>
      <c r="AQ111" s="18">
        <v>0</v>
      </c>
      <c r="AR111" s="18">
        <v>0</v>
      </c>
      <c r="AS111" s="18">
        <v>0</v>
      </c>
      <c r="AT111" s="18"/>
      <c r="AU111" s="18"/>
      <c r="AV111" s="18">
        <v>0</v>
      </c>
      <c r="AW111" s="18">
        <v>0</v>
      </c>
      <c r="AX111" s="18">
        <v>0</v>
      </c>
      <c r="AY111" s="18"/>
      <c r="AZ111" s="18">
        <v>0</v>
      </c>
      <c r="BA111" s="18">
        <f>SUM(BB111+BF111+BJ111+BL111+BO111)</f>
        <v>0</v>
      </c>
      <c r="BB111" s="18">
        <f>SUM(BC111:BE111)</f>
        <v>0</v>
      </c>
      <c r="BC111" s="18">
        <v>0</v>
      </c>
      <c r="BD111" s="18">
        <v>0</v>
      </c>
      <c r="BE111" s="18">
        <v>0</v>
      </c>
      <c r="BF111" s="18">
        <f>SUM(BG111:BI111)</f>
        <v>0</v>
      </c>
      <c r="BG111" s="18">
        <v>0</v>
      </c>
      <c r="BH111" s="18">
        <v>0</v>
      </c>
      <c r="BI111" s="18">
        <v>0</v>
      </c>
      <c r="BJ111" s="18">
        <v>0</v>
      </c>
      <c r="BK111" s="18">
        <v>0</v>
      </c>
      <c r="BL111" s="18">
        <f t="shared" si="122"/>
        <v>0</v>
      </c>
      <c r="BM111" s="18">
        <v>0</v>
      </c>
      <c r="BN111" s="18">
        <v>0</v>
      </c>
      <c r="BO111" s="18">
        <f>SUM(BP111:BZ111)</f>
        <v>0</v>
      </c>
      <c r="BP111" s="18">
        <v>0</v>
      </c>
      <c r="BQ111" s="18">
        <v>0</v>
      </c>
      <c r="BR111" s="18">
        <v>0</v>
      </c>
      <c r="BS111" s="18">
        <v>0</v>
      </c>
      <c r="BT111" s="18">
        <v>0</v>
      </c>
      <c r="BU111" s="18">
        <v>0</v>
      </c>
      <c r="BV111" s="18">
        <v>0</v>
      </c>
      <c r="BW111" s="18">
        <v>0</v>
      </c>
      <c r="BX111" s="18">
        <v>0</v>
      </c>
      <c r="BY111" s="18">
        <v>0</v>
      </c>
      <c r="BZ111" s="18">
        <v>0</v>
      </c>
      <c r="CA111" s="18">
        <f>SUM(CB111+CN111)</f>
        <v>0</v>
      </c>
      <c r="CB111" s="18">
        <f>SUM(CC111+CF111+CK111)</f>
        <v>0</v>
      </c>
      <c r="CC111" s="18">
        <f t="shared" si="123"/>
        <v>0</v>
      </c>
      <c r="CD111" s="18">
        <v>0</v>
      </c>
      <c r="CE111" s="18">
        <v>0</v>
      </c>
      <c r="CF111" s="18">
        <f>SUM(CG111:CJ111)</f>
        <v>0</v>
      </c>
      <c r="CG111" s="18">
        <v>0</v>
      </c>
      <c r="CH111" s="18">
        <v>0</v>
      </c>
      <c r="CI111" s="18">
        <v>0</v>
      </c>
      <c r="CJ111" s="18">
        <v>0</v>
      </c>
      <c r="CK111" s="18">
        <f>SUM(CL111:CM111)</f>
        <v>0</v>
      </c>
      <c r="CL111" s="18">
        <v>0</v>
      </c>
      <c r="CM111" s="18">
        <v>0</v>
      </c>
      <c r="CN111" s="18">
        <v>0</v>
      </c>
      <c r="CO111" s="65"/>
      <c r="CP111" s="65"/>
      <c r="CQ111" s="65"/>
      <c r="CR111" s="65"/>
      <c r="CS111" s="46"/>
      <c r="GP111" s="68"/>
    </row>
    <row r="112" spans="1:198" ht="46.8" x14ac:dyDescent="0.3">
      <c r="A112" s="91" t="s">
        <v>166</v>
      </c>
      <c r="B112" s="23" t="s">
        <v>1</v>
      </c>
      <c r="C112" s="24" t="s">
        <v>167</v>
      </c>
      <c r="D112" s="25">
        <f>SUM(D113+D115+D117)</f>
        <v>15204028</v>
      </c>
      <c r="E112" s="25">
        <f t="shared" ref="E112:BR112" si="196">SUM(E113+E115+E117)</f>
        <v>15204028</v>
      </c>
      <c r="F112" s="25">
        <f t="shared" si="196"/>
        <v>15204028</v>
      </c>
      <c r="G112" s="25">
        <f t="shared" si="196"/>
        <v>3891282</v>
      </c>
      <c r="H112" s="25">
        <f t="shared" si="196"/>
        <v>967704</v>
      </c>
      <c r="I112" s="25">
        <f t="shared" si="196"/>
        <v>8409</v>
      </c>
      <c r="J112" s="25">
        <f t="shared" si="196"/>
        <v>0</v>
      </c>
      <c r="K112" s="25">
        <f t="shared" si="196"/>
        <v>0</v>
      </c>
      <c r="L112" s="25">
        <f t="shared" si="196"/>
        <v>0</v>
      </c>
      <c r="M112" s="25">
        <f t="shared" si="196"/>
        <v>0</v>
      </c>
      <c r="N112" s="25">
        <f t="shared" si="196"/>
        <v>8409</v>
      </c>
      <c r="O112" s="25">
        <f t="shared" si="196"/>
        <v>0</v>
      </c>
      <c r="P112" s="25">
        <f t="shared" si="196"/>
        <v>0</v>
      </c>
      <c r="Q112" s="25">
        <f t="shared" si="196"/>
        <v>0</v>
      </c>
      <c r="R112" s="25">
        <f t="shared" si="196"/>
        <v>0</v>
      </c>
      <c r="S112" s="25">
        <f t="shared" si="196"/>
        <v>0</v>
      </c>
      <c r="T112" s="25">
        <f t="shared" si="196"/>
        <v>31000</v>
      </c>
      <c r="U112" s="25">
        <f t="shared" si="196"/>
        <v>71772</v>
      </c>
      <c r="V112" s="25">
        <f t="shared" si="196"/>
        <v>0</v>
      </c>
      <c r="W112" s="25">
        <f t="shared" si="196"/>
        <v>13567</v>
      </c>
      <c r="X112" s="25">
        <f t="shared" si="196"/>
        <v>58205</v>
      </c>
      <c r="Y112" s="25">
        <f t="shared" si="196"/>
        <v>0</v>
      </c>
      <c r="Z112" s="25">
        <f t="shared" si="196"/>
        <v>0</v>
      </c>
      <c r="AA112" s="25">
        <f t="shared" si="196"/>
        <v>0</v>
      </c>
      <c r="AB112" s="25">
        <f t="shared" si="196"/>
        <v>0</v>
      </c>
      <c r="AC112" s="25">
        <f t="shared" si="196"/>
        <v>0</v>
      </c>
      <c r="AD112" s="25">
        <f t="shared" si="196"/>
        <v>0</v>
      </c>
      <c r="AE112" s="25">
        <f t="shared" si="196"/>
        <v>10233861</v>
      </c>
      <c r="AF112" s="25">
        <f t="shared" si="196"/>
        <v>0</v>
      </c>
      <c r="AG112" s="25">
        <f t="shared" si="196"/>
        <v>0</v>
      </c>
      <c r="AH112" s="25">
        <f t="shared" si="196"/>
        <v>0</v>
      </c>
      <c r="AI112" s="25">
        <f t="shared" si="196"/>
        <v>0</v>
      </c>
      <c r="AJ112" s="25">
        <f t="shared" si="196"/>
        <v>0</v>
      </c>
      <c r="AK112" s="25">
        <f t="shared" si="196"/>
        <v>0</v>
      </c>
      <c r="AL112" s="25">
        <f t="shared" si="196"/>
        <v>0</v>
      </c>
      <c r="AM112" s="25">
        <f t="shared" si="196"/>
        <v>0</v>
      </c>
      <c r="AN112" s="25">
        <f t="shared" si="196"/>
        <v>0</v>
      </c>
      <c r="AO112" s="25">
        <f t="shared" si="196"/>
        <v>0</v>
      </c>
      <c r="AP112" s="25">
        <f t="shared" si="196"/>
        <v>0</v>
      </c>
      <c r="AQ112" s="25">
        <f t="shared" si="196"/>
        <v>0</v>
      </c>
      <c r="AR112" s="25">
        <f t="shared" si="196"/>
        <v>0</v>
      </c>
      <c r="AS112" s="25">
        <f t="shared" si="196"/>
        <v>0</v>
      </c>
      <c r="AT112" s="25">
        <f t="shared" si="196"/>
        <v>0</v>
      </c>
      <c r="AU112" s="25">
        <f t="shared" si="196"/>
        <v>0</v>
      </c>
      <c r="AV112" s="25">
        <f t="shared" si="196"/>
        <v>0</v>
      </c>
      <c r="AW112" s="25">
        <f t="shared" si="196"/>
        <v>0</v>
      </c>
      <c r="AX112" s="25">
        <f t="shared" si="196"/>
        <v>0</v>
      </c>
      <c r="AY112" s="25">
        <f t="shared" si="196"/>
        <v>0</v>
      </c>
      <c r="AZ112" s="25">
        <f t="shared" si="196"/>
        <v>10233861</v>
      </c>
      <c r="BA112" s="25">
        <f t="shared" si="196"/>
        <v>0</v>
      </c>
      <c r="BB112" s="25">
        <f t="shared" si="196"/>
        <v>0</v>
      </c>
      <c r="BC112" s="25">
        <f t="shared" si="196"/>
        <v>0</v>
      </c>
      <c r="BD112" s="25">
        <f t="shared" si="196"/>
        <v>0</v>
      </c>
      <c r="BE112" s="25">
        <f t="shared" si="196"/>
        <v>0</v>
      </c>
      <c r="BF112" s="25">
        <f t="shared" si="196"/>
        <v>0</v>
      </c>
      <c r="BG112" s="25">
        <f t="shared" si="196"/>
        <v>0</v>
      </c>
      <c r="BH112" s="25">
        <f t="shared" ref="BH112" si="197">SUM(BH113+BH115+BH117)</f>
        <v>0</v>
      </c>
      <c r="BI112" s="25">
        <f t="shared" si="196"/>
        <v>0</v>
      </c>
      <c r="BJ112" s="25">
        <f t="shared" si="196"/>
        <v>0</v>
      </c>
      <c r="BK112" s="25">
        <f t="shared" ref="BK112" si="198">SUM(BK113+BK115+BK117)</f>
        <v>0</v>
      </c>
      <c r="BL112" s="25">
        <f t="shared" si="196"/>
        <v>0</v>
      </c>
      <c r="BM112" s="25">
        <f t="shared" si="196"/>
        <v>0</v>
      </c>
      <c r="BN112" s="25">
        <f t="shared" si="196"/>
        <v>0</v>
      </c>
      <c r="BO112" s="25">
        <f t="shared" si="196"/>
        <v>0</v>
      </c>
      <c r="BP112" s="25">
        <f t="shared" si="196"/>
        <v>0</v>
      </c>
      <c r="BQ112" s="25">
        <f t="shared" si="196"/>
        <v>0</v>
      </c>
      <c r="BR112" s="25">
        <f t="shared" si="196"/>
        <v>0</v>
      </c>
      <c r="BS112" s="25">
        <f t="shared" ref="BS112:CQ112" si="199">SUM(BS113+BS115+BS117)</f>
        <v>0</v>
      </c>
      <c r="BT112" s="25">
        <f t="shared" si="199"/>
        <v>0</v>
      </c>
      <c r="BU112" s="25">
        <f t="shared" si="199"/>
        <v>0</v>
      </c>
      <c r="BV112" s="25">
        <f t="shared" si="199"/>
        <v>0</v>
      </c>
      <c r="BW112" s="25">
        <f t="shared" si="199"/>
        <v>0</v>
      </c>
      <c r="BX112" s="25">
        <f t="shared" si="199"/>
        <v>0</v>
      </c>
      <c r="BY112" s="25">
        <f t="shared" si="199"/>
        <v>0</v>
      </c>
      <c r="BZ112" s="25">
        <f t="shared" si="199"/>
        <v>0</v>
      </c>
      <c r="CA112" s="25">
        <f t="shared" si="199"/>
        <v>0</v>
      </c>
      <c r="CB112" s="25">
        <f t="shared" si="199"/>
        <v>0</v>
      </c>
      <c r="CC112" s="25">
        <f t="shared" si="199"/>
        <v>0</v>
      </c>
      <c r="CD112" s="25">
        <f t="shared" si="199"/>
        <v>0</v>
      </c>
      <c r="CE112" s="25">
        <f t="shared" si="199"/>
        <v>0</v>
      </c>
      <c r="CF112" s="25">
        <f t="shared" si="199"/>
        <v>0</v>
      </c>
      <c r="CG112" s="25">
        <f t="shared" si="199"/>
        <v>0</v>
      </c>
      <c r="CH112" s="25">
        <f t="shared" si="199"/>
        <v>0</v>
      </c>
      <c r="CI112" s="25">
        <f t="shared" si="199"/>
        <v>0</v>
      </c>
      <c r="CJ112" s="25">
        <f t="shared" si="199"/>
        <v>0</v>
      </c>
      <c r="CK112" s="25">
        <f t="shared" si="199"/>
        <v>0</v>
      </c>
      <c r="CL112" s="25">
        <f t="shared" si="199"/>
        <v>0</v>
      </c>
      <c r="CM112" s="25">
        <f t="shared" si="199"/>
        <v>0</v>
      </c>
      <c r="CN112" s="25">
        <f t="shared" si="199"/>
        <v>0</v>
      </c>
      <c r="CO112" s="25">
        <f t="shared" si="199"/>
        <v>0</v>
      </c>
      <c r="CP112" s="25">
        <f t="shared" si="199"/>
        <v>0</v>
      </c>
      <c r="CQ112" s="25">
        <f t="shared" si="199"/>
        <v>0</v>
      </c>
      <c r="CR112" s="25">
        <f t="shared" ref="CR112" si="200">SUM(CR113+CR115+CR117)</f>
        <v>0</v>
      </c>
      <c r="CS112" s="51"/>
    </row>
    <row r="113" spans="1:198" ht="15.6" x14ac:dyDescent="0.3">
      <c r="A113" s="89" t="s">
        <v>168</v>
      </c>
      <c r="B113" s="15" t="s">
        <v>1</v>
      </c>
      <c r="C113" s="16" t="s">
        <v>169</v>
      </c>
      <c r="D113" s="17">
        <f t="shared" ref="D113:AI113" si="201">SUM(D114:D114)</f>
        <v>8765811</v>
      </c>
      <c r="E113" s="18">
        <f t="shared" si="201"/>
        <v>8765811</v>
      </c>
      <c r="F113" s="18">
        <f t="shared" si="201"/>
        <v>8765811</v>
      </c>
      <c r="G113" s="18">
        <f t="shared" si="201"/>
        <v>0</v>
      </c>
      <c r="H113" s="18">
        <f t="shared" si="201"/>
        <v>0</v>
      </c>
      <c r="I113" s="18">
        <f t="shared" si="201"/>
        <v>0</v>
      </c>
      <c r="J113" s="18">
        <f t="shared" si="201"/>
        <v>0</v>
      </c>
      <c r="K113" s="18">
        <f t="shared" si="201"/>
        <v>0</v>
      </c>
      <c r="L113" s="18">
        <f t="shared" si="201"/>
        <v>0</v>
      </c>
      <c r="M113" s="18">
        <f t="shared" si="201"/>
        <v>0</v>
      </c>
      <c r="N113" s="18">
        <f t="shared" si="201"/>
        <v>0</v>
      </c>
      <c r="O113" s="18">
        <f t="shared" si="201"/>
        <v>0</v>
      </c>
      <c r="P113" s="18">
        <f t="shared" si="201"/>
        <v>0</v>
      </c>
      <c r="Q113" s="18">
        <f t="shared" si="201"/>
        <v>0</v>
      </c>
      <c r="R113" s="18">
        <f t="shared" si="201"/>
        <v>0</v>
      </c>
      <c r="S113" s="18">
        <f t="shared" si="201"/>
        <v>0</v>
      </c>
      <c r="T113" s="18">
        <f t="shared" si="201"/>
        <v>0</v>
      </c>
      <c r="U113" s="18">
        <f t="shared" si="201"/>
        <v>0</v>
      </c>
      <c r="V113" s="18">
        <f t="shared" si="201"/>
        <v>0</v>
      </c>
      <c r="W113" s="18">
        <f t="shared" si="201"/>
        <v>0</v>
      </c>
      <c r="X113" s="18">
        <f t="shared" si="201"/>
        <v>0</v>
      </c>
      <c r="Y113" s="18">
        <f t="shared" si="201"/>
        <v>0</v>
      </c>
      <c r="Z113" s="18">
        <f t="shared" si="201"/>
        <v>0</v>
      </c>
      <c r="AA113" s="18">
        <f t="shared" si="201"/>
        <v>0</v>
      </c>
      <c r="AB113" s="18">
        <f t="shared" si="201"/>
        <v>0</v>
      </c>
      <c r="AC113" s="18">
        <f t="shared" si="201"/>
        <v>0</v>
      </c>
      <c r="AD113" s="18">
        <f t="shared" si="201"/>
        <v>0</v>
      </c>
      <c r="AE113" s="18">
        <f t="shared" si="201"/>
        <v>8765811</v>
      </c>
      <c r="AF113" s="18">
        <f t="shared" si="201"/>
        <v>0</v>
      </c>
      <c r="AG113" s="18">
        <f t="shared" si="201"/>
        <v>0</v>
      </c>
      <c r="AH113" s="18">
        <f t="shared" si="201"/>
        <v>0</v>
      </c>
      <c r="AI113" s="18">
        <f t="shared" si="201"/>
        <v>0</v>
      </c>
      <c r="AJ113" s="18">
        <f t="shared" ref="AJ113:BQ113" si="202">SUM(AJ114:AJ114)</f>
        <v>0</v>
      </c>
      <c r="AK113" s="18">
        <f t="shared" si="202"/>
        <v>0</v>
      </c>
      <c r="AL113" s="18">
        <f t="shared" si="202"/>
        <v>0</v>
      </c>
      <c r="AM113" s="18">
        <f t="shared" si="202"/>
        <v>0</v>
      </c>
      <c r="AN113" s="18">
        <f t="shared" si="202"/>
        <v>0</v>
      </c>
      <c r="AO113" s="18">
        <f t="shared" si="202"/>
        <v>0</v>
      </c>
      <c r="AP113" s="18">
        <f t="shared" si="202"/>
        <v>0</v>
      </c>
      <c r="AQ113" s="18">
        <f t="shared" si="202"/>
        <v>0</v>
      </c>
      <c r="AR113" s="18">
        <f t="shared" si="202"/>
        <v>0</v>
      </c>
      <c r="AS113" s="18">
        <f t="shared" si="202"/>
        <v>0</v>
      </c>
      <c r="AT113" s="18">
        <f t="shared" si="202"/>
        <v>0</v>
      </c>
      <c r="AU113" s="18">
        <f t="shared" si="202"/>
        <v>0</v>
      </c>
      <c r="AV113" s="18">
        <f t="shared" si="202"/>
        <v>0</v>
      </c>
      <c r="AW113" s="18">
        <f t="shared" si="202"/>
        <v>0</v>
      </c>
      <c r="AX113" s="18">
        <f t="shared" si="202"/>
        <v>0</v>
      </c>
      <c r="AY113" s="18">
        <f t="shared" si="202"/>
        <v>0</v>
      </c>
      <c r="AZ113" s="18">
        <f t="shared" si="202"/>
        <v>8765811</v>
      </c>
      <c r="BA113" s="18">
        <f t="shared" si="202"/>
        <v>0</v>
      </c>
      <c r="BB113" s="18">
        <f t="shared" si="202"/>
        <v>0</v>
      </c>
      <c r="BC113" s="18">
        <f t="shared" si="202"/>
        <v>0</v>
      </c>
      <c r="BD113" s="18">
        <f t="shared" si="202"/>
        <v>0</v>
      </c>
      <c r="BE113" s="18">
        <f t="shared" si="202"/>
        <v>0</v>
      </c>
      <c r="BF113" s="18">
        <f t="shared" si="202"/>
        <v>0</v>
      </c>
      <c r="BG113" s="18">
        <f t="shared" si="202"/>
        <v>0</v>
      </c>
      <c r="BH113" s="18">
        <f t="shared" si="202"/>
        <v>0</v>
      </c>
      <c r="BI113" s="18">
        <f t="shared" si="202"/>
        <v>0</v>
      </c>
      <c r="BJ113" s="18">
        <f t="shared" si="202"/>
        <v>0</v>
      </c>
      <c r="BK113" s="18">
        <f t="shared" si="202"/>
        <v>0</v>
      </c>
      <c r="BL113" s="18">
        <f t="shared" si="202"/>
        <v>0</v>
      </c>
      <c r="BM113" s="18">
        <f t="shared" si="202"/>
        <v>0</v>
      </c>
      <c r="BN113" s="18">
        <f t="shared" si="202"/>
        <v>0</v>
      </c>
      <c r="BO113" s="18">
        <f t="shared" si="202"/>
        <v>0</v>
      </c>
      <c r="BP113" s="18">
        <f t="shared" si="202"/>
        <v>0</v>
      </c>
      <c r="BQ113" s="18">
        <f t="shared" si="202"/>
        <v>0</v>
      </c>
      <c r="BR113" s="18">
        <f t="shared" ref="BR113:CN113" si="203">SUM(BR114:BR114)</f>
        <v>0</v>
      </c>
      <c r="BS113" s="18">
        <f t="shared" si="203"/>
        <v>0</v>
      </c>
      <c r="BT113" s="18">
        <f t="shared" si="203"/>
        <v>0</v>
      </c>
      <c r="BU113" s="18">
        <f t="shared" si="203"/>
        <v>0</v>
      </c>
      <c r="BV113" s="18">
        <f t="shared" si="203"/>
        <v>0</v>
      </c>
      <c r="BW113" s="18">
        <f t="shared" si="203"/>
        <v>0</v>
      </c>
      <c r="BX113" s="18">
        <f t="shared" si="203"/>
        <v>0</v>
      </c>
      <c r="BY113" s="18">
        <f t="shared" si="203"/>
        <v>0</v>
      </c>
      <c r="BZ113" s="18">
        <f t="shared" si="203"/>
        <v>0</v>
      </c>
      <c r="CA113" s="18">
        <f t="shared" si="203"/>
        <v>0</v>
      </c>
      <c r="CB113" s="18">
        <f t="shared" si="203"/>
        <v>0</v>
      </c>
      <c r="CC113" s="18">
        <f t="shared" si="203"/>
        <v>0</v>
      </c>
      <c r="CD113" s="18">
        <f t="shared" si="203"/>
        <v>0</v>
      </c>
      <c r="CE113" s="18">
        <f t="shared" si="203"/>
        <v>0</v>
      </c>
      <c r="CF113" s="18">
        <f t="shared" si="203"/>
        <v>0</v>
      </c>
      <c r="CG113" s="18">
        <f t="shared" si="203"/>
        <v>0</v>
      </c>
      <c r="CH113" s="18">
        <f t="shared" si="203"/>
        <v>0</v>
      </c>
      <c r="CI113" s="18">
        <f t="shared" si="203"/>
        <v>0</v>
      </c>
      <c r="CJ113" s="18">
        <f t="shared" si="203"/>
        <v>0</v>
      </c>
      <c r="CK113" s="18">
        <f t="shared" si="203"/>
        <v>0</v>
      </c>
      <c r="CL113" s="18">
        <f t="shared" si="203"/>
        <v>0</v>
      </c>
      <c r="CM113" s="18">
        <f t="shared" si="203"/>
        <v>0</v>
      </c>
      <c r="CN113" s="18">
        <f t="shared" si="203"/>
        <v>0</v>
      </c>
      <c r="CO113" s="65"/>
      <c r="CP113" s="65"/>
      <c r="CQ113" s="65"/>
      <c r="CR113" s="65"/>
      <c r="CS113" s="46"/>
      <c r="GP113" s="52"/>
    </row>
    <row r="114" spans="1:198" ht="31.2" x14ac:dyDescent="0.3">
      <c r="A114" s="90" t="s">
        <v>1</v>
      </c>
      <c r="B114" s="19" t="s">
        <v>70</v>
      </c>
      <c r="C114" s="20" t="s">
        <v>448</v>
      </c>
      <c r="D114" s="18">
        <f>SUM(E114+CA114)</f>
        <v>8765811</v>
      </c>
      <c r="E114" s="18">
        <f>SUM(F114+BA114)</f>
        <v>8765811</v>
      </c>
      <c r="F114" s="18">
        <f>SUM(G114+H114+I114+P114+S114+T114+U114+AE114+AD114)</f>
        <v>8765811</v>
      </c>
      <c r="G114" s="18">
        <v>0</v>
      </c>
      <c r="H114" s="18">
        <v>0</v>
      </c>
      <c r="I114" s="18">
        <f t="shared" ref="I114" si="204">SUM(J114:O114)</f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f t="shared" ref="P114" si="205">SUM(Q114:R114)</f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f>SUM(V114:AC114)</f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f>SUM(AF114:AZ114)</f>
        <v>8765811</v>
      </c>
      <c r="AF114" s="18">
        <v>0</v>
      </c>
      <c r="AG114" s="18">
        <v>0</v>
      </c>
      <c r="AH114" s="18">
        <v>0</v>
      </c>
      <c r="AI114" s="18">
        <v>0</v>
      </c>
      <c r="AJ114" s="18">
        <v>0</v>
      </c>
      <c r="AK114" s="18">
        <v>0</v>
      </c>
      <c r="AL114" s="18">
        <v>0</v>
      </c>
      <c r="AM114" s="18">
        <v>0</v>
      </c>
      <c r="AN114" s="18">
        <v>0</v>
      </c>
      <c r="AO114" s="18">
        <v>0</v>
      </c>
      <c r="AP114" s="18">
        <v>0</v>
      </c>
      <c r="AQ114" s="18">
        <v>0</v>
      </c>
      <c r="AR114" s="18">
        <v>0</v>
      </c>
      <c r="AS114" s="18">
        <v>0</v>
      </c>
      <c r="AT114" s="18">
        <v>0</v>
      </c>
      <c r="AU114" s="18">
        <v>0</v>
      </c>
      <c r="AV114" s="18">
        <v>0</v>
      </c>
      <c r="AW114" s="18">
        <v>0</v>
      </c>
      <c r="AX114" s="18">
        <v>0</v>
      </c>
      <c r="AY114" s="18">
        <v>0</v>
      </c>
      <c r="AZ114" s="21">
        <v>8765811</v>
      </c>
      <c r="BA114" s="18">
        <f>SUM(BB114+BF114+BJ114+BL114+BO114)</f>
        <v>0</v>
      </c>
      <c r="BB114" s="18">
        <f>SUM(BC114:BE114)</f>
        <v>0</v>
      </c>
      <c r="BC114" s="18">
        <v>0</v>
      </c>
      <c r="BD114" s="18">
        <v>0</v>
      </c>
      <c r="BE114" s="18">
        <v>0</v>
      </c>
      <c r="BF114" s="35">
        <f>SUM(BG114:BI114)</f>
        <v>0</v>
      </c>
      <c r="BG114" s="18"/>
      <c r="BH114" s="18">
        <v>0</v>
      </c>
      <c r="BI114" s="18">
        <v>0</v>
      </c>
      <c r="BJ114" s="18">
        <v>0</v>
      </c>
      <c r="BK114" s="18">
        <v>0</v>
      </c>
      <c r="BL114" s="18">
        <f t="shared" ref="BL114" si="206">SUM(BM114)</f>
        <v>0</v>
      </c>
      <c r="BM114" s="18">
        <v>0</v>
      </c>
      <c r="BN114" s="18">
        <v>0</v>
      </c>
      <c r="BO114" s="18">
        <f>SUM(BP114:BZ114)</f>
        <v>0</v>
      </c>
      <c r="BP114" s="18">
        <v>0</v>
      </c>
      <c r="BQ114" s="18">
        <v>0</v>
      </c>
      <c r="BR114" s="18">
        <v>0</v>
      </c>
      <c r="BS114" s="18">
        <v>0</v>
      </c>
      <c r="BT114" s="18">
        <v>0</v>
      </c>
      <c r="BU114" s="18">
        <v>0</v>
      </c>
      <c r="BV114" s="18">
        <v>0</v>
      </c>
      <c r="BW114" s="18">
        <v>0</v>
      </c>
      <c r="BX114" s="18">
        <v>0</v>
      </c>
      <c r="BY114" s="18">
        <v>0</v>
      </c>
      <c r="BZ114" s="18">
        <v>0</v>
      </c>
      <c r="CA114" s="18">
        <f>SUM(CB114+CN114)</f>
        <v>0</v>
      </c>
      <c r="CB114" s="18">
        <f>SUM(CC114+CF114+CK114)</f>
        <v>0</v>
      </c>
      <c r="CC114" s="18">
        <f t="shared" ref="CC114" si="207">SUM(CD114:CE114)</f>
        <v>0</v>
      </c>
      <c r="CD114" s="18">
        <v>0</v>
      </c>
      <c r="CE114" s="18">
        <v>0</v>
      </c>
      <c r="CF114" s="18">
        <f>SUM(CG114:CJ114)</f>
        <v>0</v>
      </c>
      <c r="CG114" s="18">
        <v>0</v>
      </c>
      <c r="CH114" s="18">
        <v>0</v>
      </c>
      <c r="CI114" s="18">
        <v>0</v>
      </c>
      <c r="CJ114" s="18">
        <v>0</v>
      </c>
      <c r="CK114" s="18">
        <f>SUM(CL114:CM114)</f>
        <v>0</v>
      </c>
      <c r="CL114" s="18">
        <v>0</v>
      </c>
      <c r="CM114" s="18">
        <v>0</v>
      </c>
      <c r="CN114" s="18">
        <v>0</v>
      </c>
      <c r="CO114" s="65"/>
      <c r="CP114" s="65"/>
      <c r="CQ114" s="65"/>
      <c r="CR114" s="65"/>
      <c r="CS114" s="46"/>
    </row>
    <row r="115" spans="1:198" s="52" customFormat="1" ht="15.6" x14ac:dyDescent="0.3">
      <c r="A115" s="89" t="s">
        <v>507</v>
      </c>
      <c r="B115" s="15" t="s">
        <v>1</v>
      </c>
      <c r="C115" s="16" t="s">
        <v>508</v>
      </c>
      <c r="D115" s="17">
        <f t="shared" ref="D115:AK117" si="208">SUM(D116)</f>
        <v>1468050</v>
      </c>
      <c r="E115" s="18">
        <f t="shared" si="208"/>
        <v>1468050</v>
      </c>
      <c r="F115" s="18">
        <f t="shared" si="208"/>
        <v>1468050</v>
      </c>
      <c r="G115" s="18">
        <f t="shared" si="208"/>
        <v>0</v>
      </c>
      <c r="H115" s="18">
        <f t="shared" si="208"/>
        <v>0</v>
      </c>
      <c r="I115" s="18">
        <f t="shared" si="208"/>
        <v>0</v>
      </c>
      <c r="J115" s="18">
        <f t="shared" si="208"/>
        <v>0</v>
      </c>
      <c r="K115" s="18">
        <f t="shared" si="208"/>
        <v>0</v>
      </c>
      <c r="L115" s="18">
        <f t="shared" si="208"/>
        <v>0</v>
      </c>
      <c r="M115" s="18">
        <f t="shared" si="208"/>
        <v>0</v>
      </c>
      <c r="N115" s="18">
        <f t="shared" si="208"/>
        <v>0</v>
      </c>
      <c r="O115" s="18">
        <f t="shared" si="208"/>
        <v>0</v>
      </c>
      <c r="P115" s="18">
        <f t="shared" si="208"/>
        <v>0</v>
      </c>
      <c r="Q115" s="18">
        <f t="shared" si="208"/>
        <v>0</v>
      </c>
      <c r="R115" s="18">
        <f t="shared" si="208"/>
        <v>0</v>
      </c>
      <c r="S115" s="18">
        <f t="shared" si="208"/>
        <v>0</v>
      </c>
      <c r="T115" s="18">
        <f t="shared" si="208"/>
        <v>0</v>
      </c>
      <c r="U115" s="18">
        <f t="shared" si="208"/>
        <v>0</v>
      </c>
      <c r="V115" s="18">
        <f t="shared" si="208"/>
        <v>0</v>
      </c>
      <c r="W115" s="18">
        <f t="shared" si="208"/>
        <v>0</v>
      </c>
      <c r="X115" s="18">
        <f t="shared" si="208"/>
        <v>0</v>
      </c>
      <c r="Y115" s="18">
        <f t="shared" si="208"/>
        <v>0</v>
      </c>
      <c r="Z115" s="18">
        <f t="shared" si="208"/>
        <v>0</v>
      </c>
      <c r="AA115" s="18">
        <f t="shared" si="208"/>
        <v>0</v>
      </c>
      <c r="AB115" s="18">
        <f t="shared" si="208"/>
        <v>0</v>
      </c>
      <c r="AC115" s="18">
        <f t="shared" si="208"/>
        <v>0</v>
      </c>
      <c r="AD115" s="18">
        <f t="shared" si="208"/>
        <v>0</v>
      </c>
      <c r="AE115" s="18">
        <f t="shared" si="208"/>
        <v>1468050</v>
      </c>
      <c r="AF115" s="18">
        <f t="shared" si="208"/>
        <v>0</v>
      </c>
      <c r="AG115" s="18">
        <f t="shared" si="208"/>
        <v>0</v>
      </c>
      <c r="AH115" s="18">
        <f t="shared" si="208"/>
        <v>0</v>
      </c>
      <c r="AI115" s="18">
        <f t="shared" si="208"/>
        <v>0</v>
      </c>
      <c r="AJ115" s="18">
        <f t="shared" si="208"/>
        <v>0</v>
      </c>
      <c r="AK115" s="18">
        <f t="shared" si="208"/>
        <v>0</v>
      </c>
      <c r="AL115" s="18">
        <f t="shared" ref="AL115:CN117" si="209">SUM(AL116)</f>
        <v>0</v>
      </c>
      <c r="AM115" s="18">
        <f t="shared" si="209"/>
        <v>0</v>
      </c>
      <c r="AN115" s="18">
        <f t="shared" si="209"/>
        <v>0</v>
      </c>
      <c r="AO115" s="18">
        <f t="shared" si="209"/>
        <v>0</v>
      </c>
      <c r="AP115" s="18">
        <f t="shared" si="209"/>
        <v>0</v>
      </c>
      <c r="AQ115" s="18">
        <f t="shared" si="209"/>
        <v>0</v>
      </c>
      <c r="AR115" s="18">
        <f t="shared" si="209"/>
        <v>0</v>
      </c>
      <c r="AS115" s="18">
        <f t="shared" si="209"/>
        <v>0</v>
      </c>
      <c r="AT115" s="18"/>
      <c r="AU115" s="18"/>
      <c r="AV115" s="18">
        <f t="shared" si="209"/>
        <v>0</v>
      </c>
      <c r="AW115" s="18">
        <f t="shared" si="209"/>
        <v>0</v>
      </c>
      <c r="AX115" s="18">
        <f t="shared" si="209"/>
        <v>0</v>
      </c>
      <c r="AY115" s="18"/>
      <c r="AZ115" s="18">
        <f t="shared" si="209"/>
        <v>1468050</v>
      </c>
      <c r="BA115" s="18">
        <f t="shared" si="209"/>
        <v>0</v>
      </c>
      <c r="BB115" s="18">
        <f t="shared" si="209"/>
        <v>0</v>
      </c>
      <c r="BC115" s="18">
        <f t="shared" si="209"/>
        <v>0</v>
      </c>
      <c r="BD115" s="18">
        <f t="shared" si="209"/>
        <v>0</v>
      </c>
      <c r="BE115" s="18">
        <f t="shared" si="209"/>
        <v>0</v>
      </c>
      <c r="BF115" s="18">
        <f t="shared" si="209"/>
        <v>0</v>
      </c>
      <c r="BG115" s="18">
        <f t="shared" si="209"/>
        <v>0</v>
      </c>
      <c r="BH115" s="18">
        <f t="shared" si="209"/>
        <v>0</v>
      </c>
      <c r="BI115" s="18">
        <f t="shared" si="209"/>
        <v>0</v>
      </c>
      <c r="BJ115" s="18">
        <f t="shared" si="209"/>
        <v>0</v>
      </c>
      <c r="BK115" s="18">
        <f t="shared" si="209"/>
        <v>0</v>
      </c>
      <c r="BL115" s="18">
        <f t="shared" si="209"/>
        <v>0</v>
      </c>
      <c r="BM115" s="18">
        <f t="shared" si="209"/>
        <v>0</v>
      </c>
      <c r="BN115" s="18">
        <f t="shared" si="209"/>
        <v>0</v>
      </c>
      <c r="BO115" s="18">
        <f t="shared" si="209"/>
        <v>0</v>
      </c>
      <c r="BP115" s="18">
        <f t="shared" si="209"/>
        <v>0</v>
      </c>
      <c r="BQ115" s="18">
        <f t="shared" si="209"/>
        <v>0</v>
      </c>
      <c r="BR115" s="18">
        <f t="shared" si="209"/>
        <v>0</v>
      </c>
      <c r="BS115" s="18">
        <f t="shared" si="209"/>
        <v>0</v>
      </c>
      <c r="BT115" s="18">
        <f t="shared" si="209"/>
        <v>0</v>
      </c>
      <c r="BU115" s="18">
        <f t="shared" si="209"/>
        <v>0</v>
      </c>
      <c r="BV115" s="18">
        <f t="shared" si="209"/>
        <v>0</v>
      </c>
      <c r="BW115" s="18">
        <f t="shared" si="209"/>
        <v>0</v>
      </c>
      <c r="BX115" s="18">
        <f t="shared" si="209"/>
        <v>0</v>
      </c>
      <c r="BY115" s="18">
        <f t="shared" si="209"/>
        <v>0</v>
      </c>
      <c r="BZ115" s="18">
        <f t="shared" si="209"/>
        <v>0</v>
      </c>
      <c r="CA115" s="18">
        <f t="shared" si="209"/>
        <v>0</v>
      </c>
      <c r="CB115" s="18">
        <f t="shared" si="209"/>
        <v>0</v>
      </c>
      <c r="CC115" s="18">
        <f t="shared" si="209"/>
        <v>0</v>
      </c>
      <c r="CD115" s="18">
        <f t="shared" si="209"/>
        <v>0</v>
      </c>
      <c r="CE115" s="18">
        <f t="shared" si="209"/>
        <v>0</v>
      </c>
      <c r="CF115" s="18">
        <f t="shared" si="209"/>
        <v>0</v>
      </c>
      <c r="CG115" s="18">
        <f t="shared" si="209"/>
        <v>0</v>
      </c>
      <c r="CH115" s="18">
        <f t="shared" si="209"/>
        <v>0</v>
      </c>
      <c r="CI115" s="18">
        <f t="shared" si="209"/>
        <v>0</v>
      </c>
      <c r="CJ115" s="18">
        <f t="shared" si="209"/>
        <v>0</v>
      </c>
      <c r="CK115" s="18">
        <f t="shared" si="209"/>
        <v>0</v>
      </c>
      <c r="CL115" s="18">
        <f t="shared" si="209"/>
        <v>0</v>
      </c>
      <c r="CM115" s="18">
        <f t="shared" si="209"/>
        <v>0</v>
      </c>
      <c r="CN115" s="18">
        <f t="shared" si="209"/>
        <v>0</v>
      </c>
      <c r="CO115" s="65"/>
      <c r="CP115" s="65"/>
      <c r="CQ115" s="65"/>
      <c r="CR115" s="65"/>
      <c r="CS115" s="46"/>
      <c r="GP115" s="44"/>
    </row>
    <row r="116" spans="1:198" ht="31.2" x14ac:dyDescent="0.3">
      <c r="A116" s="90" t="s">
        <v>1</v>
      </c>
      <c r="B116" s="19" t="s">
        <v>70</v>
      </c>
      <c r="C116" s="20" t="s">
        <v>509</v>
      </c>
      <c r="D116" s="18">
        <f>SUM(E116+CA116)</f>
        <v>1468050</v>
      </c>
      <c r="E116" s="18">
        <f>SUM(F116+BA116)</f>
        <v>1468050</v>
      </c>
      <c r="F116" s="18">
        <f>SUM(G116+H116+I116+P116+S116+T116+U116+AE116+AD116)</f>
        <v>1468050</v>
      </c>
      <c r="G116" s="21"/>
      <c r="H116" s="21"/>
      <c r="I116" s="18">
        <f t="shared" ref="I116" si="210">SUM(J116:O116)</f>
        <v>0</v>
      </c>
      <c r="J116" s="18">
        <v>0</v>
      </c>
      <c r="K116" s="18">
        <v>0</v>
      </c>
      <c r="L116" s="18">
        <v>0</v>
      </c>
      <c r="M116" s="18"/>
      <c r="N116" s="21"/>
      <c r="O116" s="18">
        <v>0</v>
      </c>
      <c r="P116" s="18">
        <f t="shared" ref="P116" si="211">SUM(Q116:R116)</f>
        <v>0</v>
      </c>
      <c r="Q116" s="18">
        <v>0</v>
      </c>
      <c r="R116" s="18">
        <v>0</v>
      </c>
      <c r="S116" s="18">
        <v>0</v>
      </c>
      <c r="T116" s="21"/>
      <c r="U116" s="18">
        <f>SUM(V116:AC116)</f>
        <v>0</v>
      </c>
      <c r="V116" s="18">
        <v>0</v>
      </c>
      <c r="W116" s="21"/>
      <c r="X116" s="21"/>
      <c r="Y116" s="21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f>SUM(AF116:AZ116)</f>
        <v>1468050</v>
      </c>
      <c r="AF116" s="18">
        <v>0</v>
      </c>
      <c r="AG116" s="18">
        <v>0</v>
      </c>
      <c r="AH116" s="18">
        <v>0</v>
      </c>
      <c r="AI116" s="18"/>
      <c r="AJ116" s="18">
        <v>0</v>
      </c>
      <c r="AK116" s="18">
        <v>0</v>
      </c>
      <c r="AL116" s="18">
        <v>0</v>
      </c>
      <c r="AM116" s="18"/>
      <c r="AN116" s="18">
        <v>0</v>
      </c>
      <c r="AO116" s="18">
        <v>0</v>
      </c>
      <c r="AP116" s="18">
        <v>0</v>
      </c>
      <c r="AQ116" s="18">
        <v>0</v>
      </c>
      <c r="AR116" s="18">
        <v>0</v>
      </c>
      <c r="AS116" s="18">
        <v>0</v>
      </c>
      <c r="AT116" s="18"/>
      <c r="AU116" s="18"/>
      <c r="AV116" s="18">
        <v>0</v>
      </c>
      <c r="AW116" s="18">
        <v>0</v>
      </c>
      <c r="AX116" s="18">
        <v>0</v>
      </c>
      <c r="AY116" s="18"/>
      <c r="AZ116" s="18">
        <v>1468050</v>
      </c>
      <c r="BA116" s="18">
        <f>SUM(BB116+BF116+BJ116+BL116+BO116)</f>
        <v>0</v>
      </c>
      <c r="BB116" s="18">
        <f>SUM(BC116:BE116)</f>
        <v>0</v>
      </c>
      <c r="BC116" s="18">
        <v>0</v>
      </c>
      <c r="BD116" s="18">
        <v>0</v>
      </c>
      <c r="BE116" s="18">
        <v>0</v>
      </c>
      <c r="BF116" s="18">
        <f>SUM(BG116:BI116)</f>
        <v>0</v>
      </c>
      <c r="BG116" s="18">
        <v>0</v>
      </c>
      <c r="BH116" s="18">
        <v>0</v>
      </c>
      <c r="BI116" s="18">
        <v>0</v>
      </c>
      <c r="BJ116" s="18">
        <v>0</v>
      </c>
      <c r="BK116" s="18">
        <v>0</v>
      </c>
      <c r="BL116" s="18">
        <f t="shared" ref="BL116" si="212">SUM(BM116)</f>
        <v>0</v>
      </c>
      <c r="BM116" s="18">
        <v>0</v>
      </c>
      <c r="BN116" s="18">
        <v>0</v>
      </c>
      <c r="BO116" s="18">
        <f>SUM(BP116:BZ116)</f>
        <v>0</v>
      </c>
      <c r="BP116" s="18">
        <v>0</v>
      </c>
      <c r="BQ116" s="18">
        <v>0</v>
      </c>
      <c r="BR116" s="18">
        <v>0</v>
      </c>
      <c r="BS116" s="18">
        <v>0</v>
      </c>
      <c r="BT116" s="18">
        <v>0</v>
      </c>
      <c r="BU116" s="18">
        <v>0</v>
      </c>
      <c r="BV116" s="18">
        <v>0</v>
      </c>
      <c r="BW116" s="18">
        <v>0</v>
      </c>
      <c r="BX116" s="18">
        <v>0</v>
      </c>
      <c r="BY116" s="18">
        <v>0</v>
      </c>
      <c r="BZ116" s="18">
        <v>0</v>
      </c>
      <c r="CA116" s="18">
        <f>SUM(CB116+CN116)</f>
        <v>0</v>
      </c>
      <c r="CB116" s="18">
        <f>SUM(CC116+CF116+CK116)</f>
        <v>0</v>
      </c>
      <c r="CC116" s="18">
        <f t="shared" ref="CC116" si="213">SUM(CD116:CE116)</f>
        <v>0</v>
      </c>
      <c r="CD116" s="18">
        <v>0</v>
      </c>
      <c r="CE116" s="21"/>
      <c r="CF116" s="18">
        <f>SUM(CG116:CJ116)</f>
        <v>0</v>
      </c>
      <c r="CG116" s="18">
        <v>0</v>
      </c>
      <c r="CH116" s="18">
        <v>0</v>
      </c>
      <c r="CI116" s="18">
        <v>0</v>
      </c>
      <c r="CJ116" s="18">
        <v>0</v>
      </c>
      <c r="CK116" s="18">
        <f>SUM(CL116:CM116)</f>
        <v>0</v>
      </c>
      <c r="CL116" s="18">
        <v>0</v>
      </c>
      <c r="CM116" s="18">
        <v>0</v>
      </c>
      <c r="CN116" s="18">
        <v>0</v>
      </c>
      <c r="CO116" s="65"/>
      <c r="CP116" s="65"/>
      <c r="CQ116" s="65"/>
      <c r="CR116" s="65"/>
      <c r="CS116" s="46"/>
    </row>
    <row r="117" spans="1:198" s="52" customFormat="1" ht="15.6" x14ac:dyDescent="0.3">
      <c r="A117" s="89" t="s">
        <v>170</v>
      </c>
      <c r="B117" s="15" t="s">
        <v>1</v>
      </c>
      <c r="C117" s="16" t="s">
        <v>171</v>
      </c>
      <c r="D117" s="17">
        <f t="shared" si="208"/>
        <v>4970167</v>
      </c>
      <c r="E117" s="17">
        <f t="shared" si="208"/>
        <v>4970167</v>
      </c>
      <c r="F117" s="17">
        <f t="shared" si="208"/>
        <v>4970167</v>
      </c>
      <c r="G117" s="17">
        <f t="shared" si="208"/>
        <v>3891282</v>
      </c>
      <c r="H117" s="17">
        <f t="shared" si="208"/>
        <v>967704</v>
      </c>
      <c r="I117" s="17">
        <f t="shared" si="208"/>
        <v>8409</v>
      </c>
      <c r="J117" s="17">
        <f t="shared" si="208"/>
        <v>0</v>
      </c>
      <c r="K117" s="17">
        <f t="shared" si="208"/>
        <v>0</v>
      </c>
      <c r="L117" s="17">
        <f t="shared" si="208"/>
        <v>0</v>
      </c>
      <c r="M117" s="17">
        <f t="shared" si="208"/>
        <v>0</v>
      </c>
      <c r="N117" s="17">
        <f t="shared" si="208"/>
        <v>8409</v>
      </c>
      <c r="O117" s="17">
        <f t="shared" si="208"/>
        <v>0</v>
      </c>
      <c r="P117" s="17">
        <f t="shared" si="208"/>
        <v>0</v>
      </c>
      <c r="Q117" s="17">
        <f t="shared" si="208"/>
        <v>0</v>
      </c>
      <c r="R117" s="17">
        <f t="shared" si="208"/>
        <v>0</v>
      </c>
      <c r="S117" s="17">
        <f t="shared" si="208"/>
        <v>0</v>
      </c>
      <c r="T117" s="17">
        <f t="shared" si="208"/>
        <v>31000</v>
      </c>
      <c r="U117" s="17">
        <f t="shared" si="208"/>
        <v>71772</v>
      </c>
      <c r="V117" s="17">
        <f t="shared" si="208"/>
        <v>0</v>
      </c>
      <c r="W117" s="17">
        <f t="shared" si="208"/>
        <v>13567</v>
      </c>
      <c r="X117" s="17">
        <f t="shared" si="208"/>
        <v>58205</v>
      </c>
      <c r="Y117" s="17">
        <f t="shared" si="208"/>
        <v>0</v>
      </c>
      <c r="Z117" s="17">
        <f t="shared" si="208"/>
        <v>0</v>
      </c>
      <c r="AA117" s="17">
        <f t="shared" si="208"/>
        <v>0</v>
      </c>
      <c r="AB117" s="17">
        <f t="shared" si="208"/>
        <v>0</v>
      </c>
      <c r="AC117" s="17">
        <f t="shared" si="208"/>
        <v>0</v>
      </c>
      <c r="AD117" s="17">
        <f t="shared" si="208"/>
        <v>0</v>
      </c>
      <c r="AE117" s="17">
        <f t="shared" si="208"/>
        <v>0</v>
      </c>
      <c r="AF117" s="17">
        <f t="shared" si="208"/>
        <v>0</v>
      </c>
      <c r="AG117" s="17">
        <f t="shared" si="208"/>
        <v>0</v>
      </c>
      <c r="AH117" s="17">
        <f t="shared" si="208"/>
        <v>0</v>
      </c>
      <c r="AI117" s="17">
        <f t="shared" si="208"/>
        <v>0</v>
      </c>
      <c r="AJ117" s="17">
        <f t="shared" si="208"/>
        <v>0</v>
      </c>
      <c r="AK117" s="17">
        <f t="shared" si="208"/>
        <v>0</v>
      </c>
      <c r="AL117" s="17">
        <f t="shared" si="209"/>
        <v>0</v>
      </c>
      <c r="AM117" s="17">
        <f t="shared" si="209"/>
        <v>0</v>
      </c>
      <c r="AN117" s="17">
        <f t="shared" si="209"/>
        <v>0</v>
      </c>
      <c r="AO117" s="17">
        <f t="shared" si="209"/>
        <v>0</v>
      </c>
      <c r="AP117" s="17">
        <f t="shared" si="209"/>
        <v>0</v>
      </c>
      <c r="AQ117" s="17">
        <f t="shared" si="209"/>
        <v>0</v>
      </c>
      <c r="AR117" s="17">
        <f t="shared" si="209"/>
        <v>0</v>
      </c>
      <c r="AS117" s="17">
        <f t="shared" si="209"/>
        <v>0</v>
      </c>
      <c r="AT117" s="17"/>
      <c r="AU117" s="17"/>
      <c r="AV117" s="17">
        <f t="shared" si="209"/>
        <v>0</v>
      </c>
      <c r="AW117" s="17">
        <f t="shared" si="209"/>
        <v>0</v>
      </c>
      <c r="AX117" s="17">
        <f t="shared" si="209"/>
        <v>0</v>
      </c>
      <c r="AY117" s="17"/>
      <c r="AZ117" s="17">
        <f t="shared" si="209"/>
        <v>0</v>
      </c>
      <c r="BA117" s="17">
        <f t="shared" si="209"/>
        <v>0</v>
      </c>
      <c r="BB117" s="17">
        <f t="shared" si="209"/>
        <v>0</v>
      </c>
      <c r="BC117" s="17">
        <f t="shared" si="209"/>
        <v>0</v>
      </c>
      <c r="BD117" s="17">
        <f t="shared" si="209"/>
        <v>0</v>
      </c>
      <c r="BE117" s="17">
        <f t="shared" si="209"/>
        <v>0</v>
      </c>
      <c r="BF117" s="17">
        <f t="shared" si="209"/>
        <v>0</v>
      </c>
      <c r="BG117" s="17">
        <f t="shared" si="209"/>
        <v>0</v>
      </c>
      <c r="BH117" s="17">
        <f t="shared" si="209"/>
        <v>0</v>
      </c>
      <c r="BI117" s="17">
        <f t="shared" si="209"/>
        <v>0</v>
      </c>
      <c r="BJ117" s="17">
        <f t="shared" si="209"/>
        <v>0</v>
      </c>
      <c r="BK117" s="17">
        <f t="shared" si="209"/>
        <v>0</v>
      </c>
      <c r="BL117" s="17">
        <f t="shared" si="209"/>
        <v>0</v>
      </c>
      <c r="BM117" s="17">
        <f t="shared" si="209"/>
        <v>0</v>
      </c>
      <c r="BN117" s="17">
        <f t="shared" si="209"/>
        <v>0</v>
      </c>
      <c r="BO117" s="17">
        <f t="shared" si="209"/>
        <v>0</v>
      </c>
      <c r="BP117" s="17">
        <f t="shared" si="209"/>
        <v>0</v>
      </c>
      <c r="BQ117" s="17">
        <f t="shared" si="209"/>
        <v>0</v>
      </c>
      <c r="BR117" s="17">
        <f t="shared" si="209"/>
        <v>0</v>
      </c>
      <c r="BS117" s="17">
        <f t="shared" si="209"/>
        <v>0</v>
      </c>
      <c r="BT117" s="17">
        <f t="shared" si="209"/>
        <v>0</v>
      </c>
      <c r="BU117" s="17">
        <f t="shared" si="209"/>
        <v>0</v>
      </c>
      <c r="BV117" s="17">
        <f t="shared" si="209"/>
        <v>0</v>
      </c>
      <c r="BW117" s="17">
        <f t="shared" si="209"/>
        <v>0</v>
      </c>
      <c r="BX117" s="17">
        <f t="shared" si="209"/>
        <v>0</v>
      </c>
      <c r="BY117" s="17">
        <f t="shared" si="209"/>
        <v>0</v>
      </c>
      <c r="BZ117" s="17">
        <f t="shared" si="209"/>
        <v>0</v>
      </c>
      <c r="CA117" s="17">
        <f t="shared" si="209"/>
        <v>0</v>
      </c>
      <c r="CB117" s="17">
        <f t="shared" si="209"/>
        <v>0</v>
      </c>
      <c r="CC117" s="17">
        <f t="shared" si="209"/>
        <v>0</v>
      </c>
      <c r="CD117" s="17">
        <f t="shared" si="209"/>
        <v>0</v>
      </c>
      <c r="CE117" s="17">
        <f t="shared" si="209"/>
        <v>0</v>
      </c>
      <c r="CF117" s="17">
        <f t="shared" si="209"/>
        <v>0</v>
      </c>
      <c r="CG117" s="17">
        <f t="shared" si="209"/>
        <v>0</v>
      </c>
      <c r="CH117" s="17">
        <f t="shared" si="209"/>
        <v>0</v>
      </c>
      <c r="CI117" s="17">
        <f t="shared" si="209"/>
        <v>0</v>
      </c>
      <c r="CJ117" s="17">
        <f t="shared" si="209"/>
        <v>0</v>
      </c>
      <c r="CK117" s="17">
        <f t="shared" si="209"/>
        <v>0</v>
      </c>
      <c r="CL117" s="17">
        <f t="shared" si="209"/>
        <v>0</v>
      </c>
      <c r="CM117" s="17">
        <f t="shared" si="209"/>
        <v>0</v>
      </c>
      <c r="CN117" s="17">
        <f t="shared" si="209"/>
        <v>0</v>
      </c>
      <c r="CO117" s="64"/>
      <c r="CP117" s="64"/>
      <c r="CQ117" s="64"/>
      <c r="CR117" s="64"/>
      <c r="CS117" s="51"/>
      <c r="GP117" s="44"/>
    </row>
    <row r="118" spans="1:198" s="82" customFormat="1" ht="31.2" x14ac:dyDescent="0.3">
      <c r="A118" s="92" t="s">
        <v>1</v>
      </c>
      <c r="B118" s="62" t="s">
        <v>62</v>
      </c>
      <c r="C118" s="63" t="s">
        <v>480</v>
      </c>
      <c r="D118" s="65">
        <f>SUM(E118+CA118)</f>
        <v>4970167</v>
      </c>
      <c r="E118" s="65">
        <f>SUM(F118+BA118)</f>
        <v>4970167</v>
      </c>
      <c r="F118" s="65">
        <f>SUM(G118+H118+I118+P118+S118+T118+U118+AE118+AD118)</f>
        <v>4970167</v>
      </c>
      <c r="G118" s="66">
        <v>3891282</v>
      </c>
      <c r="H118" s="66">
        <v>967704</v>
      </c>
      <c r="I118" s="65">
        <f t="shared" si="120"/>
        <v>8409</v>
      </c>
      <c r="J118" s="65">
        <v>0</v>
      </c>
      <c r="K118" s="65">
        <v>0</v>
      </c>
      <c r="L118" s="65">
        <v>0</v>
      </c>
      <c r="M118" s="65"/>
      <c r="N118" s="66">
        <f>16819-8410</f>
        <v>8409</v>
      </c>
      <c r="O118" s="65">
        <v>0</v>
      </c>
      <c r="P118" s="65">
        <f t="shared" si="121"/>
        <v>0</v>
      </c>
      <c r="Q118" s="65">
        <v>0</v>
      </c>
      <c r="R118" s="65">
        <v>0</v>
      </c>
      <c r="S118" s="65">
        <v>0</v>
      </c>
      <c r="T118" s="66">
        <v>31000</v>
      </c>
      <c r="U118" s="65">
        <f>SUM(V118:AC118)</f>
        <v>71772</v>
      </c>
      <c r="V118" s="65">
        <v>0</v>
      </c>
      <c r="W118" s="66">
        <f>10301+3266</f>
        <v>13567</v>
      </c>
      <c r="X118" s="66">
        <f>27779+30426</f>
        <v>58205</v>
      </c>
      <c r="Y118" s="66">
        <v>0</v>
      </c>
      <c r="Z118" s="65">
        <v>0</v>
      </c>
      <c r="AA118" s="65">
        <v>0</v>
      </c>
      <c r="AB118" s="65">
        <v>0</v>
      </c>
      <c r="AC118" s="65">
        <v>0</v>
      </c>
      <c r="AD118" s="65">
        <v>0</v>
      </c>
      <c r="AE118" s="65">
        <f>SUM(AF118:AZ118)</f>
        <v>0</v>
      </c>
      <c r="AF118" s="65">
        <v>0</v>
      </c>
      <c r="AG118" s="65">
        <v>0</v>
      </c>
      <c r="AH118" s="65">
        <v>0</v>
      </c>
      <c r="AI118" s="65"/>
      <c r="AJ118" s="65">
        <v>0</v>
      </c>
      <c r="AK118" s="65">
        <v>0</v>
      </c>
      <c r="AL118" s="65">
        <v>0</v>
      </c>
      <c r="AM118" s="65"/>
      <c r="AN118" s="65">
        <v>0</v>
      </c>
      <c r="AO118" s="65">
        <v>0</v>
      </c>
      <c r="AP118" s="65">
        <v>0</v>
      </c>
      <c r="AQ118" s="65">
        <v>0</v>
      </c>
      <c r="AR118" s="65">
        <v>0</v>
      </c>
      <c r="AS118" s="65">
        <v>0</v>
      </c>
      <c r="AT118" s="65"/>
      <c r="AU118" s="65"/>
      <c r="AV118" s="65">
        <v>0</v>
      </c>
      <c r="AW118" s="65">
        <v>0</v>
      </c>
      <c r="AX118" s="65">
        <v>0</v>
      </c>
      <c r="AY118" s="65"/>
      <c r="AZ118" s="65">
        <v>0</v>
      </c>
      <c r="BA118" s="65">
        <f>SUM(BB118+BF118+BJ118+BL118+BO118)</f>
        <v>0</v>
      </c>
      <c r="BB118" s="65">
        <f>SUM(BC118:BE118)</f>
        <v>0</v>
      </c>
      <c r="BC118" s="65">
        <v>0</v>
      </c>
      <c r="BD118" s="65">
        <v>0</v>
      </c>
      <c r="BE118" s="65">
        <v>0</v>
      </c>
      <c r="BF118" s="65">
        <f>SUM(BG118:BI118)</f>
        <v>0</v>
      </c>
      <c r="BG118" s="65">
        <v>0</v>
      </c>
      <c r="BH118" s="65">
        <v>0</v>
      </c>
      <c r="BI118" s="65">
        <v>0</v>
      </c>
      <c r="BJ118" s="65">
        <v>0</v>
      </c>
      <c r="BK118" s="65">
        <v>0</v>
      </c>
      <c r="BL118" s="65">
        <f t="shared" si="122"/>
        <v>0</v>
      </c>
      <c r="BM118" s="65">
        <v>0</v>
      </c>
      <c r="BN118" s="65">
        <v>0</v>
      </c>
      <c r="BO118" s="65">
        <f>SUM(BP118:BZ118)</f>
        <v>0</v>
      </c>
      <c r="BP118" s="65">
        <v>0</v>
      </c>
      <c r="BQ118" s="65">
        <v>0</v>
      </c>
      <c r="BR118" s="65">
        <v>0</v>
      </c>
      <c r="BS118" s="65">
        <v>0</v>
      </c>
      <c r="BT118" s="65">
        <v>0</v>
      </c>
      <c r="BU118" s="65">
        <v>0</v>
      </c>
      <c r="BV118" s="65">
        <v>0</v>
      </c>
      <c r="BW118" s="65">
        <v>0</v>
      </c>
      <c r="BX118" s="65">
        <v>0</v>
      </c>
      <c r="BY118" s="65">
        <v>0</v>
      </c>
      <c r="BZ118" s="65">
        <v>0</v>
      </c>
      <c r="CA118" s="65">
        <f>SUM(CB118+CN118)</f>
        <v>0</v>
      </c>
      <c r="CB118" s="65">
        <f>SUM(CC118+CF118+CK118)</f>
        <v>0</v>
      </c>
      <c r="CC118" s="65">
        <f t="shared" si="123"/>
        <v>0</v>
      </c>
      <c r="CD118" s="65">
        <v>0</v>
      </c>
      <c r="CE118" s="66"/>
      <c r="CF118" s="65">
        <f>SUM(CG118:CJ118)</f>
        <v>0</v>
      </c>
      <c r="CG118" s="65">
        <v>0</v>
      </c>
      <c r="CH118" s="65">
        <v>0</v>
      </c>
      <c r="CI118" s="65">
        <v>0</v>
      </c>
      <c r="CJ118" s="65">
        <v>0</v>
      </c>
      <c r="CK118" s="65">
        <f>SUM(CL118:CM118)</f>
        <v>0</v>
      </c>
      <c r="CL118" s="65">
        <v>0</v>
      </c>
      <c r="CM118" s="65">
        <v>0</v>
      </c>
      <c r="CN118" s="65">
        <v>0</v>
      </c>
      <c r="CO118" s="65"/>
      <c r="CP118" s="65"/>
      <c r="CQ118" s="65"/>
      <c r="CR118" s="65"/>
      <c r="CS118" s="68"/>
      <c r="GP118" s="52"/>
    </row>
    <row r="119" spans="1:198" ht="35.4" customHeight="1" x14ac:dyDescent="0.3">
      <c r="A119" s="91" t="s">
        <v>172</v>
      </c>
      <c r="B119" s="23" t="s">
        <v>1</v>
      </c>
      <c r="C119" s="24" t="s">
        <v>173</v>
      </c>
      <c r="D119" s="25">
        <f t="shared" ref="D119:AS119" si="214">SUM(D120+D123+D125+D128)</f>
        <v>32819952</v>
      </c>
      <c r="E119" s="25">
        <f t="shared" si="214"/>
        <v>32819952</v>
      </c>
      <c r="F119" s="25">
        <f t="shared" si="214"/>
        <v>5265620</v>
      </c>
      <c r="G119" s="25">
        <f t="shared" si="214"/>
        <v>0</v>
      </c>
      <c r="H119" s="25">
        <f t="shared" si="214"/>
        <v>0</v>
      </c>
      <c r="I119" s="25">
        <f t="shared" si="214"/>
        <v>0</v>
      </c>
      <c r="J119" s="25">
        <f t="shared" si="214"/>
        <v>0</v>
      </c>
      <c r="K119" s="25">
        <f t="shared" si="214"/>
        <v>0</v>
      </c>
      <c r="L119" s="25">
        <f t="shared" si="214"/>
        <v>0</v>
      </c>
      <c r="M119" s="25">
        <f t="shared" si="214"/>
        <v>0</v>
      </c>
      <c r="N119" s="25">
        <f t="shared" si="214"/>
        <v>0</v>
      </c>
      <c r="O119" s="25">
        <f t="shared" si="214"/>
        <v>0</v>
      </c>
      <c r="P119" s="25">
        <f t="shared" si="214"/>
        <v>0</v>
      </c>
      <c r="Q119" s="25">
        <f t="shared" si="214"/>
        <v>0</v>
      </c>
      <c r="R119" s="25">
        <f t="shared" si="214"/>
        <v>0</v>
      </c>
      <c r="S119" s="25">
        <f t="shared" si="214"/>
        <v>0</v>
      </c>
      <c r="T119" s="25">
        <f t="shared" si="214"/>
        <v>0</v>
      </c>
      <c r="U119" s="25">
        <f t="shared" si="214"/>
        <v>0</v>
      </c>
      <c r="V119" s="25">
        <f t="shared" si="214"/>
        <v>0</v>
      </c>
      <c r="W119" s="25">
        <f t="shared" si="214"/>
        <v>0</v>
      </c>
      <c r="X119" s="25">
        <f t="shared" si="214"/>
        <v>0</v>
      </c>
      <c r="Y119" s="25">
        <f t="shared" si="214"/>
        <v>0</v>
      </c>
      <c r="Z119" s="25">
        <f t="shared" si="214"/>
        <v>0</v>
      </c>
      <c r="AA119" s="25">
        <f t="shared" si="214"/>
        <v>0</v>
      </c>
      <c r="AB119" s="25">
        <f t="shared" si="214"/>
        <v>0</v>
      </c>
      <c r="AC119" s="25">
        <f t="shared" si="214"/>
        <v>0</v>
      </c>
      <c r="AD119" s="25">
        <f t="shared" si="214"/>
        <v>0</v>
      </c>
      <c r="AE119" s="25">
        <f t="shared" si="214"/>
        <v>5265620</v>
      </c>
      <c r="AF119" s="25">
        <f t="shared" si="214"/>
        <v>0</v>
      </c>
      <c r="AG119" s="25">
        <f t="shared" si="214"/>
        <v>0</v>
      </c>
      <c r="AH119" s="25">
        <f t="shared" si="214"/>
        <v>0</v>
      </c>
      <c r="AI119" s="25">
        <f t="shared" si="214"/>
        <v>0</v>
      </c>
      <c r="AJ119" s="25">
        <f t="shared" si="214"/>
        <v>0</v>
      </c>
      <c r="AK119" s="25">
        <f t="shared" si="214"/>
        <v>0</v>
      </c>
      <c r="AL119" s="25">
        <f t="shared" si="214"/>
        <v>0</v>
      </c>
      <c r="AM119" s="25">
        <f t="shared" si="214"/>
        <v>0</v>
      </c>
      <c r="AN119" s="25">
        <f t="shared" si="214"/>
        <v>0</v>
      </c>
      <c r="AO119" s="25">
        <f t="shared" si="214"/>
        <v>0</v>
      </c>
      <c r="AP119" s="25">
        <f t="shared" si="214"/>
        <v>0</v>
      </c>
      <c r="AQ119" s="25">
        <f t="shared" si="214"/>
        <v>0</v>
      </c>
      <c r="AR119" s="25">
        <f t="shared" si="214"/>
        <v>0</v>
      </c>
      <c r="AS119" s="25">
        <f t="shared" si="214"/>
        <v>0</v>
      </c>
      <c r="AT119" s="25"/>
      <c r="AU119" s="25"/>
      <c r="AV119" s="25">
        <f>SUM(AV120+AV123+AV125+AV128)</f>
        <v>0</v>
      </c>
      <c r="AW119" s="25">
        <f>SUM(AW120+AW123+AW125+AW128)</f>
        <v>0</v>
      </c>
      <c r="AX119" s="25">
        <f>SUM(AX120+AX123+AX125+AX128)</f>
        <v>0</v>
      </c>
      <c r="AY119" s="25"/>
      <c r="AZ119" s="25">
        <f t="shared" ref="AZ119:CM119" si="215">SUM(AZ120+AZ123+AZ125+AZ128)</f>
        <v>5265620</v>
      </c>
      <c r="BA119" s="25">
        <f t="shared" si="215"/>
        <v>27554332</v>
      </c>
      <c r="BB119" s="25">
        <f t="shared" si="215"/>
        <v>25148481</v>
      </c>
      <c r="BC119" s="25">
        <f t="shared" si="215"/>
        <v>0</v>
      </c>
      <c r="BD119" s="25">
        <f t="shared" si="215"/>
        <v>6033387</v>
      </c>
      <c r="BE119" s="25">
        <f t="shared" si="215"/>
        <v>19115094</v>
      </c>
      <c r="BF119" s="25">
        <f t="shared" si="215"/>
        <v>0</v>
      </c>
      <c r="BG119" s="25">
        <f t="shared" si="215"/>
        <v>0</v>
      </c>
      <c r="BH119" s="25">
        <f t="shared" ref="BH119" si="216">SUM(BH120+BH123+BH125+BH128)</f>
        <v>0</v>
      </c>
      <c r="BI119" s="25">
        <f t="shared" si="215"/>
        <v>0</v>
      </c>
      <c r="BJ119" s="25">
        <f t="shared" si="215"/>
        <v>0</v>
      </c>
      <c r="BK119" s="25">
        <f t="shared" si="215"/>
        <v>0</v>
      </c>
      <c r="BL119" s="25">
        <f t="shared" si="215"/>
        <v>2405851</v>
      </c>
      <c r="BM119" s="25">
        <f t="shared" si="215"/>
        <v>0</v>
      </c>
      <c r="BN119" s="25">
        <f t="shared" si="215"/>
        <v>2405851</v>
      </c>
      <c r="BO119" s="25">
        <f t="shared" si="215"/>
        <v>0</v>
      </c>
      <c r="BP119" s="25">
        <f t="shared" si="215"/>
        <v>0</v>
      </c>
      <c r="BQ119" s="25">
        <f t="shared" si="215"/>
        <v>0</v>
      </c>
      <c r="BR119" s="25">
        <f t="shared" si="215"/>
        <v>0</v>
      </c>
      <c r="BS119" s="25">
        <f t="shared" si="215"/>
        <v>0</v>
      </c>
      <c r="BT119" s="25">
        <f t="shared" si="215"/>
        <v>0</v>
      </c>
      <c r="BU119" s="25">
        <f t="shared" si="215"/>
        <v>0</v>
      </c>
      <c r="BV119" s="25">
        <f t="shared" si="215"/>
        <v>0</v>
      </c>
      <c r="BW119" s="25">
        <f t="shared" si="215"/>
        <v>0</v>
      </c>
      <c r="BX119" s="25">
        <f t="shared" si="215"/>
        <v>0</v>
      </c>
      <c r="BY119" s="25">
        <f t="shared" si="215"/>
        <v>0</v>
      </c>
      <c r="BZ119" s="25">
        <f t="shared" si="215"/>
        <v>0</v>
      </c>
      <c r="CA119" s="25">
        <f t="shared" si="215"/>
        <v>0</v>
      </c>
      <c r="CB119" s="25">
        <f t="shared" si="215"/>
        <v>0</v>
      </c>
      <c r="CC119" s="25">
        <f t="shared" si="215"/>
        <v>0</v>
      </c>
      <c r="CD119" s="25">
        <f t="shared" si="215"/>
        <v>0</v>
      </c>
      <c r="CE119" s="25">
        <f t="shared" si="215"/>
        <v>0</v>
      </c>
      <c r="CF119" s="25">
        <f t="shared" si="215"/>
        <v>0</v>
      </c>
      <c r="CG119" s="25">
        <f t="shared" si="215"/>
        <v>0</v>
      </c>
      <c r="CH119" s="25">
        <f t="shared" si="215"/>
        <v>0</v>
      </c>
      <c r="CI119" s="25">
        <f t="shared" si="215"/>
        <v>0</v>
      </c>
      <c r="CJ119" s="25">
        <f t="shared" si="215"/>
        <v>0</v>
      </c>
      <c r="CK119" s="25">
        <f t="shared" si="215"/>
        <v>0</v>
      </c>
      <c r="CL119" s="25">
        <f t="shared" si="215"/>
        <v>0</v>
      </c>
      <c r="CM119" s="25">
        <f t="shared" si="215"/>
        <v>0</v>
      </c>
      <c r="CN119" s="25">
        <f>SUM(CN120+CN123+CN125+CN128)</f>
        <v>0</v>
      </c>
      <c r="CO119" s="25">
        <f t="shared" ref="CO119:CQ119" si="217">SUM(CO120+CO123+CO125+CO128)</f>
        <v>0</v>
      </c>
      <c r="CP119" s="25">
        <f t="shared" si="217"/>
        <v>0</v>
      </c>
      <c r="CQ119" s="25">
        <f t="shared" si="217"/>
        <v>0</v>
      </c>
      <c r="CR119" s="25">
        <f t="shared" ref="CR119" si="218">SUM(CR120+CR123+CR125+CR128)</f>
        <v>0</v>
      </c>
      <c r="CS119" s="51"/>
    </row>
    <row r="120" spans="1:198" ht="31.2" x14ac:dyDescent="0.3">
      <c r="A120" s="89" t="s">
        <v>174</v>
      </c>
      <c r="B120" s="15" t="s">
        <v>1</v>
      </c>
      <c r="C120" s="16" t="s">
        <v>501</v>
      </c>
      <c r="D120" s="17">
        <f>SUM(D121:D122)</f>
        <v>8439238</v>
      </c>
      <c r="E120" s="17">
        <f t="shared" ref="E120:BQ120" si="219">SUM(E121:E122)</f>
        <v>8439238</v>
      </c>
      <c r="F120" s="17">
        <f t="shared" si="219"/>
        <v>0</v>
      </c>
      <c r="G120" s="17">
        <f t="shared" si="219"/>
        <v>0</v>
      </c>
      <c r="H120" s="17">
        <f t="shared" si="219"/>
        <v>0</v>
      </c>
      <c r="I120" s="17">
        <f t="shared" si="219"/>
        <v>0</v>
      </c>
      <c r="J120" s="17">
        <f t="shared" si="219"/>
        <v>0</v>
      </c>
      <c r="K120" s="17">
        <f t="shared" si="219"/>
        <v>0</v>
      </c>
      <c r="L120" s="17">
        <f t="shared" si="219"/>
        <v>0</v>
      </c>
      <c r="M120" s="17">
        <f t="shared" si="219"/>
        <v>0</v>
      </c>
      <c r="N120" s="17">
        <f t="shared" si="219"/>
        <v>0</v>
      </c>
      <c r="O120" s="17">
        <f t="shared" si="219"/>
        <v>0</v>
      </c>
      <c r="P120" s="17">
        <f t="shared" si="219"/>
        <v>0</v>
      </c>
      <c r="Q120" s="17">
        <f t="shared" si="219"/>
        <v>0</v>
      </c>
      <c r="R120" s="17">
        <f t="shared" si="219"/>
        <v>0</v>
      </c>
      <c r="S120" s="17">
        <f t="shared" si="219"/>
        <v>0</v>
      </c>
      <c r="T120" s="17">
        <f t="shared" si="219"/>
        <v>0</v>
      </c>
      <c r="U120" s="17">
        <f t="shared" si="219"/>
        <v>0</v>
      </c>
      <c r="V120" s="17">
        <f t="shared" si="219"/>
        <v>0</v>
      </c>
      <c r="W120" s="17">
        <f t="shared" si="219"/>
        <v>0</v>
      </c>
      <c r="X120" s="17">
        <f t="shared" si="219"/>
        <v>0</v>
      </c>
      <c r="Y120" s="17">
        <f t="shared" si="219"/>
        <v>0</v>
      </c>
      <c r="Z120" s="17">
        <f t="shared" si="219"/>
        <v>0</v>
      </c>
      <c r="AA120" s="17">
        <f t="shared" si="219"/>
        <v>0</v>
      </c>
      <c r="AB120" s="17">
        <f t="shared" si="219"/>
        <v>0</v>
      </c>
      <c r="AC120" s="17">
        <f t="shared" si="219"/>
        <v>0</v>
      </c>
      <c r="AD120" s="17">
        <f t="shared" si="219"/>
        <v>0</v>
      </c>
      <c r="AE120" s="17">
        <f t="shared" si="219"/>
        <v>0</v>
      </c>
      <c r="AF120" s="17">
        <f t="shared" si="219"/>
        <v>0</v>
      </c>
      <c r="AG120" s="17">
        <f t="shared" si="219"/>
        <v>0</v>
      </c>
      <c r="AH120" s="17">
        <f t="shared" si="219"/>
        <v>0</v>
      </c>
      <c r="AI120" s="17">
        <f t="shared" si="219"/>
        <v>0</v>
      </c>
      <c r="AJ120" s="17">
        <f t="shared" si="219"/>
        <v>0</v>
      </c>
      <c r="AK120" s="17">
        <f t="shared" si="219"/>
        <v>0</v>
      </c>
      <c r="AL120" s="17">
        <f t="shared" si="219"/>
        <v>0</v>
      </c>
      <c r="AM120" s="17">
        <f t="shared" si="219"/>
        <v>0</v>
      </c>
      <c r="AN120" s="17">
        <f t="shared" si="219"/>
        <v>0</v>
      </c>
      <c r="AO120" s="17">
        <f t="shared" si="219"/>
        <v>0</v>
      </c>
      <c r="AP120" s="17">
        <f t="shared" si="219"/>
        <v>0</v>
      </c>
      <c r="AQ120" s="17">
        <f t="shared" si="219"/>
        <v>0</v>
      </c>
      <c r="AR120" s="17">
        <f t="shared" si="219"/>
        <v>0</v>
      </c>
      <c r="AS120" s="17">
        <f t="shared" si="219"/>
        <v>0</v>
      </c>
      <c r="AT120" s="17">
        <f t="shared" si="219"/>
        <v>0</v>
      </c>
      <c r="AU120" s="17">
        <f t="shared" si="219"/>
        <v>0</v>
      </c>
      <c r="AV120" s="17">
        <f t="shared" si="219"/>
        <v>0</v>
      </c>
      <c r="AW120" s="17">
        <f t="shared" si="219"/>
        <v>0</v>
      </c>
      <c r="AX120" s="17">
        <f t="shared" si="219"/>
        <v>0</v>
      </c>
      <c r="AY120" s="17"/>
      <c r="AZ120" s="17">
        <f t="shared" si="219"/>
        <v>0</v>
      </c>
      <c r="BA120" s="17">
        <f t="shared" si="219"/>
        <v>8439238</v>
      </c>
      <c r="BB120" s="17">
        <f t="shared" si="219"/>
        <v>6033387</v>
      </c>
      <c r="BC120" s="17">
        <f t="shared" si="219"/>
        <v>0</v>
      </c>
      <c r="BD120" s="17">
        <f t="shared" si="219"/>
        <v>6033387</v>
      </c>
      <c r="BE120" s="17">
        <f t="shared" si="219"/>
        <v>0</v>
      </c>
      <c r="BF120" s="17">
        <f t="shared" si="219"/>
        <v>0</v>
      </c>
      <c r="BG120" s="17">
        <f t="shared" si="219"/>
        <v>0</v>
      </c>
      <c r="BH120" s="17">
        <f t="shared" ref="BH120" si="220">SUM(BH121:BH122)</f>
        <v>0</v>
      </c>
      <c r="BI120" s="17">
        <f t="shared" si="219"/>
        <v>0</v>
      </c>
      <c r="BJ120" s="17">
        <f t="shared" si="219"/>
        <v>0</v>
      </c>
      <c r="BK120" s="17">
        <f t="shared" ref="BK120" si="221">SUM(BK121:BK122)</f>
        <v>0</v>
      </c>
      <c r="BL120" s="17">
        <f t="shared" si="219"/>
        <v>2405851</v>
      </c>
      <c r="BM120" s="17">
        <f t="shared" si="219"/>
        <v>0</v>
      </c>
      <c r="BN120" s="17">
        <f t="shared" si="219"/>
        <v>2405851</v>
      </c>
      <c r="BO120" s="17">
        <f t="shared" si="219"/>
        <v>0</v>
      </c>
      <c r="BP120" s="17">
        <f t="shared" si="219"/>
        <v>0</v>
      </c>
      <c r="BQ120" s="17">
        <f t="shared" si="219"/>
        <v>0</v>
      </c>
      <c r="BR120" s="17">
        <f t="shared" ref="BR120:CN120" si="222">SUM(BR121:BR122)</f>
        <v>0</v>
      </c>
      <c r="BS120" s="17">
        <f t="shared" si="222"/>
        <v>0</v>
      </c>
      <c r="BT120" s="17">
        <f t="shared" si="222"/>
        <v>0</v>
      </c>
      <c r="BU120" s="17">
        <f t="shared" si="222"/>
        <v>0</v>
      </c>
      <c r="BV120" s="17">
        <f t="shared" si="222"/>
        <v>0</v>
      </c>
      <c r="BW120" s="17">
        <f t="shared" si="222"/>
        <v>0</v>
      </c>
      <c r="BX120" s="17">
        <f t="shared" si="222"/>
        <v>0</v>
      </c>
      <c r="BY120" s="17">
        <f t="shared" si="222"/>
        <v>0</v>
      </c>
      <c r="BZ120" s="17">
        <f t="shared" si="222"/>
        <v>0</v>
      </c>
      <c r="CA120" s="17">
        <f t="shared" si="222"/>
        <v>0</v>
      </c>
      <c r="CB120" s="17">
        <f t="shared" si="222"/>
        <v>0</v>
      </c>
      <c r="CC120" s="17">
        <f t="shared" si="222"/>
        <v>0</v>
      </c>
      <c r="CD120" s="17">
        <f t="shared" si="222"/>
        <v>0</v>
      </c>
      <c r="CE120" s="17">
        <f t="shared" si="222"/>
        <v>0</v>
      </c>
      <c r="CF120" s="17">
        <f t="shared" si="222"/>
        <v>0</v>
      </c>
      <c r="CG120" s="17">
        <f t="shared" ref="CG120:CH120" si="223">SUM(CG121:CG122)</f>
        <v>0</v>
      </c>
      <c r="CH120" s="17">
        <f t="shared" si="223"/>
        <v>0</v>
      </c>
      <c r="CI120" s="17">
        <f t="shared" si="222"/>
        <v>0</v>
      </c>
      <c r="CJ120" s="17">
        <f t="shared" ref="CJ120" si="224">SUM(CJ121:CJ122)</f>
        <v>0</v>
      </c>
      <c r="CK120" s="17">
        <f t="shared" si="222"/>
        <v>0</v>
      </c>
      <c r="CL120" s="17">
        <f t="shared" ref="CL120" si="225">SUM(CL121:CL122)</f>
        <v>0</v>
      </c>
      <c r="CM120" s="17">
        <f t="shared" si="222"/>
        <v>0</v>
      </c>
      <c r="CN120" s="17">
        <f t="shared" si="222"/>
        <v>0</v>
      </c>
      <c r="CO120" s="64"/>
      <c r="CP120" s="64"/>
      <c r="CQ120" s="64"/>
      <c r="CR120" s="64"/>
      <c r="CS120" s="51"/>
      <c r="GP120" s="52"/>
    </row>
    <row r="121" spans="1:198" s="52" customFormat="1" ht="15.6" x14ac:dyDescent="0.3">
      <c r="A121" s="90" t="s">
        <v>1</v>
      </c>
      <c r="B121" s="19" t="s">
        <v>50</v>
      </c>
      <c r="C121" s="20" t="s">
        <v>175</v>
      </c>
      <c r="D121" s="18">
        <f t="shared" ref="D121:D122" si="226">SUM(E121+CA121)</f>
        <v>6033387</v>
      </c>
      <c r="E121" s="18">
        <f>SUM(F121+BA121)</f>
        <v>6033387</v>
      </c>
      <c r="F121" s="18">
        <f>SUM(G121+H121+I121+P121+S121+T121+U121+AE121+AD121)</f>
        <v>0</v>
      </c>
      <c r="G121" s="18">
        <v>0</v>
      </c>
      <c r="H121" s="18">
        <v>0</v>
      </c>
      <c r="I121" s="18">
        <f t="shared" si="120"/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f t="shared" si="121"/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f>SUM(V121:AC121)</f>
        <v>0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f>SUM(AF121:AZ121)</f>
        <v>0</v>
      </c>
      <c r="AF121" s="18">
        <v>0</v>
      </c>
      <c r="AG121" s="18">
        <v>0</v>
      </c>
      <c r="AH121" s="18">
        <v>0</v>
      </c>
      <c r="AI121" s="18">
        <v>0</v>
      </c>
      <c r="AJ121" s="18">
        <v>0</v>
      </c>
      <c r="AK121" s="18">
        <v>0</v>
      </c>
      <c r="AL121" s="18">
        <v>0</v>
      </c>
      <c r="AM121" s="18">
        <v>0</v>
      </c>
      <c r="AN121" s="18">
        <v>0</v>
      </c>
      <c r="AO121" s="18">
        <v>0</v>
      </c>
      <c r="AP121" s="18">
        <v>0</v>
      </c>
      <c r="AQ121" s="18">
        <v>0</v>
      </c>
      <c r="AR121" s="18">
        <v>0</v>
      </c>
      <c r="AS121" s="18">
        <v>0</v>
      </c>
      <c r="AT121" s="18"/>
      <c r="AU121" s="18"/>
      <c r="AV121" s="18">
        <v>0</v>
      </c>
      <c r="AW121" s="18">
        <v>0</v>
      </c>
      <c r="AX121" s="18">
        <v>0</v>
      </c>
      <c r="AY121" s="18"/>
      <c r="AZ121" s="18">
        <v>0</v>
      </c>
      <c r="BA121" s="18">
        <f>SUM(BB121+BF121+BJ121+BL121+BO121)</f>
        <v>6033387</v>
      </c>
      <c r="BB121" s="18">
        <f>SUM(BC121:BE121)</f>
        <v>6033387</v>
      </c>
      <c r="BC121" s="18">
        <v>0</v>
      </c>
      <c r="BD121" s="21">
        <v>6033387</v>
      </c>
      <c r="BE121" s="18">
        <v>0</v>
      </c>
      <c r="BF121" s="18">
        <f t="shared" ref="BF121:BF122" si="227">SUM(BG121:BI121)</f>
        <v>0</v>
      </c>
      <c r="BG121" s="18">
        <v>0</v>
      </c>
      <c r="BH121" s="18">
        <v>0</v>
      </c>
      <c r="BI121" s="18">
        <v>0</v>
      </c>
      <c r="BJ121" s="18">
        <v>0</v>
      </c>
      <c r="BK121" s="18">
        <v>0</v>
      </c>
      <c r="BL121" s="18">
        <f>SUM(BM121)+BN121</f>
        <v>0</v>
      </c>
      <c r="BM121" s="18">
        <v>0</v>
      </c>
      <c r="BN121" s="18"/>
      <c r="BO121" s="18">
        <f>SUM(BP121:BZ121)</f>
        <v>0</v>
      </c>
      <c r="BP121" s="18">
        <v>0</v>
      </c>
      <c r="BQ121" s="18">
        <v>0</v>
      </c>
      <c r="BR121" s="18">
        <v>0</v>
      </c>
      <c r="BS121" s="18">
        <v>0</v>
      </c>
      <c r="BT121" s="18">
        <v>0</v>
      </c>
      <c r="BU121" s="18">
        <v>0</v>
      </c>
      <c r="BV121" s="18">
        <v>0</v>
      </c>
      <c r="BW121" s="18">
        <v>0</v>
      </c>
      <c r="BX121" s="18">
        <v>0</v>
      </c>
      <c r="BY121" s="18">
        <v>0</v>
      </c>
      <c r="BZ121" s="18">
        <v>0</v>
      </c>
      <c r="CA121" s="18">
        <f>SUM(CB121+CN121)</f>
        <v>0</v>
      </c>
      <c r="CB121" s="18">
        <f>SUM(CC121+CF121+CK121)</f>
        <v>0</v>
      </c>
      <c r="CC121" s="18">
        <f t="shared" si="123"/>
        <v>0</v>
      </c>
      <c r="CD121" s="18">
        <v>0</v>
      </c>
      <c r="CE121" s="18">
        <v>0</v>
      </c>
      <c r="CF121" s="18">
        <f>SUM(CG121:CJ121)</f>
        <v>0</v>
      </c>
      <c r="CG121" s="18">
        <v>0</v>
      </c>
      <c r="CH121" s="18">
        <v>0</v>
      </c>
      <c r="CI121" s="18">
        <v>0</v>
      </c>
      <c r="CJ121" s="18">
        <v>0</v>
      </c>
      <c r="CK121" s="18">
        <f>SUM(CL121:CM121)</f>
        <v>0</v>
      </c>
      <c r="CL121" s="18">
        <v>0</v>
      </c>
      <c r="CM121" s="18">
        <v>0</v>
      </c>
      <c r="CN121" s="18">
        <v>0</v>
      </c>
      <c r="CO121" s="65"/>
      <c r="CP121" s="65"/>
      <c r="CQ121" s="65"/>
      <c r="CR121" s="65"/>
      <c r="CS121" s="46"/>
      <c r="GP121" s="82"/>
    </row>
    <row r="122" spans="1:198" ht="31.2" x14ac:dyDescent="0.3">
      <c r="A122" s="90" t="s">
        <v>1</v>
      </c>
      <c r="B122" s="19" t="s">
        <v>50</v>
      </c>
      <c r="C122" s="20" t="s">
        <v>418</v>
      </c>
      <c r="D122" s="18">
        <f t="shared" si="226"/>
        <v>2405851</v>
      </c>
      <c r="E122" s="18">
        <f>SUM(F122+BA122)</f>
        <v>2405851</v>
      </c>
      <c r="F122" s="18">
        <f>SUM(G122+H122+I122+P122+S122+T122+U122+AE122+AD122)</f>
        <v>0</v>
      </c>
      <c r="G122" s="18">
        <v>0</v>
      </c>
      <c r="H122" s="18">
        <v>0</v>
      </c>
      <c r="I122" s="18">
        <f t="shared" ref="I122" si="228">SUM(J122:O122)</f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f t="shared" ref="P122" si="229">SUM(Q122:R122)</f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f>SUM(V122:AC122)</f>
        <v>0</v>
      </c>
      <c r="V122" s="18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f>SUM(AF122:AZ122)</f>
        <v>0</v>
      </c>
      <c r="AF122" s="18">
        <v>0</v>
      </c>
      <c r="AG122" s="18">
        <v>0</v>
      </c>
      <c r="AH122" s="18">
        <v>0</v>
      </c>
      <c r="AI122" s="18">
        <v>0</v>
      </c>
      <c r="AJ122" s="18">
        <v>0</v>
      </c>
      <c r="AK122" s="18">
        <v>0</v>
      </c>
      <c r="AL122" s="18">
        <v>0</v>
      </c>
      <c r="AM122" s="18">
        <v>0</v>
      </c>
      <c r="AN122" s="18">
        <v>0</v>
      </c>
      <c r="AO122" s="18">
        <v>0</v>
      </c>
      <c r="AP122" s="18">
        <v>0</v>
      </c>
      <c r="AQ122" s="18">
        <v>0</v>
      </c>
      <c r="AR122" s="18">
        <v>0</v>
      </c>
      <c r="AS122" s="18">
        <v>0</v>
      </c>
      <c r="AT122" s="18"/>
      <c r="AU122" s="18"/>
      <c r="AV122" s="18">
        <v>0</v>
      </c>
      <c r="AW122" s="18">
        <v>0</v>
      </c>
      <c r="AX122" s="18">
        <v>0</v>
      </c>
      <c r="AY122" s="18"/>
      <c r="AZ122" s="18">
        <v>0</v>
      </c>
      <c r="BA122" s="18">
        <f>SUM(BB122+BF122+BJ122+BL122+BO122)</f>
        <v>2405851</v>
      </c>
      <c r="BB122" s="18">
        <f>SUM(BC122:BE122)</f>
        <v>0</v>
      </c>
      <c r="BC122" s="18">
        <v>0</v>
      </c>
      <c r="BD122" s="18"/>
      <c r="BE122" s="18">
        <v>0</v>
      </c>
      <c r="BF122" s="18">
        <f t="shared" si="227"/>
        <v>0</v>
      </c>
      <c r="BG122" s="18">
        <v>0</v>
      </c>
      <c r="BH122" s="18">
        <v>0</v>
      </c>
      <c r="BI122" s="18">
        <v>0</v>
      </c>
      <c r="BJ122" s="18">
        <v>0</v>
      </c>
      <c r="BK122" s="18">
        <v>0</v>
      </c>
      <c r="BL122" s="18">
        <f>SUM(BM122:BN122)</f>
        <v>2405851</v>
      </c>
      <c r="BM122" s="18">
        <v>0</v>
      </c>
      <c r="BN122" s="21">
        <v>2405851</v>
      </c>
      <c r="BO122" s="18">
        <f>SUM(BP122:BZ122)</f>
        <v>0</v>
      </c>
      <c r="BP122" s="18">
        <v>0</v>
      </c>
      <c r="BQ122" s="18">
        <v>0</v>
      </c>
      <c r="BR122" s="18">
        <v>0</v>
      </c>
      <c r="BS122" s="18">
        <v>0</v>
      </c>
      <c r="BT122" s="18">
        <v>0</v>
      </c>
      <c r="BU122" s="18">
        <v>0</v>
      </c>
      <c r="BV122" s="18">
        <v>0</v>
      </c>
      <c r="BW122" s="18">
        <v>0</v>
      </c>
      <c r="BX122" s="18">
        <v>0</v>
      </c>
      <c r="BY122" s="18">
        <v>0</v>
      </c>
      <c r="BZ122" s="18">
        <v>0</v>
      </c>
      <c r="CA122" s="18">
        <f>SUM(CB122+CN122)</f>
        <v>0</v>
      </c>
      <c r="CB122" s="18">
        <f>SUM(CC122+CF122+CK122)</f>
        <v>0</v>
      </c>
      <c r="CC122" s="18">
        <f t="shared" ref="CC122" si="230">SUM(CD122:CE122)</f>
        <v>0</v>
      </c>
      <c r="CD122" s="18">
        <v>0</v>
      </c>
      <c r="CE122" s="18">
        <v>0</v>
      </c>
      <c r="CF122" s="18">
        <f>SUM(CG122:CJ122)</f>
        <v>0</v>
      </c>
      <c r="CG122" s="18">
        <v>0</v>
      </c>
      <c r="CH122" s="18">
        <v>0</v>
      </c>
      <c r="CI122" s="18">
        <v>0</v>
      </c>
      <c r="CJ122" s="18">
        <v>0</v>
      </c>
      <c r="CK122" s="18">
        <f>SUM(CL122:CM122)</f>
        <v>0</v>
      </c>
      <c r="CL122" s="18">
        <v>0</v>
      </c>
      <c r="CM122" s="18">
        <v>0</v>
      </c>
      <c r="CN122" s="18">
        <v>0</v>
      </c>
      <c r="CO122" s="65"/>
      <c r="CP122" s="65"/>
      <c r="CQ122" s="65"/>
      <c r="CR122" s="65"/>
      <c r="CS122" s="46"/>
    </row>
    <row r="123" spans="1:198" s="52" customFormat="1" ht="15.6" x14ac:dyDescent="0.3">
      <c r="A123" s="89" t="s">
        <v>176</v>
      </c>
      <c r="B123" s="15" t="s">
        <v>1</v>
      </c>
      <c r="C123" s="16" t="s">
        <v>177</v>
      </c>
      <c r="D123" s="17">
        <f t="shared" ref="D123:AX123" si="231">SUM(D124:D124)</f>
        <v>19115094</v>
      </c>
      <c r="E123" s="17">
        <f t="shared" si="231"/>
        <v>19115094</v>
      </c>
      <c r="F123" s="17">
        <f t="shared" si="231"/>
        <v>0</v>
      </c>
      <c r="G123" s="17">
        <f t="shared" si="231"/>
        <v>0</v>
      </c>
      <c r="H123" s="17">
        <f t="shared" si="231"/>
        <v>0</v>
      </c>
      <c r="I123" s="17">
        <f t="shared" si="231"/>
        <v>0</v>
      </c>
      <c r="J123" s="17">
        <f t="shared" si="231"/>
        <v>0</v>
      </c>
      <c r="K123" s="17">
        <f t="shared" si="231"/>
        <v>0</v>
      </c>
      <c r="L123" s="17">
        <f t="shared" si="231"/>
        <v>0</v>
      </c>
      <c r="M123" s="17">
        <f t="shared" si="231"/>
        <v>0</v>
      </c>
      <c r="N123" s="17">
        <f t="shared" si="231"/>
        <v>0</v>
      </c>
      <c r="O123" s="17">
        <f t="shared" si="231"/>
        <v>0</v>
      </c>
      <c r="P123" s="17">
        <f t="shared" si="231"/>
        <v>0</v>
      </c>
      <c r="Q123" s="17">
        <f t="shared" si="231"/>
        <v>0</v>
      </c>
      <c r="R123" s="17">
        <f t="shared" si="231"/>
        <v>0</v>
      </c>
      <c r="S123" s="17">
        <f t="shared" si="231"/>
        <v>0</v>
      </c>
      <c r="T123" s="17">
        <f t="shared" si="231"/>
        <v>0</v>
      </c>
      <c r="U123" s="17">
        <f t="shared" si="231"/>
        <v>0</v>
      </c>
      <c r="V123" s="17">
        <f t="shared" si="231"/>
        <v>0</v>
      </c>
      <c r="W123" s="17">
        <f t="shared" si="231"/>
        <v>0</v>
      </c>
      <c r="X123" s="17">
        <f t="shared" si="231"/>
        <v>0</v>
      </c>
      <c r="Y123" s="17">
        <f t="shared" si="231"/>
        <v>0</v>
      </c>
      <c r="Z123" s="17">
        <f t="shared" si="231"/>
        <v>0</v>
      </c>
      <c r="AA123" s="17">
        <f t="shared" si="231"/>
        <v>0</v>
      </c>
      <c r="AB123" s="17">
        <f t="shared" si="231"/>
        <v>0</v>
      </c>
      <c r="AC123" s="17">
        <f t="shared" si="231"/>
        <v>0</v>
      </c>
      <c r="AD123" s="17">
        <f t="shared" si="231"/>
        <v>0</v>
      </c>
      <c r="AE123" s="17">
        <f t="shared" si="231"/>
        <v>0</v>
      </c>
      <c r="AF123" s="17">
        <f t="shared" si="231"/>
        <v>0</v>
      </c>
      <c r="AG123" s="17">
        <f t="shared" si="231"/>
        <v>0</v>
      </c>
      <c r="AH123" s="17">
        <f t="shared" si="231"/>
        <v>0</v>
      </c>
      <c r="AI123" s="17">
        <f t="shared" si="231"/>
        <v>0</v>
      </c>
      <c r="AJ123" s="17">
        <f t="shared" si="231"/>
        <v>0</v>
      </c>
      <c r="AK123" s="17">
        <f t="shared" si="231"/>
        <v>0</v>
      </c>
      <c r="AL123" s="17">
        <f t="shared" si="231"/>
        <v>0</v>
      </c>
      <c r="AM123" s="17">
        <f t="shared" si="231"/>
        <v>0</v>
      </c>
      <c r="AN123" s="17">
        <f t="shared" si="231"/>
        <v>0</v>
      </c>
      <c r="AO123" s="17">
        <f t="shared" si="231"/>
        <v>0</v>
      </c>
      <c r="AP123" s="17">
        <f t="shared" si="231"/>
        <v>0</v>
      </c>
      <c r="AQ123" s="17">
        <f t="shared" si="231"/>
        <v>0</v>
      </c>
      <c r="AR123" s="17">
        <f t="shared" si="231"/>
        <v>0</v>
      </c>
      <c r="AS123" s="17">
        <f t="shared" si="231"/>
        <v>0</v>
      </c>
      <c r="AT123" s="17">
        <f t="shared" si="231"/>
        <v>0</v>
      </c>
      <c r="AU123" s="17">
        <f t="shared" si="231"/>
        <v>0</v>
      </c>
      <c r="AV123" s="17">
        <f t="shared" si="231"/>
        <v>0</v>
      </c>
      <c r="AW123" s="17">
        <f t="shared" si="231"/>
        <v>0</v>
      </c>
      <c r="AX123" s="17">
        <f t="shared" si="231"/>
        <v>0</v>
      </c>
      <c r="AY123" s="17"/>
      <c r="AZ123" s="17">
        <f t="shared" ref="AZ123:CN123" si="232">SUM(AZ124:AZ124)</f>
        <v>0</v>
      </c>
      <c r="BA123" s="17">
        <f t="shared" si="232"/>
        <v>19115094</v>
      </c>
      <c r="BB123" s="17">
        <f t="shared" si="232"/>
        <v>19115094</v>
      </c>
      <c r="BC123" s="17">
        <f t="shared" si="232"/>
        <v>0</v>
      </c>
      <c r="BD123" s="17">
        <f t="shared" si="232"/>
        <v>0</v>
      </c>
      <c r="BE123" s="17">
        <f t="shared" si="232"/>
        <v>19115094</v>
      </c>
      <c r="BF123" s="17">
        <f t="shared" si="232"/>
        <v>0</v>
      </c>
      <c r="BG123" s="17">
        <f t="shared" si="232"/>
        <v>0</v>
      </c>
      <c r="BH123" s="17">
        <f t="shared" si="232"/>
        <v>0</v>
      </c>
      <c r="BI123" s="17">
        <f t="shared" si="232"/>
        <v>0</v>
      </c>
      <c r="BJ123" s="17">
        <f t="shared" si="232"/>
        <v>0</v>
      </c>
      <c r="BK123" s="17">
        <f t="shared" si="232"/>
        <v>0</v>
      </c>
      <c r="BL123" s="17">
        <f t="shared" si="232"/>
        <v>0</v>
      </c>
      <c r="BM123" s="17">
        <f t="shared" si="232"/>
        <v>0</v>
      </c>
      <c r="BN123" s="17">
        <f t="shared" si="232"/>
        <v>0</v>
      </c>
      <c r="BO123" s="17">
        <f t="shared" si="232"/>
        <v>0</v>
      </c>
      <c r="BP123" s="17">
        <f t="shared" si="232"/>
        <v>0</v>
      </c>
      <c r="BQ123" s="17">
        <f t="shared" si="232"/>
        <v>0</v>
      </c>
      <c r="BR123" s="17">
        <f t="shared" si="232"/>
        <v>0</v>
      </c>
      <c r="BS123" s="17">
        <f t="shared" si="232"/>
        <v>0</v>
      </c>
      <c r="BT123" s="17">
        <f t="shared" si="232"/>
        <v>0</v>
      </c>
      <c r="BU123" s="17">
        <f t="shared" si="232"/>
        <v>0</v>
      </c>
      <c r="BV123" s="17">
        <f t="shared" si="232"/>
        <v>0</v>
      </c>
      <c r="BW123" s="17">
        <f t="shared" si="232"/>
        <v>0</v>
      </c>
      <c r="BX123" s="17">
        <f t="shared" si="232"/>
        <v>0</v>
      </c>
      <c r="BY123" s="17">
        <f t="shared" si="232"/>
        <v>0</v>
      </c>
      <c r="BZ123" s="17">
        <f t="shared" si="232"/>
        <v>0</v>
      </c>
      <c r="CA123" s="17">
        <f t="shared" si="232"/>
        <v>0</v>
      </c>
      <c r="CB123" s="17">
        <f t="shared" si="232"/>
        <v>0</v>
      </c>
      <c r="CC123" s="17">
        <f t="shared" si="232"/>
        <v>0</v>
      </c>
      <c r="CD123" s="17">
        <f t="shared" si="232"/>
        <v>0</v>
      </c>
      <c r="CE123" s="17">
        <f t="shared" si="232"/>
        <v>0</v>
      </c>
      <c r="CF123" s="17">
        <f t="shared" si="232"/>
        <v>0</v>
      </c>
      <c r="CG123" s="17">
        <f t="shared" si="232"/>
        <v>0</v>
      </c>
      <c r="CH123" s="17">
        <f t="shared" si="232"/>
        <v>0</v>
      </c>
      <c r="CI123" s="17">
        <f t="shared" si="232"/>
        <v>0</v>
      </c>
      <c r="CJ123" s="17">
        <f t="shared" si="232"/>
        <v>0</v>
      </c>
      <c r="CK123" s="17">
        <f t="shared" si="232"/>
        <v>0</v>
      </c>
      <c r="CL123" s="17">
        <f t="shared" si="232"/>
        <v>0</v>
      </c>
      <c r="CM123" s="17">
        <f t="shared" si="232"/>
        <v>0</v>
      </c>
      <c r="CN123" s="17">
        <f t="shared" si="232"/>
        <v>0</v>
      </c>
      <c r="CO123" s="64"/>
      <c r="CP123" s="64"/>
      <c r="CQ123" s="64"/>
      <c r="CR123" s="64"/>
      <c r="CS123" s="51"/>
      <c r="GP123" s="44"/>
    </row>
    <row r="124" spans="1:198" ht="31.2" x14ac:dyDescent="0.3">
      <c r="A124" s="90"/>
      <c r="B124" s="19" t="s">
        <v>74</v>
      </c>
      <c r="C124" s="28" t="s">
        <v>178</v>
      </c>
      <c r="D124" s="18">
        <f>SUM(E124+CA124)</f>
        <v>19115094</v>
      </c>
      <c r="E124" s="18">
        <f>SUM(F124+BA124)</f>
        <v>19115094</v>
      </c>
      <c r="F124" s="18">
        <f>SUM(G124+H124+I124+P124+S124+T124+U124+AE124+AD124)</f>
        <v>0</v>
      </c>
      <c r="G124" s="18">
        <v>0</v>
      </c>
      <c r="H124" s="18">
        <v>0</v>
      </c>
      <c r="I124" s="18">
        <f t="shared" ref="I124" si="233">SUM(J124:O124)</f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f t="shared" ref="P124" si="234">SUM(Q124:R124)</f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f>SUM(V124:AC124)</f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f>SUM(AF124:AZ124)</f>
        <v>0</v>
      </c>
      <c r="AF124" s="18">
        <v>0</v>
      </c>
      <c r="AG124" s="18">
        <v>0</v>
      </c>
      <c r="AH124" s="18">
        <v>0</v>
      </c>
      <c r="AI124" s="18">
        <v>0</v>
      </c>
      <c r="AJ124" s="18">
        <v>0</v>
      </c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0</v>
      </c>
      <c r="AQ124" s="18">
        <v>0</v>
      </c>
      <c r="AR124" s="18">
        <v>0</v>
      </c>
      <c r="AS124" s="18">
        <v>0</v>
      </c>
      <c r="AT124" s="18"/>
      <c r="AU124" s="18"/>
      <c r="AV124" s="18">
        <v>0</v>
      </c>
      <c r="AW124" s="18">
        <v>0</v>
      </c>
      <c r="AX124" s="18">
        <v>0</v>
      </c>
      <c r="AY124" s="18"/>
      <c r="AZ124" s="18">
        <v>0</v>
      </c>
      <c r="BA124" s="18">
        <f>SUM(BB124+BF124+BJ124+BL124+BO124)</f>
        <v>19115094</v>
      </c>
      <c r="BB124" s="18">
        <f>SUM(BC124:BE124)</f>
        <v>19115094</v>
      </c>
      <c r="BC124" s="18">
        <v>0</v>
      </c>
      <c r="BD124" s="18">
        <v>0</v>
      </c>
      <c r="BE124" s="21">
        <f>18724102+390992</f>
        <v>19115094</v>
      </c>
      <c r="BF124" s="18">
        <f>SUM(BG124:BI124)</f>
        <v>0</v>
      </c>
      <c r="BG124" s="18">
        <v>0</v>
      </c>
      <c r="BH124" s="18">
        <v>0</v>
      </c>
      <c r="BI124" s="18">
        <v>0</v>
      </c>
      <c r="BJ124" s="18">
        <v>0</v>
      </c>
      <c r="BK124" s="18">
        <v>0</v>
      </c>
      <c r="BL124" s="18">
        <f t="shared" ref="BL124" si="235">SUM(BM124)</f>
        <v>0</v>
      </c>
      <c r="BM124" s="18">
        <v>0</v>
      </c>
      <c r="BN124" s="18">
        <v>0</v>
      </c>
      <c r="BO124" s="18">
        <f>SUM(BP124:BZ124)</f>
        <v>0</v>
      </c>
      <c r="BP124" s="18">
        <v>0</v>
      </c>
      <c r="BQ124" s="18">
        <v>0</v>
      </c>
      <c r="BR124" s="18">
        <v>0</v>
      </c>
      <c r="BS124" s="18">
        <v>0</v>
      </c>
      <c r="BT124" s="18">
        <v>0</v>
      </c>
      <c r="BU124" s="18">
        <v>0</v>
      </c>
      <c r="BV124" s="18">
        <v>0</v>
      </c>
      <c r="BW124" s="18">
        <v>0</v>
      </c>
      <c r="BX124" s="18">
        <v>0</v>
      </c>
      <c r="BY124" s="18">
        <v>0</v>
      </c>
      <c r="BZ124" s="18">
        <v>0</v>
      </c>
      <c r="CA124" s="18">
        <f>SUM(CB124+CN124)</f>
        <v>0</v>
      </c>
      <c r="CB124" s="18">
        <f>SUM(CC124+CF124+CK124)</f>
        <v>0</v>
      </c>
      <c r="CC124" s="18">
        <f t="shared" ref="CC124" si="236">SUM(CD124:CE124)</f>
        <v>0</v>
      </c>
      <c r="CD124" s="18">
        <v>0</v>
      </c>
      <c r="CE124" s="18">
        <v>0</v>
      </c>
      <c r="CF124" s="18">
        <f>SUM(CG124:CJ124)</f>
        <v>0</v>
      </c>
      <c r="CG124" s="18">
        <v>0</v>
      </c>
      <c r="CH124" s="18">
        <v>0</v>
      </c>
      <c r="CI124" s="18">
        <v>0</v>
      </c>
      <c r="CJ124" s="18">
        <v>0</v>
      </c>
      <c r="CK124" s="18">
        <f>SUM(CL124:CM124)</f>
        <v>0</v>
      </c>
      <c r="CL124" s="18">
        <v>0</v>
      </c>
      <c r="CM124" s="18">
        <v>0</v>
      </c>
      <c r="CN124" s="18">
        <v>0</v>
      </c>
      <c r="CO124" s="65"/>
      <c r="CP124" s="65"/>
      <c r="CQ124" s="65"/>
      <c r="CR124" s="65"/>
      <c r="CS124" s="46"/>
      <c r="GP124" s="52"/>
    </row>
    <row r="125" spans="1:198" ht="15.6" x14ac:dyDescent="0.3">
      <c r="A125" s="89" t="s">
        <v>179</v>
      </c>
      <c r="B125" s="15" t="s">
        <v>1</v>
      </c>
      <c r="C125" s="16" t="s">
        <v>180</v>
      </c>
      <c r="D125" s="17">
        <f t="shared" ref="D125:AI125" si="237">SUM(D126:D127)</f>
        <v>4099018</v>
      </c>
      <c r="E125" s="17">
        <f t="shared" si="237"/>
        <v>4099018</v>
      </c>
      <c r="F125" s="17">
        <f t="shared" si="237"/>
        <v>4099018</v>
      </c>
      <c r="G125" s="17">
        <f t="shared" si="237"/>
        <v>0</v>
      </c>
      <c r="H125" s="17">
        <f t="shared" si="237"/>
        <v>0</v>
      </c>
      <c r="I125" s="17">
        <f t="shared" si="237"/>
        <v>0</v>
      </c>
      <c r="J125" s="17">
        <f t="shared" si="237"/>
        <v>0</v>
      </c>
      <c r="K125" s="17">
        <f t="shared" si="237"/>
        <v>0</v>
      </c>
      <c r="L125" s="17">
        <f t="shared" si="237"/>
        <v>0</v>
      </c>
      <c r="M125" s="17">
        <f t="shared" si="237"/>
        <v>0</v>
      </c>
      <c r="N125" s="17">
        <f t="shared" si="237"/>
        <v>0</v>
      </c>
      <c r="O125" s="17">
        <f t="shared" si="237"/>
        <v>0</v>
      </c>
      <c r="P125" s="17">
        <f t="shared" si="237"/>
        <v>0</v>
      </c>
      <c r="Q125" s="17">
        <f t="shared" si="237"/>
        <v>0</v>
      </c>
      <c r="R125" s="17">
        <f t="shared" si="237"/>
        <v>0</v>
      </c>
      <c r="S125" s="17">
        <f t="shared" si="237"/>
        <v>0</v>
      </c>
      <c r="T125" s="17">
        <f t="shared" si="237"/>
        <v>0</v>
      </c>
      <c r="U125" s="17">
        <f t="shared" si="237"/>
        <v>0</v>
      </c>
      <c r="V125" s="17">
        <f t="shared" si="237"/>
        <v>0</v>
      </c>
      <c r="W125" s="17">
        <f t="shared" si="237"/>
        <v>0</v>
      </c>
      <c r="X125" s="17">
        <f t="shared" si="237"/>
        <v>0</v>
      </c>
      <c r="Y125" s="17">
        <f t="shared" si="237"/>
        <v>0</v>
      </c>
      <c r="Z125" s="17">
        <f t="shared" si="237"/>
        <v>0</v>
      </c>
      <c r="AA125" s="17">
        <f t="shared" si="237"/>
        <v>0</v>
      </c>
      <c r="AB125" s="17">
        <f t="shared" si="237"/>
        <v>0</v>
      </c>
      <c r="AC125" s="17">
        <f t="shared" si="237"/>
        <v>0</v>
      </c>
      <c r="AD125" s="17">
        <f t="shared" si="237"/>
        <v>0</v>
      </c>
      <c r="AE125" s="17">
        <f t="shared" si="237"/>
        <v>4099018</v>
      </c>
      <c r="AF125" s="17">
        <f t="shared" si="237"/>
        <v>0</v>
      </c>
      <c r="AG125" s="17">
        <f t="shared" si="237"/>
        <v>0</v>
      </c>
      <c r="AH125" s="17">
        <f t="shared" si="237"/>
        <v>0</v>
      </c>
      <c r="AI125" s="17">
        <f t="shared" si="237"/>
        <v>0</v>
      </c>
      <c r="AJ125" s="17">
        <f t="shared" ref="AJ125:BP125" si="238">SUM(AJ126:AJ127)</f>
        <v>0</v>
      </c>
      <c r="AK125" s="17">
        <f t="shared" si="238"/>
        <v>0</v>
      </c>
      <c r="AL125" s="17">
        <f t="shared" si="238"/>
        <v>0</v>
      </c>
      <c r="AM125" s="17">
        <f t="shared" si="238"/>
        <v>0</v>
      </c>
      <c r="AN125" s="17">
        <f t="shared" si="238"/>
        <v>0</v>
      </c>
      <c r="AO125" s="17">
        <f t="shared" si="238"/>
        <v>0</v>
      </c>
      <c r="AP125" s="17">
        <f t="shared" si="238"/>
        <v>0</v>
      </c>
      <c r="AQ125" s="17">
        <f t="shared" si="238"/>
        <v>0</v>
      </c>
      <c r="AR125" s="17">
        <f t="shared" si="238"/>
        <v>0</v>
      </c>
      <c r="AS125" s="17">
        <f t="shared" si="238"/>
        <v>0</v>
      </c>
      <c r="AT125" s="17">
        <f t="shared" si="238"/>
        <v>0</v>
      </c>
      <c r="AU125" s="17">
        <f t="shared" si="238"/>
        <v>0</v>
      </c>
      <c r="AV125" s="17">
        <f t="shared" si="238"/>
        <v>0</v>
      </c>
      <c r="AW125" s="17">
        <f t="shared" si="238"/>
        <v>0</v>
      </c>
      <c r="AX125" s="17">
        <f t="shared" si="238"/>
        <v>0</v>
      </c>
      <c r="AY125" s="17">
        <f t="shared" si="238"/>
        <v>0</v>
      </c>
      <c r="AZ125" s="17">
        <f t="shared" si="238"/>
        <v>4099018</v>
      </c>
      <c r="BA125" s="17">
        <f t="shared" si="238"/>
        <v>0</v>
      </c>
      <c r="BB125" s="17">
        <f t="shared" si="238"/>
        <v>0</v>
      </c>
      <c r="BC125" s="17">
        <f t="shared" si="238"/>
        <v>0</v>
      </c>
      <c r="BD125" s="17">
        <f t="shared" si="238"/>
        <v>0</v>
      </c>
      <c r="BE125" s="17">
        <f t="shared" si="238"/>
        <v>0</v>
      </c>
      <c r="BF125" s="17">
        <f t="shared" si="238"/>
        <v>0</v>
      </c>
      <c r="BG125" s="17">
        <f t="shared" si="238"/>
        <v>0</v>
      </c>
      <c r="BH125" s="17">
        <f t="shared" ref="BH125" si="239">SUM(BH126:BH127)</f>
        <v>0</v>
      </c>
      <c r="BI125" s="17">
        <f t="shared" si="238"/>
        <v>0</v>
      </c>
      <c r="BJ125" s="17">
        <f t="shared" si="238"/>
        <v>0</v>
      </c>
      <c r="BK125" s="17">
        <f t="shared" si="238"/>
        <v>0</v>
      </c>
      <c r="BL125" s="17">
        <f t="shared" si="238"/>
        <v>0</v>
      </c>
      <c r="BM125" s="17">
        <f t="shared" si="238"/>
        <v>0</v>
      </c>
      <c r="BN125" s="17">
        <f t="shared" si="238"/>
        <v>0</v>
      </c>
      <c r="BO125" s="17">
        <f t="shared" si="238"/>
        <v>0</v>
      </c>
      <c r="BP125" s="17">
        <f t="shared" si="238"/>
        <v>0</v>
      </c>
      <c r="BQ125" s="17">
        <f t="shared" ref="BQ125:CN125" si="240">SUM(BQ126:BQ127)</f>
        <v>0</v>
      </c>
      <c r="BR125" s="17">
        <f t="shared" si="240"/>
        <v>0</v>
      </c>
      <c r="BS125" s="17">
        <f t="shared" si="240"/>
        <v>0</v>
      </c>
      <c r="BT125" s="17">
        <f t="shared" si="240"/>
        <v>0</v>
      </c>
      <c r="BU125" s="17">
        <f t="shared" si="240"/>
        <v>0</v>
      </c>
      <c r="BV125" s="17">
        <f t="shared" si="240"/>
        <v>0</v>
      </c>
      <c r="BW125" s="17">
        <f t="shared" si="240"/>
        <v>0</v>
      </c>
      <c r="BX125" s="17">
        <f t="shared" si="240"/>
        <v>0</v>
      </c>
      <c r="BY125" s="17">
        <f t="shared" si="240"/>
        <v>0</v>
      </c>
      <c r="BZ125" s="17">
        <f t="shared" si="240"/>
        <v>0</v>
      </c>
      <c r="CA125" s="17">
        <f t="shared" si="240"/>
        <v>0</v>
      </c>
      <c r="CB125" s="17">
        <f t="shared" si="240"/>
        <v>0</v>
      </c>
      <c r="CC125" s="17">
        <f t="shared" si="240"/>
        <v>0</v>
      </c>
      <c r="CD125" s="17">
        <f t="shared" si="240"/>
        <v>0</v>
      </c>
      <c r="CE125" s="17">
        <f t="shared" si="240"/>
        <v>0</v>
      </c>
      <c r="CF125" s="17">
        <f t="shared" si="240"/>
        <v>0</v>
      </c>
      <c r="CG125" s="17">
        <f t="shared" si="240"/>
        <v>0</v>
      </c>
      <c r="CH125" s="17">
        <f t="shared" si="240"/>
        <v>0</v>
      </c>
      <c r="CI125" s="17">
        <f t="shared" si="240"/>
        <v>0</v>
      </c>
      <c r="CJ125" s="17">
        <f t="shared" si="240"/>
        <v>0</v>
      </c>
      <c r="CK125" s="17">
        <f t="shared" si="240"/>
        <v>0</v>
      </c>
      <c r="CL125" s="17">
        <f t="shared" si="240"/>
        <v>0</v>
      </c>
      <c r="CM125" s="17">
        <f t="shared" si="240"/>
        <v>0</v>
      </c>
      <c r="CN125" s="17">
        <f t="shared" si="240"/>
        <v>0</v>
      </c>
      <c r="CO125" s="64"/>
      <c r="CP125" s="64"/>
      <c r="CQ125" s="64"/>
      <c r="CR125" s="64"/>
      <c r="CS125" s="51"/>
    </row>
    <row r="126" spans="1:198" s="52" customFormat="1" ht="15.6" customHeight="1" x14ac:dyDescent="0.3">
      <c r="A126" s="90"/>
      <c r="B126" s="19" t="s">
        <v>50</v>
      </c>
      <c r="C126" s="28" t="s">
        <v>449</v>
      </c>
      <c r="D126" s="18">
        <f>SUM(E126+CA126)</f>
        <v>593821</v>
      </c>
      <c r="E126" s="18">
        <f>SUM(F126+BA126)</f>
        <v>593821</v>
      </c>
      <c r="F126" s="18">
        <f t="shared" ref="F126:F127" si="241">SUM(G126+H126+I126+P126+S126+T126+U126+AE126+AD126)</f>
        <v>593821</v>
      </c>
      <c r="G126" s="18">
        <v>0</v>
      </c>
      <c r="H126" s="18">
        <v>0</v>
      </c>
      <c r="I126" s="18">
        <f t="shared" ref="I126:I127" si="242">SUM(J126:O126)</f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f t="shared" ref="P126:P127" si="243">SUM(Q126:R126)</f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f t="shared" ref="U126:U127" si="244">SUM(V126:AC126)</f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  <c r="AE126" s="18">
        <f>SUM(AF126:AZ126)</f>
        <v>593821</v>
      </c>
      <c r="AF126" s="18">
        <v>0</v>
      </c>
      <c r="AG126" s="18">
        <v>0</v>
      </c>
      <c r="AH126" s="18">
        <v>0</v>
      </c>
      <c r="AI126" s="18">
        <v>0</v>
      </c>
      <c r="AJ126" s="18">
        <v>0</v>
      </c>
      <c r="AK126" s="18">
        <v>0</v>
      </c>
      <c r="AL126" s="18">
        <v>0</v>
      </c>
      <c r="AM126" s="18">
        <v>0</v>
      </c>
      <c r="AN126" s="18">
        <v>0</v>
      </c>
      <c r="AO126" s="18">
        <v>0</v>
      </c>
      <c r="AP126" s="18">
        <v>0</v>
      </c>
      <c r="AQ126" s="18">
        <v>0</v>
      </c>
      <c r="AR126" s="18">
        <v>0</v>
      </c>
      <c r="AS126" s="18">
        <v>0</v>
      </c>
      <c r="AT126" s="18">
        <v>0</v>
      </c>
      <c r="AU126" s="18">
        <v>0</v>
      </c>
      <c r="AV126" s="18">
        <v>0</v>
      </c>
      <c r="AW126" s="18">
        <v>0</v>
      </c>
      <c r="AX126" s="18">
        <v>0</v>
      </c>
      <c r="AY126" s="18">
        <v>0</v>
      </c>
      <c r="AZ126" s="18">
        <f>721478-127657</f>
        <v>593821</v>
      </c>
      <c r="BA126" s="18">
        <f>SUM(BB126+BF126+BJ126+BL126+BO126)</f>
        <v>0</v>
      </c>
      <c r="BB126" s="18">
        <f t="shared" ref="BB126:BB127" si="245">SUM(BC126:BE126)</f>
        <v>0</v>
      </c>
      <c r="BC126" s="18">
        <v>0</v>
      </c>
      <c r="BD126" s="18">
        <v>0</v>
      </c>
      <c r="BE126" s="21"/>
      <c r="BF126" s="18">
        <f t="shared" ref="BF126:BF127" si="246">SUM(BG126:BI126)</f>
        <v>0</v>
      </c>
      <c r="BG126" s="18">
        <v>0</v>
      </c>
      <c r="BH126" s="18">
        <v>0</v>
      </c>
      <c r="BI126" s="18">
        <v>0</v>
      </c>
      <c r="BJ126" s="18">
        <v>0</v>
      </c>
      <c r="BK126" s="18">
        <v>0</v>
      </c>
      <c r="BL126" s="18">
        <f t="shared" ref="BL126:BL127" si="247">SUM(BM126)</f>
        <v>0</v>
      </c>
      <c r="BM126" s="18">
        <v>0</v>
      </c>
      <c r="BN126" s="18">
        <v>0</v>
      </c>
      <c r="BO126" s="18">
        <f t="shared" ref="BO126:BO127" si="248">SUM(BP126:BZ126)</f>
        <v>0</v>
      </c>
      <c r="BP126" s="18">
        <v>0</v>
      </c>
      <c r="BQ126" s="18">
        <v>0</v>
      </c>
      <c r="BR126" s="18">
        <v>0</v>
      </c>
      <c r="BS126" s="18">
        <v>0</v>
      </c>
      <c r="BT126" s="18">
        <v>0</v>
      </c>
      <c r="BU126" s="18">
        <v>0</v>
      </c>
      <c r="BV126" s="18">
        <v>0</v>
      </c>
      <c r="BW126" s="18">
        <v>0</v>
      </c>
      <c r="BX126" s="18">
        <v>0</v>
      </c>
      <c r="BY126" s="18">
        <v>0</v>
      </c>
      <c r="BZ126" s="18">
        <v>0</v>
      </c>
      <c r="CA126" s="18">
        <f>SUM(CB126+CN126)</f>
        <v>0</v>
      </c>
      <c r="CB126" s="18">
        <f>SUM(CC126+CF126+CK126)</f>
        <v>0</v>
      </c>
      <c r="CC126" s="18">
        <f t="shared" ref="CC126:CC127" si="249">SUM(CD126:CE126)</f>
        <v>0</v>
      </c>
      <c r="CD126" s="18">
        <v>0</v>
      </c>
      <c r="CE126" s="18">
        <v>0</v>
      </c>
      <c r="CF126" s="18">
        <f>SUM(CG126:CJ126)</f>
        <v>0</v>
      </c>
      <c r="CG126" s="18">
        <v>0</v>
      </c>
      <c r="CH126" s="18">
        <v>0</v>
      </c>
      <c r="CI126" s="18">
        <v>0</v>
      </c>
      <c r="CJ126" s="18">
        <v>0</v>
      </c>
      <c r="CK126" s="18">
        <f>SUM(CL126:CM126)</f>
        <v>0</v>
      </c>
      <c r="CL126" s="18">
        <v>0</v>
      </c>
      <c r="CM126" s="18">
        <v>0</v>
      </c>
      <c r="CN126" s="18">
        <v>0</v>
      </c>
      <c r="CO126" s="65"/>
      <c r="CP126" s="65"/>
      <c r="CQ126" s="65"/>
      <c r="CR126" s="65"/>
      <c r="CS126" s="46"/>
    </row>
    <row r="127" spans="1:198" ht="31.2" x14ac:dyDescent="0.3">
      <c r="A127" s="90"/>
      <c r="B127" s="19" t="s">
        <v>74</v>
      </c>
      <c r="C127" s="28" t="s">
        <v>450</v>
      </c>
      <c r="D127" s="18">
        <f>SUM(E127+CA127)</f>
        <v>3505197</v>
      </c>
      <c r="E127" s="18">
        <f>SUM(F127+BA127)</f>
        <v>3505197</v>
      </c>
      <c r="F127" s="18">
        <f t="shared" si="241"/>
        <v>3505197</v>
      </c>
      <c r="G127" s="18">
        <v>0</v>
      </c>
      <c r="H127" s="18">
        <v>0</v>
      </c>
      <c r="I127" s="18">
        <f t="shared" si="242"/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f t="shared" si="243"/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f t="shared" si="244"/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0</v>
      </c>
      <c r="AC127" s="18">
        <v>0</v>
      </c>
      <c r="AD127" s="18">
        <v>0</v>
      </c>
      <c r="AE127" s="18">
        <f>SUM(AF127:AZ127)</f>
        <v>3505197</v>
      </c>
      <c r="AF127" s="18">
        <v>0</v>
      </c>
      <c r="AG127" s="18">
        <v>0</v>
      </c>
      <c r="AH127" s="18">
        <v>0</v>
      </c>
      <c r="AI127" s="18">
        <v>0</v>
      </c>
      <c r="AJ127" s="18">
        <v>0</v>
      </c>
      <c r="AK127" s="18">
        <v>0</v>
      </c>
      <c r="AL127" s="18">
        <v>0</v>
      </c>
      <c r="AM127" s="18">
        <v>0</v>
      </c>
      <c r="AN127" s="18">
        <v>0</v>
      </c>
      <c r="AO127" s="18">
        <v>0</v>
      </c>
      <c r="AP127" s="18">
        <v>0</v>
      </c>
      <c r="AQ127" s="18">
        <v>0</v>
      </c>
      <c r="AR127" s="18">
        <v>0</v>
      </c>
      <c r="AS127" s="18">
        <v>0</v>
      </c>
      <c r="AT127" s="18">
        <v>0</v>
      </c>
      <c r="AU127" s="18">
        <v>0</v>
      </c>
      <c r="AV127" s="18">
        <v>0</v>
      </c>
      <c r="AW127" s="18">
        <v>0</v>
      </c>
      <c r="AX127" s="18">
        <v>0</v>
      </c>
      <c r="AY127" s="18">
        <v>0</v>
      </c>
      <c r="AZ127" s="18">
        <f>4266892-761695</f>
        <v>3505197</v>
      </c>
      <c r="BA127" s="18">
        <f>SUM(BB127+BF127+BJ127+BL127+BO127)</f>
        <v>0</v>
      </c>
      <c r="BB127" s="18">
        <f t="shared" si="245"/>
        <v>0</v>
      </c>
      <c r="BC127" s="18">
        <v>0</v>
      </c>
      <c r="BD127" s="18">
        <v>0</v>
      </c>
      <c r="BE127" s="21"/>
      <c r="BF127" s="18">
        <f t="shared" si="246"/>
        <v>0</v>
      </c>
      <c r="BG127" s="18">
        <v>0</v>
      </c>
      <c r="BH127" s="18">
        <v>0</v>
      </c>
      <c r="BI127" s="18">
        <v>0</v>
      </c>
      <c r="BJ127" s="18">
        <v>0</v>
      </c>
      <c r="BK127" s="18">
        <v>0</v>
      </c>
      <c r="BL127" s="18">
        <f t="shared" si="247"/>
        <v>0</v>
      </c>
      <c r="BM127" s="18">
        <v>0</v>
      </c>
      <c r="BN127" s="18">
        <v>0</v>
      </c>
      <c r="BO127" s="18">
        <f t="shared" si="248"/>
        <v>0</v>
      </c>
      <c r="BP127" s="18">
        <v>0</v>
      </c>
      <c r="BQ127" s="18">
        <v>0</v>
      </c>
      <c r="BR127" s="18">
        <v>0</v>
      </c>
      <c r="BS127" s="18">
        <v>0</v>
      </c>
      <c r="BT127" s="18">
        <v>0</v>
      </c>
      <c r="BU127" s="18">
        <v>0</v>
      </c>
      <c r="BV127" s="18">
        <v>0</v>
      </c>
      <c r="BW127" s="18">
        <v>0</v>
      </c>
      <c r="BX127" s="18">
        <v>0</v>
      </c>
      <c r="BY127" s="18">
        <v>0</v>
      </c>
      <c r="BZ127" s="18">
        <v>0</v>
      </c>
      <c r="CA127" s="18">
        <f>SUM(CB127+CN127)</f>
        <v>0</v>
      </c>
      <c r="CB127" s="18">
        <f>SUM(CC127+CF127+CK127)</f>
        <v>0</v>
      </c>
      <c r="CC127" s="18">
        <f t="shared" si="249"/>
        <v>0</v>
      </c>
      <c r="CD127" s="18">
        <v>0</v>
      </c>
      <c r="CE127" s="18">
        <v>0</v>
      </c>
      <c r="CF127" s="18">
        <f>SUM(CG127:CJ127)</f>
        <v>0</v>
      </c>
      <c r="CG127" s="18">
        <v>0</v>
      </c>
      <c r="CH127" s="18">
        <v>0</v>
      </c>
      <c r="CI127" s="18">
        <v>0</v>
      </c>
      <c r="CJ127" s="18">
        <v>0</v>
      </c>
      <c r="CK127" s="18">
        <f>SUM(CL127:CM127)</f>
        <v>0</v>
      </c>
      <c r="CL127" s="18">
        <v>0</v>
      </c>
      <c r="CM127" s="18">
        <v>0</v>
      </c>
      <c r="CN127" s="18">
        <v>0</v>
      </c>
      <c r="CO127" s="65"/>
      <c r="CP127" s="65"/>
      <c r="CQ127" s="65"/>
      <c r="CR127" s="65"/>
      <c r="CS127" s="46"/>
    </row>
    <row r="128" spans="1:198" s="52" customFormat="1" ht="31.2" x14ac:dyDescent="0.3">
      <c r="A128" s="89" t="s">
        <v>181</v>
      </c>
      <c r="B128" s="15" t="s">
        <v>1</v>
      </c>
      <c r="C128" s="16" t="s">
        <v>182</v>
      </c>
      <c r="D128" s="17">
        <f t="shared" ref="D128:AX128" si="250">SUM(D129:D129)</f>
        <v>1166602</v>
      </c>
      <c r="E128" s="17">
        <f t="shared" si="250"/>
        <v>1166602</v>
      </c>
      <c r="F128" s="17">
        <f t="shared" si="250"/>
        <v>1166602</v>
      </c>
      <c r="G128" s="17">
        <f t="shared" si="250"/>
        <v>0</v>
      </c>
      <c r="H128" s="17">
        <f t="shared" si="250"/>
        <v>0</v>
      </c>
      <c r="I128" s="17">
        <f t="shared" si="250"/>
        <v>0</v>
      </c>
      <c r="J128" s="17">
        <f t="shared" si="250"/>
        <v>0</v>
      </c>
      <c r="K128" s="17">
        <f t="shared" si="250"/>
        <v>0</v>
      </c>
      <c r="L128" s="17">
        <f t="shared" si="250"/>
        <v>0</v>
      </c>
      <c r="M128" s="17">
        <f t="shared" si="250"/>
        <v>0</v>
      </c>
      <c r="N128" s="17">
        <f t="shared" si="250"/>
        <v>0</v>
      </c>
      <c r="O128" s="17">
        <f t="shared" si="250"/>
        <v>0</v>
      </c>
      <c r="P128" s="17">
        <f t="shared" si="250"/>
        <v>0</v>
      </c>
      <c r="Q128" s="17">
        <f t="shared" si="250"/>
        <v>0</v>
      </c>
      <c r="R128" s="17">
        <f t="shared" si="250"/>
        <v>0</v>
      </c>
      <c r="S128" s="17">
        <f t="shared" si="250"/>
        <v>0</v>
      </c>
      <c r="T128" s="17">
        <f t="shared" si="250"/>
        <v>0</v>
      </c>
      <c r="U128" s="17">
        <f t="shared" si="250"/>
        <v>0</v>
      </c>
      <c r="V128" s="17">
        <f t="shared" si="250"/>
        <v>0</v>
      </c>
      <c r="W128" s="17">
        <f t="shared" si="250"/>
        <v>0</v>
      </c>
      <c r="X128" s="17">
        <f t="shared" si="250"/>
        <v>0</v>
      </c>
      <c r="Y128" s="17">
        <f t="shared" si="250"/>
        <v>0</v>
      </c>
      <c r="Z128" s="17">
        <f t="shared" si="250"/>
        <v>0</v>
      </c>
      <c r="AA128" s="17">
        <f t="shared" si="250"/>
        <v>0</v>
      </c>
      <c r="AB128" s="17">
        <f t="shared" si="250"/>
        <v>0</v>
      </c>
      <c r="AC128" s="17">
        <f t="shared" si="250"/>
        <v>0</v>
      </c>
      <c r="AD128" s="17">
        <f t="shared" si="250"/>
        <v>0</v>
      </c>
      <c r="AE128" s="17">
        <f t="shared" si="250"/>
        <v>1166602</v>
      </c>
      <c r="AF128" s="17">
        <f t="shared" si="250"/>
        <v>0</v>
      </c>
      <c r="AG128" s="17">
        <f t="shared" si="250"/>
        <v>0</v>
      </c>
      <c r="AH128" s="17">
        <f t="shared" si="250"/>
        <v>0</v>
      </c>
      <c r="AI128" s="17">
        <f t="shared" si="250"/>
        <v>0</v>
      </c>
      <c r="AJ128" s="17">
        <f t="shared" si="250"/>
        <v>0</v>
      </c>
      <c r="AK128" s="17">
        <f t="shared" si="250"/>
        <v>0</v>
      </c>
      <c r="AL128" s="17">
        <f t="shared" si="250"/>
        <v>0</v>
      </c>
      <c r="AM128" s="17">
        <f t="shared" si="250"/>
        <v>0</v>
      </c>
      <c r="AN128" s="17">
        <f t="shared" si="250"/>
        <v>0</v>
      </c>
      <c r="AO128" s="17">
        <f t="shared" si="250"/>
        <v>0</v>
      </c>
      <c r="AP128" s="17">
        <f t="shared" si="250"/>
        <v>0</v>
      </c>
      <c r="AQ128" s="17">
        <f t="shared" si="250"/>
        <v>0</v>
      </c>
      <c r="AR128" s="17">
        <f t="shared" si="250"/>
        <v>0</v>
      </c>
      <c r="AS128" s="17">
        <f t="shared" si="250"/>
        <v>0</v>
      </c>
      <c r="AT128" s="17">
        <f t="shared" si="250"/>
        <v>0</v>
      </c>
      <c r="AU128" s="17">
        <f t="shared" si="250"/>
        <v>0</v>
      </c>
      <c r="AV128" s="17">
        <f t="shared" si="250"/>
        <v>0</v>
      </c>
      <c r="AW128" s="17">
        <f t="shared" si="250"/>
        <v>0</v>
      </c>
      <c r="AX128" s="17">
        <f t="shared" si="250"/>
        <v>0</v>
      </c>
      <c r="AY128" s="17"/>
      <c r="AZ128" s="17">
        <f t="shared" ref="AZ128:CN128" si="251">SUM(AZ129:AZ129)</f>
        <v>1166602</v>
      </c>
      <c r="BA128" s="17">
        <f t="shared" si="251"/>
        <v>0</v>
      </c>
      <c r="BB128" s="17">
        <f t="shared" si="251"/>
        <v>0</v>
      </c>
      <c r="BC128" s="17">
        <f t="shared" si="251"/>
        <v>0</v>
      </c>
      <c r="BD128" s="17">
        <f t="shared" si="251"/>
        <v>0</v>
      </c>
      <c r="BE128" s="17">
        <f t="shared" si="251"/>
        <v>0</v>
      </c>
      <c r="BF128" s="17">
        <f t="shared" si="251"/>
        <v>0</v>
      </c>
      <c r="BG128" s="17">
        <f t="shared" si="251"/>
        <v>0</v>
      </c>
      <c r="BH128" s="17">
        <f t="shared" si="251"/>
        <v>0</v>
      </c>
      <c r="BI128" s="17">
        <f t="shared" si="251"/>
        <v>0</v>
      </c>
      <c r="BJ128" s="17">
        <f t="shared" si="251"/>
        <v>0</v>
      </c>
      <c r="BK128" s="17">
        <f t="shared" si="251"/>
        <v>0</v>
      </c>
      <c r="BL128" s="17">
        <f t="shared" si="251"/>
        <v>0</v>
      </c>
      <c r="BM128" s="17">
        <f t="shared" si="251"/>
        <v>0</v>
      </c>
      <c r="BN128" s="17">
        <f t="shared" si="251"/>
        <v>0</v>
      </c>
      <c r="BO128" s="17">
        <f t="shared" si="251"/>
        <v>0</v>
      </c>
      <c r="BP128" s="17">
        <f t="shared" si="251"/>
        <v>0</v>
      </c>
      <c r="BQ128" s="17">
        <f t="shared" si="251"/>
        <v>0</v>
      </c>
      <c r="BR128" s="17">
        <f t="shared" si="251"/>
        <v>0</v>
      </c>
      <c r="BS128" s="17">
        <f t="shared" si="251"/>
        <v>0</v>
      </c>
      <c r="BT128" s="17">
        <f t="shared" si="251"/>
        <v>0</v>
      </c>
      <c r="BU128" s="17">
        <f t="shared" si="251"/>
        <v>0</v>
      </c>
      <c r="BV128" s="17">
        <f t="shared" si="251"/>
        <v>0</v>
      </c>
      <c r="BW128" s="17">
        <f t="shared" si="251"/>
        <v>0</v>
      </c>
      <c r="BX128" s="17">
        <f t="shared" si="251"/>
        <v>0</v>
      </c>
      <c r="BY128" s="17">
        <f t="shared" si="251"/>
        <v>0</v>
      </c>
      <c r="BZ128" s="17">
        <f t="shared" si="251"/>
        <v>0</v>
      </c>
      <c r="CA128" s="17">
        <f t="shared" si="251"/>
        <v>0</v>
      </c>
      <c r="CB128" s="17">
        <f t="shared" si="251"/>
        <v>0</v>
      </c>
      <c r="CC128" s="17">
        <f t="shared" si="251"/>
        <v>0</v>
      </c>
      <c r="CD128" s="17">
        <f t="shared" si="251"/>
        <v>0</v>
      </c>
      <c r="CE128" s="17">
        <f t="shared" si="251"/>
        <v>0</v>
      </c>
      <c r="CF128" s="17">
        <f t="shared" si="251"/>
        <v>0</v>
      </c>
      <c r="CG128" s="17">
        <f t="shared" si="251"/>
        <v>0</v>
      </c>
      <c r="CH128" s="17">
        <f t="shared" si="251"/>
        <v>0</v>
      </c>
      <c r="CI128" s="17">
        <f t="shared" si="251"/>
        <v>0</v>
      </c>
      <c r="CJ128" s="17">
        <f t="shared" si="251"/>
        <v>0</v>
      </c>
      <c r="CK128" s="17">
        <f t="shared" si="251"/>
        <v>0</v>
      </c>
      <c r="CL128" s="17">
        <f t="shared" si="251"/>
        <v>0</v>
      </c>
      <c r="CM128" s="17">
        <f t="shared" si="251"/>
        <v>0</v>
      </c>
      <c r="CN128" s="17">
        <f t="shared" si="251"/>
        <v>0</v>
      </c>
      <c r="CO128" s="64"/>
      <c r="CP128" s="64"/>
      <c r="CQ128" s="64"/>
      <c r="CR128" s="64"/>
      <c r="CS128" s="51"/>
      <c r="GP128" s="44"/>
    </row>
    <row r="129" spans="1:198" s="52" customFormat="1" ht="31.2" x14ac:dyDescent="0.3">
      <c r="A129" s="90" t="s">
        <v>1</v>
      </c>
      <c r="B129" s="19" t="s">
        <v>74</v>
      </c>
      <c r="C129" s="20" t="s">
        <v>464</v>
      </c>
      <c r="D129" s="18">
        <f>SUM(E129+CA129)</f>
        <v>1166602</v>
      </c>
      <c r="E129" s="18">
        <f>SUM(F129+BA129)</f>
        <v>1166602</v>
      </c>
      <c r="F129" s="18">
        <f>SUM(G129+H129+I129+P129+S129+T129+U129+AE129+AD129)</f>
        <v>1166602</v>
      </c>
      <c r="G129" s="18">
        <v>0</v>
      </c>
      <c r="H129" s="18">
        <v>0</v>
      </c>
      <c r="I129" s="18">
        <f t="shared" si="120"/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f t="shared" si="121"/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f>SUM(V129:AC129)</f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0</v>
      </c>
      <c r="AE129" s="18">
        <f>SUM(AF129:AZ129)</f>
        <v>1166602</v>
      </c>
      <c r="AF129" s="18">
        <v>0</v>
      </c>
      <c r="AG129" s="18">
        <v>0</v>
      </c>
      <c r="AH129" s="18">
        <v>0</v>
      </c>
      <c r="AI129" s="18">
        <v>0</v>
      </c>
      <c r="AJ129" s="18">
        <v>0</v>
      </c>
      <c r="AK129" s="18">
        <v>0</v>
      </c>
      <c r="AL129" s="18">
        <v>0</v>
      </c>
      <c r="AM129" s="18">
        <v>0</v>
      </c>
      <c r="AN129" s="18">
        <v>0</v>
      </c>
      <c r="AO129" s="18">
        <v>0</v>
      </c>
      <c r="AP129" s="18">
        <v>0</v>
      </c>
      <c r="AQ129" s="18">
        <v>0</v>
      </c>
      <c r="AR129" s="18">
        <v>0</v>
      </c>
      <c r="AS129" s="18">
        <v>0</v>
      </c>
      <c r="AT129" s="18">
        <v>0</v>
      </c>
      <c r="AU129" s="18">
        <v>0</v>
      </c>
      <c r="AV129" s="18">
        <v>0</v>
      </c>
      <c r="AW129" s="18">
        <v>0</v>
      </c>
      <c r="AX129" s="18">
        <v>0</v>
      </c>
      <c r="AY129" s="18">
        <v>0</v>
      </c>
      <c r="AZ129" s="21">
        <f>1218669-52067</f>
        <v>1166602</v>
      </c>
      <c r="BA129" s="18">
        <f>SUM(BB129+BF129+BJ129+BL129+BO129)</f>
        <v>0</v>
      </c>
      <c r="BB129" s="18">
        <f>SUM(BC129:BE129)</f>
        <v>0</v>
      </c>
      <c r="BC129" s="18">
        <v>0</v>
      </c>
      <c r="BD129" s="18">
        <v>0</v>
      </c>
      <c r="BE129" s="18">
        <v>0</v>
      </c>
      <c r="BF129" s="18">
        <f>SUM(BG129:BI129)</f>
        <v>0</v>
      </c>
      <c r="BG129" s="18">
        <v>0</v>
      </c>
      <c r="BH129" s="18">
        <v>0</v>
      </c>
      <c r="BI129" s="18">
        <v>0</v>
      </c>
      <c r="BJ129" s="18">
        <v>0</v>
      </c>
      <c r="BK129" s="18">
        <v>0</v>
      </c>
      <c r="BL129" s="18">
        <f t="shared" si="122"/>
        <v>0</v>
      </c>
      <c r="BM129" s="18">
        <v>0</v>
      </c>
      <c r="BN129" s="18">
        <v>0</v>
      </c>
      <c r="BO129" s="18">
        <f>SUM(BP129:BZ129)</f>
        <v>0</v>
      </c>
      <c r="BP129" s="18">
        <v>0</v>
      </c>
      <c r="BQ129" s="18">
        <v>0</v>
      </c>
      <c r="BR129" s="18">
        <v>0</v>
      </c>
      <c r="BS129" s="18">
        <v>0</v>
      </c>
      <c r="BT129" s="18">
        <v>0</v>
      </c>
      <c r="BU129" s="18">
        <v>0</v>
      </c>
      <c r="BV129" s="18">
        <v>0</v>
      </c>
      <c r="BW129" s="18">
        <v>0</v>
      </c>
      <c r="BX129" s="18">
        <v>0</v>
      </c>
      <c r="BY129" s="18">
        <v>0</v>
      </c>
      <c r="BZ129" s="18">
        <v>0</v>
      </c>
      <c r="CA129" s="18">
        <f>SUM(CB129+CN129)</f>
        <v>0</v>
      </c>
      <c r="CB129" s="18">
        <f>SUM(CC129+CF129+CK129)</f>
        <v>0</v>
      </c>
      <c r="CC129" s="18">
        <f t="shared" si="123"/>
        <v>0</v>
      </c>
      <c r="CD129" s="18">
        <v>0</v>
      </c>
      <c r="CE129" s="18">
        <v>0</v>
      </c>
      <c r="CF129" s="18">
        <f>SUM(CG129:CJ129)</f>
        <v>0</v>
      </c>
      <c r="CG129" s="18">
        <v>0</v>
      </c>
      <c r="CH129" s="18">
        <v>0</v>
      </c>
      <c r="CI129" s="18">
        <v>0</v>
      </c>
      <c r="CJ129" s="18">
        <v>0</v>
      </c>
      <c r="CK129" s="18">
        <f>SUM(CL129:CM129)</f>
        <v>0</v>
      </c>
      <c r="CL129" s="18">
        <v>0</v>
      </c>
      <c r="CM129" s="18">
        <v>0</v>
      </c>
      <c r="CN129" s="18">
        <v>0</v>
      </c>
      <c r="CO129" s="65"/>
      <c r="CP129" s="65"/>
      <c r="CQ129" s="65"/>
      <c r="CR129" s="65"/>
      <c r="CS129" s="46"/>
    </row>
    <row r="130" spans="1:198" ht="15.6" x14ac:dyDescent="0.3">
      <c r="A130" s="91" t="s">
        <v>183</v>
      </c>
      <c r="B130" s="23" t="s">
        <v>1</v>
      </c>
      <c r="C130" s="24" t="s">
        <v>184</v>
      </c>
      <c r="D130" s="25">
        <f>SUM(D131+D135+D139+D144+D146+D148)</f>
        <v>415407443</v>
      </c>
      <c r="E130" s="25">
        <f t="shared" ref="E130:BU130" si="252">SUM(E131+E135+E139+E144+E146+E148)</f>
        <v>414407389</v>
      </c>
      <c r="F130" s="25">
        <f t="shared" si="252"/>
        <v>381241518</v>
      </c>
      <c r="G130" s="25">
        <f t="shared" si="252"/>
        <v>269884270</v>
      </c>
      <c r="H130" s="25">
        <f t="shared" si="252"/>
        <v>63694034</v>
      </c>
      <c r="I130" s="25">
        <f t="shared" si="252"/>
        <v>27329307</v>
      </c>
      <c r="J130" s="25">
        <f t="shared" si="252"/>
        <v>378925</v>
      </c>
      <c r="K130" s="25">
        <f t="shared" si="252"/>
        <v>1033788</v>
      </c>
      <c r="L130" s="25">
        <f t="shared" si="252"/>
        <v>22750592</v>
      </c>
      <c r="M130" s="25">
        <f t="shared" si="252"/>
        <v>0</v>
      </c>
      <c r="N130" s="25">
        <f t="shared" si="252"/>
        <v>1763846</v>
      </c>
      <c r="O130" s="25">
        <f t="shared" si="252"/>
        <v>1402156</v>
      </c>
      <c r="P130" s="25">
        <f t="shared" si="252"/>
        <v>0</v>
      </c>
      <c r="Q130" s="25">
        <f t="shared" si="252"/>
        <v>0</v>
      </c>
      <c r="R130" s="25">
        <f t="shared" si="252"/>
        <v>0</v>
      </c>
      <c r="S130" s="25">
        <f t="shared" si="252"/>
        <v>0</v>
      </c>
      <c r="T130" s="25">
        <f t="shared" si="252"/>
        <v>723321</v>
      </c>
      <c r="U130" s="25">
        <f t="shared" si="252"/>
        <v>15745188</v>
      </c>
      <c r="V130" s="25">
        <f t="shared" si="252"/>
        <v>505920</v>
      </c>
      <c r="W130" s="25">
        <f t="shared" si="252"/>
        <v>9581618</v>
      </c>
      <c r="X130" s="25">
        <f t="shared" si="252"/>
        <v>3753948</v>
      </c>
      <c r="Y130" s="25">
        <f t="shared" si="252"/>
        <v>1354371</v>
      </c>
      <c r="Z130" s="25">
        <f t="shared" si="252"/>
        <v>287211</v>
      </c>
      <c r="AA130" s="25">
        <f t="shared" si="252"/>
        <v>0</v>
      </c>
      <c r="AB130" s="25">
        <f t="shared" si="252"/>
        <v>0</v>
      </c>
      <c r="AC130" s="25">
        <f t="shared" si="252"/>
        <v>262120</v>
      </c>
      <c r="AD130" s="25">
        <f t="shared" si="252"/>
        <v>0</v>
      </c>
      <c r="AE130" s="25">
        <f t="shared" si="252"/>
        <v>3865398</v>
      </c>
      <c r="AF130" s="25">
        <f t="shared" si="252"/>
        <v>0</v>
      </c>
      <c r="AG130" s="25">
        <f t="shared" si="252"/>
        <v>0</v>
      </c>
      <c r="AH130" s="25">
        <f t="shared" si="252"/>
        <v>110123</v>
      </c>
      <c r="AI130" s="25">
        <f t="shared" si="252"/>
        <v>800483</v>
      </c>
      <c r="AJ130" s="25">
        <f t="shared" si="252"/>
        <v>116225</v>
      </c>
      <c r="AK130" s="25">
        <f t="shared" si="252"/>
        <v>380167</v>
      </c>
      <c r="AL130" s="25">
        <f t="shared" si="252"/>
        <v>0</v>
      </c>
      <c r="AM130" s="25">
        <f t="shared" si="252"/>
        <v>11391</v>
      </c>
      <c r="AN130" s="25">
        <f t="shared" si="252"/>
        <v>341852</v>
      </c>
      <c r="AO130" s="25">
        <f t="shared" si="252"/>
        <v>0</v>
      </c>
      <c r="AP130" s="25">
        <f t="shared" si="252"/>
        <v>2847</v>
      </c>
      <c r="AQ130" s="25">
        <f t="shared" si="252"/>
        <v>0</v>
      </c>
      <c r="AR130" s="25">
        <f t="shared" si="252"/>
        <v>1103571</v>
      </c>
      <c r="AS130" s="25">
        <f t="shared" si="252"/>
        <v>150876</v>
      </c>
      <c r="AT130" s="25"/>
      <c r="AU130" s="25"/>
      <c r="AV130" s="25">
        <f t="shared" si="252"/>
        <v>0</v>
      </c>
      <c r="AW130" s="25">
        <f t="shared" si="252"/>
        <v>0</v>
      </c>
      <c r="AX130" s="25">
        <f t="shared" si="252"/>
        <v>0</v>
      </c>
      <c r="AY130" s="25"/>
      <c r="AZ130" s="25">
        <f t="shared" si="252"/>
        <v>847863</v>
      </c>
      <c r="BA130" s="25">
        <f t="shared" si="252"/>
        <v>33165871</v>
      </c>
      <c r="BB130" s="25">
        <f t="shared" si="252"/>
        <v>0</v>
      </c>
      <c r="BC130" s="25">
        <f t="shared" si="252"/>
        <v>0</v>
      </c>
      <c r="BD130" s="25">
        <f t="shared" si="252"/>
        <v>0</v>
      </c>
      <c r="BE130" s="25">
        <f t="shared" si="252"/>
        <v>0</v>
      </c>
      <c r="BF130" s="25">
        <f t="shared" si="252"/>
        <v>0</v>
      </c>
      <c r="BG130" s="25">
        <f t="shared" si="252"/>
        <v>0</v>
      </c>
      <c r="BH130" s="25">
        <f t="shared" ref="BH130" si="253">SUM(BH131+BH135+BH139+BH144+BH146+BH148)</f>
        <v>0</v>
      </c>
      <c r="BI130" s="25">
        <f t="shared" si="252"/>
        <v>0</v>
      </c>
      <c r="BJ130" s="25">
        <f t="shared" si="252"/>
        <v>0</v>
      </c>
      <c r="BK130" s="25">
        <f t="shared" ref="BK130" si="254">SUM(BK131+BK135+BK139+BK144+BK146+BK148)</f>
        <v>0</v>
      </c>
      <c r="BL130" s="25">
        <f t="shared" si="252"/>
        <v>0</v>
      </c>
      <c r="BM130" s="25">
        <f t="shared" si="252"/>
        <v>0</v>
      </c>
      <c r="BN130" s="25">
        <f t="shared" ref="BN130" si="255">SUM(BN131+BN135+BN139+BN144+BN146+BN148)</f>
        <v>0</v>
      </c>
      <c r="BO130" s="25">
        <f t="shared" si="252"/>
        <v>33165871</v>
      </c>
      <c r="BP130" s="25">
        <f t="shared" si="252"/>
        <v>0</v>
      </c>
      <c r="BQ130" s="25">
        <f t="shared" si="252"/>
        <v>0</v>
      </c>
      <c r="BR130" s="25">
        <f t="shared" si="252"/>
        <v>12754814</v>
      </c>
      <c r="BS130" s="25">
        <f t="shared" si="252"/>
        <v>0</v>
      </c>
      <c r="BT130" s="25">
        <f t="shared" si="252"/>
        <v>0</v>
      </c>
      <c r="BU130" s="25">
        <f t="shared" si="252"/>
        <v>112795</v>
      </c>
      <c r="BV130" s="25">
        <f t="shared" ref="BV130:CQ130" si="256">SUM(BV131+BV135+BV139+BV144+BV146+BV148)</f>
        <v>0</v>
      </c>
      <c r="BW130" s="25">
        <f t="shared" si="256"/>
        <v>0</v>
      </c>
      <c r="BX130" s="25">
        <f t="shared" si="256"/>
        <v>0</v>
      </c>
      <c r="BY130" s="25">
        <f t="shared" si="256"/>
        <v>10416997</v>
      </c>
      <c r="BZ130" s="25">
        <f t="shared" si="256"/>
        <v>9881265</v>
      </c>
      <c r="CA130" s="25">
        <f t="shared" si="256"/>
        <v>1000054</v>
      </c>
      <c r="CB130" s="25">
        <f t="shared" si="256"/>
        <v>1000054</v>
      </c>
      <c r="CC130" s="25">
        <f t="shared" si="256"/>
        <v>1000054</v>
      </c>
      <c r="CD130" s="25">
        <f t="shared" si="256"/>
        <v>0</v>
      </c>
      <c r="CE130" s="25">
        <f t="shared" si="256"/>
        <v>1000054</v>
      </c>
      <c r="CF130" s="25">
        <f t="shared" si="256"/>
        <v>0</v>
      </c>
      <c r="CG130" s="25">
        <f t="shared" ref="CG130:CH130" si="257">SUM(CG131+CG135+CG139+CG144+CG146+CG148)</f>
        <v>0</v>
      </c>
      <c r="CH130" s="25">
        <f t="shared" si="257"/>
        <v>0</v>
      </c>
      <c r="CI130" s="25">
        <f t="shared" si="256"/>
        <v>0</v>
      </c>
      <c r="CJ130" s="25">
        <f t="shared" ref="CJ130" si="258">SUM(CJ131+CJ135+CJ139+CJ144+CJ146+CJ148)</f>
        <v>0</v>
      </c>
      <c r="CK130" s="25">
        <f t="shared" si="256"/>
        <v>0</v>
      </c>
      <c r="CL130" s="25">
        <f t="shared" ref="CL130" si="259">SUM(CL131+CL135+CL139+CL144+CL146+CL148)</f>
        <v>0</v>
      </c>
      <c r="CM130" s="25">
        <f t="shared" si="256"/>
        <v>0</v>
      </c>
      <c r="CN130" s="25">
        <f t="shared" si="256"/>
        <v>0</v>
      </c>
      <c r="CO130" s="25">
        <f t="shared" si="256"/>
        <v>0</v>
      </c>
      <c r="CP130" s="25">
        <f t="shared" si="256"/>
        <v>0</v>
      </c>
      <c r="CQ130" s="25">
        <f t="shared" si="256"/>
        <v>0</v>
      </c>
      <c r="CR130" s="25">
        <f t="shared" ref="CR130" si="260">SUM(CR131+CR135+CR139+CR144+CR146+CR148)</f>
        <v>0</v>
      </c>
      <c r="CS130" s="51"/>
    </row>
    <row r="131" spans="1:198" ht="15.6" x14ac:dyDescent="0.3">
      <c r="A131" s="89" t="s">
        <v>185</v>
      </c>
      <c r="B131" s="15" t="s">
        <v>1</v>
      </c>
      <c r="C131" s="16" t="s">
        <v>186</v>
      </c>
      <c r="D131" s="17">
        <f>SUM(D132:D134)</f>
        <v>86988774</v>
      </c>
      <c r="E131" s="17">
        <f t="shared" ref="E131:BU131" si="261">SUM(E132:E134)</f>
        <v>86318170</v>
      </c>
      <c r="F131" s="17">
        <f t="shared" si="261"/>
        <v>78467699</v>
      </c>
      <c r="G131" s="17">
        <f t="shared" si="261"/>
        <v>45618940</v>
      </c>
      <c r="H131" s="17">
        <f t="shared" si="261"/>
        <v>10764625</v>
      </c>
      <c r="I131" s="17">
        <f t="shared" si="261"/>
        <v>15510777</v>
      </c>
      <c r="J131" s="17">
        <f t="shared" si="261"/>
        <v>252029</v>
      </c>
      <c r="K131" s="17">
        <f t="shared" si="261"/>
        <v>932306</v>
      </c>
      <c r="L131" s="17">
        <f t="shared" si="261"/>
        <v>12985813</v>
      </c>
      <c r="M131" s="17">
        <f t="shared" si="261"/>
        <v>0</v>
      </c>
      <c r="N131" s="17">
        <f t="shared" si="261"/>
        <v>566498</v>
      </c>
      <c r="O131" s="17">
        <f t="shared" si="261"/>
        <v>774131</v>
      </c>
      <c r="P131" s="17">
        <f t="shared" si="261"/>
        <v>0</v>
      </c>
      <c r="Q131" s="17">
        <f t="shared" si="261"/>
        <v>0</v>
      </c>
      <c r="R131" s="17">
        <f t="shared" si="261"/>
        <v>0</v>
      </c>
      <c r="S131" s="17">
        <f t="shared" si="261"/>
        <v>0</v>
      </c>
      <c r="T131" s="17">
        <f t="shared" si="261"/>
        <v>103614</v>
      </c>
      <c r="U131" s="17">
        <f t="shared" si="261"/>
        <v>4340154</v>
      </c>
      <c r="V131" s="17">
        <f t="shared" si="261"/>
        <v>174110</v>
      </c>
      <c r="W131" s="17">
        <f t="shared" si="261"/>
        <v>2125427</v>
      </c>
      <c r="X131" s="17">
        <f t="shared" si="261"/>
        <v>1156650</v>
      </c>
      <c r="Y131" s="17">
        <f t="shared" si="261"/>
        <v>541311</v>
      </c>
      <c r="Z131" s="17">
        <f t="shared" si="261"/>
        <v>81322</v>
      </c>
      <c r="AA131" s="17">
        <f t="shared" si="261"/>
        <v>0</v>
      </c>
      <c r="AB131" s="17">
        <f t="shared" si="261"/>
        <v>0</v>
      </c>
      <c r="AC131" s="17">
        <f t="shared" si="261"/>
        <v>261334</v>
      </c>
      <c r="AD131" s="17">
        <f t="shared" si="261"/>
        <v>0</v>
      </c>
      <c r="AE131" s="17">
        <f t="shared" si="261"/>
        <v>2129589</v>
      </c>
      <c r="AF131" s="17">
        <f t="shared" si="261"/>
        <v>0</v>
      </c>
      <c r="AG131" s="17">
        <f t="shared" si="261"/>
        <v>0</v>
      </c>
      <c r="AH131" s="17">
        <f t="shared" si="261"/>
        <v>70352</v>
      </c>
      <c r="AI131" s="17">
        <f t="shared" si="261"/>
        <v>774173</v>
      </c>
      <c r="AJ131" s="17">
        <f t="shared" si="261"/>
        <v>95403</v>
      </c>
      <c r="AK131" s="17">
        <f t="shared" si="261"/>
        <v>370345</v>
      </c>
      <c r="AL131" s="17">
        <f t="shared" si="261"/>
        <v>0</v>
      </c>
      <c r="AM131" s="17">
        <f t="shared" si="261"/>
        <v>10935</v>
      </c>
      <c r="AN131" s="17">
        <f t="shared" si="261"/>
        <v>12852</v>
      </c>
      <c r="AO131" s="17">
        <f t="shared" si="261"/>
        <v>0</v>
      </c>
      <c r="AP131" s="17">
        <f t="shared" si="261"/>
        <v>2847</v>
      </c>
      <c r="AQ131" s="17">
        <f t="shared" si="261"/>
        <v>0</v>
      </c>
      <c r="AR131" s="17">
        <f t="shared" si="261"/>
        <v>582527</v>
      </c>
      <c r="AS131" s="17">
        <f t="shared" si="261"/>
        <v>31572</v>
      </c>
      <c r="AT131" s="17"/>
      <c r="AU131" s="17"/>
      <c r="AV131" s="17">
        <f t="shared" si="261"/>
        <v>0</v>
      </c>
      <c r="AW131" s="17">
        <f t="shared" si="261"/>
        <v>0</v>
      </c>
      <c r="AX131" s="17">
        <f t="shared" si="261"/>
        <v>0</v>
      </c>
      <c r="AY131" s="17"/>
      <c r="AZ131" s="17">
        <f t="shared" si="261"/>
        <v>178583</v>
      </c>
      <c r="BA131" s="17">
        <f t="shared" si="261"/>
        <v>7850471</v>
      </c>
      <c r="BB131" s="17">
        <f t="shared" si="261"/>
        <v>0</v>
      </c>
      <c r="BC131" s="17">
        <f t="shared" si="261"/>
        <v>0</v>
      </c>
      <c r="BD131" s="17">
        <f t="shared" si="261"/>
        <v>0</v>
      </c>
      <c r="BE131" s="17">
        <f t="shared" si="261"/>
        <v>0</v>
      </c>
      <c r="BF131" s="17">
        <f t="shared" si="261"/>
        <v>0</v>
      </c>
      <c r="BG131" s="17">
        <f t="shared" si="261"/>
        <v>0</v>
      </c>
      <c r="BH131" s="17">
        <f t="shared" ref="BH131" si="262">SUM(BH132:BH134)</f>
        <v>0</v>
      </c>
      <c r="BI131" s="17">
        <f t="shared" si="261"/>
        <v>0</v>
      </c>
      <c r="BJ131" s="17">
        <f t="shared" si="261"/>
        <v>0</v>
      </c>
      <c r="BK131" s="17">
        <f t="shared" ref="BK131" si="263">SUM(BK132:BK134)</f>
        <v>0</v>
      </c>
      <c r="BL131" s="17">
        <f t="shared" si="261"/>
        <v>0</v>
      </c>
      <c r="BM131" s="17">
        <f t="shared" si="261"/>
        <v>0</v>
      </c>
      <c r="BN131" s="17">
        <f t="shared" ref="BN131" si="264">SUM(BN132:BN134)</f>
        <v>0</v>
      </c>
      <c r="BO131" s="17">
        <f t="shared" si="261"/>
        <v>7850471</v>
      </c>
      <c r="BP131" s="17">
        <f t="shared" si="261"/>
        <v>0</v>
      </c>
      <c r="BQ131" s="17">
        <f t="shared" si="261"/>
        <v>0</v>
      </c>
      <c r="BR131" s="17">
        <f t="shared" si="261"/>
        <v>0</v>
      </c>
      <c r="BS131" s="17">
        <f t="shared" si="261"/>
        <v>0</v>
      </c>
      <c r="BT131" s="17">
        <f t="shared" si="261"/>
        <v>0</v>
      </c>
      <c r="BU131" s="17">
        <f t="shared" si="261"/>
        <v>112795</v>
      </c>
      <c r="BV131" s="17">
        <f t="shared" ref="BV131:CN131" si="265">SUM(BV132:BV134)</f>
        <v>0</v>
      </c>
      <c r="BW131" s="17">
        <f t="shared" si="265"/>
        <v>0</v>
      </c>
      <c r="BX131" s="17">
        <f t="shared" si="265"/>
        <v>0</v>
      </c>
      <c r="BY131" s="17">
        <f t="shared" si="265"/>
        <v>0</v>
      </c>
      <c r="BZ131" s="17">
        <f t="shared" si="265"/>
        <v>7737676</v>
      </c>
      <c r="CA131" s="17">
        <f t="shared" si="265"/>
        <v>670604</v>
      </c>
      <c r="CB131" s="17">
        <f t="shared" si="265"/>
        <v>670604</v>
      </c>
      <c r="CC131" s="17">
        <f t="shared" si="265"/>
        <v>670604</v>
      </c>
      <c r="CD131" s="17">
        <f t="shared" si="265"/>
        <v>0</v>
      </c>
      <c r="CE131" s="17">
        <f t="shared" si="265"/>
        <v>670604</v>
      </c>
      <c r="CF131" s="17">
        <f t="shared" si="265"/>
        <v>0</v>
      </c>
      <c r="CG131" s="17">
        <f t="shared" ref="CG131:CH131" si="266">SUM(CG132:CG134)</f>
        <v>0</v>
      </c>
      <c r="CH131" s="17">
        <f t="shared" si="266"/>
        <v>0</v>
      </c>
      <c r="CI131" s="17">
        <f t="shared" si="265"/>
        <v>0</v>
      </c>
      <c r="CJ131" s="17">
        <f t="shared" ref="CJ131" si="267">SUM(CJ132:CJ134)</f>
        <v>0</v>
      </c>
      <c r="CK131" s="17">
        <f t="shared" si="265"/>
        <v>0</v>
      </c>
      <c r="CL131" s="17">
        <f t="shared" ref="CL131" si="268">SUM(CL132:CL134)</f>
        <v>0</v>
      </c>
      <c r="CM131" s="17">
        <f t="shared" si="265"/>
        <v>0</v>
      </c>
      <c r="CN131" s="17">
        <f t="shared" si="265"/>
        <v>0</v>
      </c>
      <c r="CO131" s="64"/>
      <c r="CP131" s="64"/>
      <c r="CQ131" s="64"/>
      <c r="CR131" s="64"/>
      <c r="CS131" s="51"/>
      <c r="GP131" s="52"/>
    </row>
    <row r="132" spans="1:198" s="68" customFormat="1" ht="15.6" x14ac:dyDescent="0.3">
      <c r="A132" s="92" t="s">
        <v>1</v>
      </c>
      <c r="B132" s="62" t="s">
        <v>52</v>
      </c>
      <c r="C132" s="63" t="s">
        <v>187</v>
      </c>
      <c r="D132" s="65">
        <f t="shared" ref="D132:D134" si="269">SUM(E132+CA132)</f>
        <v>27990348</v>
      </c>
      <c r="E132" s="65">
        <f>SUM(F132+BA132)</f>
        <v>27842665</v>
      </c>
      <c r="F132" s="65">
        <f>SUM(G132+H132+I132+P132+S132+T132+U132+AE132+AD132)</f>
        <v>23125515</v>
      </c>
      <c r="G132" s="66">
        <v>12152635</v>
      </c>
      <c r="H132" s="66">
        <v>2950975</v>
      </c>
      <c r="I132" s="65">
        <f t="shared" si="120"/>
        <v>5854113</v>
      </c>
      <c r="J132" s="66">
        <v>71191</v>
      </c>
      <c r="K132" s="66">
        <f>583117-212510-5727</f>
        <v>364880</v>
      </c>
      <c r="L132" s="66">
        <v>4866361</v>
      </c>
      <c r="M132" s="66">
        <v>0</v>
      </c>
      <c r="N132" s="66">
        <f>444329-150940</f>
        <v>293389</v>
      </c>
      <c r="O132" s="66">
        <v>258292</v>
      </c>
      <c r="P132" s="65">
        <f t="shared" si="121"/>
        <v>0</v>
      </c>
      <c r="Q132" s="65">
        <v>0</v>
      </c>
      <c r="R132" s="65">
        <v>0</v>
      </c>
      <c r="S132" s="65">
        <v>0</v>
      </c>
      <c r="T132" s="66">
        <v>29611</v>
      </c>
      <c r="U132" s="65">
        <f t="shared" ref="U132:U134" si="270">SUM(V132:AC132)</f>
        <v>1468514</v>
      </c>
      <c r="V132" s="66">
        <v>43071</v>
      </c>
      <c r="W132" s="66">
        <f>465619+100114+96799</f>
        <v>662532</v>
      </c>
      <c r="X132" s="66">
        <f>220429+254651-55296</f>
        <v>419784</v>
      </c>
      <c r="Y132" s="66">
        <f>169716+35056-922</f>
        <v>203850</v>
      </c>
      <c r="Z132" s="66">
        <f>24371-2177</f>
        <v>22194</v>
      </c>
      <c r="AA132" s="66">
        <v>0</v>
      </c>
      <c r="AB132" s="66">
        <v>0</v>
      </c>
      <c r="AC132" s="66">
        <f>44087+72996</f>
        <v>117083</v>
      </c>
      <c r="AD132" s="65">
        <v>0</v>
      </c>
      <c r="AE132" s="65">
        <f>SUM(AF132:AZ132)</f>
        <v>669667</v>
      </c>
      <c r="AF132" s="65">
        <v>0</v>
      </c>
      <c r="AG132" s="65">
        <v>0</v>
      </c>
      <c r="AH132" s="66">
        <v>23352</v>
      </c>
      <c r="AI132" s="66">
        <v>317066</v>
      </c>
      <c r="AJ132" s="66">
        <v>0</v>
      </c>
      <c r="AK132" s="66">
        <v>14591</v>
      </c>
      <c r="AL132" s="66">
        <v>0</v>
      </c>
      <c r="AM132" s="66">
        <v>9800</v>
      </c>
      <c r="AN132" s="66">
        <v>6235</v>
      </c>
      <c r="AO132" s="66">
        <v>0</v>
      </c>
      <c r="AP132" s="66">
        <v>2847</v>
      </c>
      <c r="AQ132" s="66">
        <v>0</v>
      </c>
      <c r="AR132" s="66">
        <f>260250-31000</f>
        <v>229250</v>
      </c>
      <c r="AS132" s="66">
        <v>0</v>
      </c>
      <c r="AT132" s="66">
        <v>0</v>
      </c>
      <c r="AU132" s="66">
        <v>0</v>
      </c>
      <c r="AV132" s="66">
        <v>0</v>
      </c>
      <c r="AW132" s="66">
        <v>0</v>
      </c>
      <c r="AX132" s="66">
        <v>0</v>
      </c>
      <c r="AY132" s="66">
        <v>0</v>
      </c>
      <c r="AZ132" s="66">
        <v>66526</v>
      </c>
      <c r="BA132" s="65">
        <f>SUM(BB132+BF132+BJ132+BL132+BO132)</f>
        <v>4717150</v>
      </c>
      <c r="BB132" s="65">
        <f>SUM(BC132:BE132)</f>
        <v>0</v>
      </c>
      <c r="BC132" s="65">
        <v>0</v>
      </c>
      <c r="BD132" s="65">
        <v>0</v>
      </c>
      <c r="BE132" s="65">
        <v>0</v>
      </c>
      <c r="BF132" s="65">
        <f t="shared" ref="BF132:BF134" si="271">SUM(BG132:BI132)</f>
        <v>0</v>
      </c>
      <c r="BG132" s="65">
        <v>0</v>
      </c>
      <c r="BH132" s="65">
        <v>0</v>
      </c>
      <c r="BI132" s="65">
        <v>0</v>
      </c>
      <c r="BJ132" s="65">
        <v>0</v>
      </c>
      <c r="BK132" s="65">
        <v>0</v>
      </c>
      <c r="BL132" s="65">
        <f t="shared" si="122"/>
        <v>0</v>
      </c>
      <c r="BM132" s="65">
        <v>0</v>
      </c>
      <c r="BN132" s="65">
        <v>0</v>
      </c>
      <c r="BO132" s="65">
        <f>SUM(BP132:BZ132)</f>
        <v>4717150</v>
      </c>
      <c r="BP132" s="65">
        <v>0</v>
      </c>
      <c r="BQ132" s="65">
        <v>0</v>
      </c>
      <c r="BR132" s="65">
        <v>0</v>
      </c>
      <c r="BS132" s="65">
        <v>0</v>
      </c>
      <c r="BT132" s="65">
        <v>0</v>
      </c>
      <c r="BU132" s="67">
        <f>176473-66190</f>
        <v>110283</v>
      </c>
      <c r="BV132" s="65">
        <v>0</v>
      </c>
      <c r="BW132" s="65">
        <v>0</v>
      </c>
      <c r="BX132" s="65">
        <v>0</v>
      </c>
      <c r="BY132" s="65">
        <v>0</v>
      </c>
      <c r="BZ132" s="66">
        <f>4868775-261908</f>
        <v>4606867</v>
      </c>
      <c r="CA132" s="65">
        <f>SUM(CB132+CN132)</f>
        <v>147683</v>
      </c>
      <c r="CB132" s="65">
        <f>SUM(CC132+CF132+CK132)</f>
        <v>147683</v>
      </c>
      <c r="CC132" s="65">
        <f t="shared" si="123"/>
        <v>147683</v>
      </c>
      <c r="CD132" s="65">
        <v>0</v>
      </c>
      <c r="CE132" s="66">
        <v>147683</v>
      </c>
      <c r="CF132" s="65">
        <f>SUM(CG132:CJ132)</f>
        <v>0</v>
      </c>
      <c r="CG132" s="65">
        <v>0</v>
      </c>
      <c r="CH132" s="65">
        <v>0</v>
      </c>
      <c r="CI132" s="65">
        <v>0</v>
      </c>
      <c r="CJ132" s="65">
        <v>0</v>
      </c>
      <c r="CK132" s="65">
        <f>SUM(CL132:CM132)</f>
        <v>0</v>
      </c>
      <c r="CL132" s="65">
        <v>0</v>
      </c>
      <c r="CM132" s="65">
        <v>0</v>
      </c>
      <c r="CN132" s="65">
        <v>0</v>
      </c>
      <c r="CO132" s="65"/>
      <c r="CP132" s="65"/>
      <c r="CQ132" s="65"/>
      <c r="CR132" s="65"/>
      <c r="GP132" s="52"/>
    </row>
    <row r="133" spans="1:198" s="82" customFormat="1" ht="15.6" x14ac:dyDescent="0.3">
      <c r="A133" s="92" t="s">
        <v>1</v>
      </c>
      <c r="B133" s="62" t="s">
        <v>52</v>
      </c>
      <c r="C133" s="63" t="s">
        <v>188</v>
      </c>
      <c r="D133" s="65">
        <f t="shared" si="269"/>
        <v>46120222</v>
      </c>
      <c r="E133" s="65">
        <f>SUM(F133+BA133)</f>
        <v>45597301</v>
      </c>
      <c r="F133" s="65">
        <f>SUM(G133+H133+I133+P133+S133+T133+U133+AE133+AD133)</f>
        <v>42488130</v>
      </c>
      <c r="G133" s="66">
        <v>24341405</v>
      </c>
      <c r="H133" s="66">
        <v>5678621</v>
      </c>
      <c r="I133" s="65">
        <f t="shared" si="120"/>
        <v>9132697</v>
      </c>
      <c r="J133" s="66">
        <v>173545</v>
      </c>
      <c r="K133" s="66">
        <f>680032-112606</f>
        <v>567426</v>
      </c>
      <c r="L133" s="66">
        <f>8012953-367044</f>
        <v>7645909</v>
      </c>
      <c r="M133" s="66">
        <v>0</v>
      </c>
      <c r="N133" s="66">
        <v>273109</v>
      </c>
      <c r="O133" s="66">
        <v>472708</v>
      </c>
      <c r="P133" s="65">
        <f t="shared" si="121"/>
        <v>0</v>
      </c>
      <c r="Q133" s="65">
        <v>0</v>
      </c>
      <c r="R133" s="65">
        <v>0</v>
      </c>
      <c r="S133" s="65">
        <v>0</v>
      </c>
      <c r="T133" s="66">
        <v>36490</v>
      </c>
      <c r="U133" s="65">
        <f t="shared" si="270"/>
        <v>1925683</v>
      </c>
      <c r="V133" s="66">
        <v>108076</v>
      </c>
      <c r="W133" s="66">
        <f>542661+311713</f>
        <v>854374</v>
      </c>
      <c r="X133" s="66">
        <f>224689+259156+23061</f>
        <v>506906</v>
      </c>
      <c r="Y133" s="66">
        <f>227741+41951</f>
        <v>269692</v>
      </c>
      <c r="Z133" s="66">
        <v>42384</v>
      </c>
      <c r="AA133" s="66">
        <v>0</v>
      </c>
      <c r="AB133" s="66">
        <v>0</v>
      </c>
      <c r="AC133" s="66">
        <f>57104+87147</f>
        <v>144251</v>
      </c>
      <c r="AD133" s="65">
        <v>0</v>
      </c>
      <c r="AE133" s="65">
        <f>SUM(AF133:AZ133)</f>
        <v>1373234</v>
      </c>
      <c r="AF133" s="65">
        <v>0</v>
      </c>
      <c r="AG133" s="65">
        <v>0</v>
      </c>
      <c r="AH133" s="66">
        <v>47000</v>
      </c>
      <c r="AI133" s="66">
        <v>457107</v>
      </c>
      <c r="AJ133" s="66">
        <f>145177-49774</f>
        <v>95403</v>
      </c>
      <c r="AK133" s="66">
        <v>355754</v>
      </c>
      <c r="AL133" s="66">
        <v>0</v>
      </c>
      <c r="AM133" s="66">
        <v>1135</v>
      </c>
      <c r="AN133" s="66">
        <v>6617</v>
      </c>
      <c r="AO133" s="66">
        <v>0</v>
      </c>
      <c r="AP133" s="66">
        <v>0</v>
      </c>
      <c r="AQ133" s="66">
        <v>0</v>
      </c>
      <c r="AR133" s="66">
        <f>287385-20796</f>
        <v>266589</v>
      </c>
      <c r="AS133" s="66">
        <v>31572</v>
      </c>
      <c r="AT133" s="66">
        <v>0</v>
      </c>
      <c r="AU133" s="66">
        <v>0</v>
      </c>
      <c r="AV133" s="66">
        <v>0</v>
      </c>
      <c r="AW133" s="66">
        <v>0</v>
      </c>
      <c r="AX133" s="66">
        <v>0</v>
      </c>
      <c r="AY133" s="66">
        <v>0</v>
      </c>
      <c r="AZ133" s="66">
        <v>112057</v>
      </c>
      <c r="BA133" s="65">
        <f>SUM(BB133+BF133+BJ133+BL133+BO133)</f>
        <v>3109171</v>
      </c>
      <c r="BB133" s="65">
        <f>SUM(BC133:BE133)</f>
        <v>0</v>
      </c>
      <c r="BC133" s="65">
        <v>0</v>
      </c>
      <c r="BD133" s="65">
        <v>0</v>
      </c>
      <c r="BE133" s="65">
        <v>0</v>
      </c>
      <c r="BF133" s="65">
        <f t="shared" si="271"/>
        <v>0</v>
      </c>
      <c r="BG133" s="65">
        <v>0</v>
      </c>
      <c r="BH133" s="65">
        <v>0</v>
      </c>
      <c r="BI133" s="65">
        <v>0</v>
      </c>
      <c r="BJ133" s="65">
        <v>0</v>
      </c>
      <c r="BK133" s="65">
        <v>0</v>
      </c>
      <c r="BL133" s="65">
        <f t="shared" si="122"/>
        <v>0</v>
      </c>
      <c r="BM133" s="65">
        <v>0</v>
      </c>
      <c r="BN133" s="65">
        <v>0</v>
      </c>
      <c r="BO133" s="65">
        <f>SUM(BP133:BZ133)</f>
        <v>3109171</v>
      </c>
      <c r="BP133" s="65">
        <v>0</v>
      </c>
      <c r="BQ133" s="65">
        <v>0</v>
      </c>
      <c r="BR133" s="65">
        <v>0</v>
      </c>
      <c r="BS133" s="65">
        <v>0</v>
      </c>
      <c r="BT133" s="65">
        <v>0</v>
      </c>
      <c r="BU133" s="67">
        <f>152259-149747</f>
        <v>2512</v>
      </c>
      <c r="BV133" s="65">
        <v>0</v>
      </c>
      <c r="BW133" s="65">
        <v>0</v>
      </c>
      <c r="BX133" s="65">
        <v>0</v>
      </c>
      <c r="BY133" s="65">
        <v>0</v>
      </c>
      <c r="BZ133" s="66">
        <f>3423641-316982</f>
        <v>3106659</v>
      </c>
      <c r="CA133" s="65">
        <f>SUM(CB133+CN133)</f>
        <v>522921</v>
      </c>
      <c r="CB133" s="65">
        <f>SUM(CC133+CF133+CK133)</f>
        <v>522921</v>
      </c>
      <c r="CC133" s="65">
        <f t="shared" si="123"/>
        <v>522921</v>
      </c>
      <c r="CD133" s="65">
        <v>0</v>
      </c>
      <c r="CE133" s="66">
        <v>522921</v>
      </c>
      <c r="CF133" s="65">
        <f>SUM(CG133:CJ133)</f>
        <v>0</v>
      </c>
      <c r="CG133" s="65">
        <v>0</v>
      </c>
      <c r="CH133" s="65">
        <v>0</v>
      </c>
      <c r="CI133" s="65">
        <v>0</v>
      </c>
      <c r="CJ133" s="65">
        <v>0</v>
      </c>
      <c r="CK133" s="65">
        <f>SUM(CL133:CM133)</f>
        <v>0</v>
      </c>
      <c r="CL133" s="66"/>
      <c r="CM133" s="65">
        <v>0</v>
      </c>
      <c r="CN133" s="65">
        <v>0</v>
      </c>
      <c r="CO133" s="65"/>
      <c r="CP133" s="65"/>
      <c r="CQ133" s="65"/>
      <c r="CR133" s="65"/>
      <c r="CS133" s="68"/>
      <c r="GP133" s="44"/>
    </row>
    <row r="134" spans="1:198" s="68" customFormat="1" ht="15.6" x14ac:dyDescent="0.3">
      <c r="A134" s="92" t="s">
        <v>1</v>
      </c>
      <c r="B134" s="62" t="s">
        <v>56</v>
      </c>
      <c r="C134" s="63" t="s">
        <v>189</v>
      </c>
      <c r="D134" s="65">
        <f t="shared" si="269"/>
        <v>12878204</v>
      </c>
      <c r="E134" s="65">
        <f>SUM(F134+BA134)</f>
        <v>12878204</v>
      </c>
      <c r="F134" s="65">
        <f>SUM(G134+H134+I134+P134+S134+T134+U134+AE134+AD134)</f>
        <v>12854054</v>
      </c>
      <c r="G134" s="66">
        <v>9124900</v>
      </c>
      <c r="H134" s="66">
        <v>2135029</v>
      </c>
      <c r="I134" s="65">
        <f t="shared" si="120"/>
        <v>523967</v>
      </c>
      <c r="J134" s="66">
        <v>7293</v>
      </c>
      <c r="K134" s="66">
        <v>0</v>
      </c>
      <c r="L134" s="66">
        <v>473543</v>
      </c>
      <c r="M134" s="66">
        <v>0</v>
      </c>
      <c r="N134" s="66">
        <v>0</v>
      </c>
      <c r="O134" s="66">
        <f>86263-43132</f>
        <v>43131</v>
      </c>
      <c r="P134" s="65">
        <f t="shared" si="121"/>
        <v>0</v>
      </c>
      <c r="Q134" s="65">
        <v>0</v>
      </c>
      <c r="R134" s="67"/>
      <c r="S134" s="65">
        <v>0</v>
      </c>
      <c r="T134" s="66">
        <v>37513</v>
      </c>
      <c r="U134" s="65">
        <f t="shared" si="270"/>
        <v>945957</v>
      </c>
      <c r="V134" s="66">
        <v>22963</v>
      </c>
      <c r="W134" s="66">
        <f>405509+203012</f>
        <v>608521</v>
      </c>
      <c r="X134" s="66">
        <f>97472+132488</f>
        <v>229960</v>
      </c>
      <c r="Y134" s="66">
        <f>56952+10817</f>
        <v>67769</v>
      </c>
      <c r="Z134" s="66">
        <v>16744</v>
      </c>
      <c r="AA134" s="66">
        <v>0</v>
      </c>
      <c r="AB134" s="66">
        <v>0</v>
      </c>
      <c r="AC134" s="66">
        <v>0</v>
      </c>
      <c r="AD134" s="65">
        <v>0</v>
      </c>
      <c r="AE134" s="65">
        <f>SUM(AF134:AZ134)</f>
        <v>86688</v>
      </c>
      <c r="AF134" s="65">
        <v>0</v>
      </c>
      <c r="AG134" s="65">
        <v>0</v>
      </c>
      <c r="AH134" s="66"/>
      <c r="AI134" s="66">
        <v>0</v>
      </c>
      <c r="AJ134" s="66">
        <v>0</v>
      </c>
      <c r="AK134" s="66"/>
      <c r="AL134" s="66">
        <v>0</v>
      </c>
      <c r="AM134" s="66">
        <v>0</v>
      </c>
      <c r="AN134" s="66">
        <v>0</v>
      </c>
      <c r="AO134" s="66">
        <v>0</v>
      </c>
      <c r="AP134" s="66">
        <v>0</v>
      </c>
      <c r="AQ134" s="66">
        <v>0</v>
      </c>
      <c r="AR134" s="66">
        <v>86688</v>
      </c>
      <c r="AS134" s="66">
        <v>0</v>
      </c>
      <c r="AT134" s="66">
        <v>0</v>
      </c>
      <c r="AU134" s="66">
        <v>0</v>
      </c>
      <c r="AV134" s="66">
        <v>0</v>
      </c>
      <c r="AW134" s="66">
        <v>0</v>
      </c>
      <c r="AX134" s="66">
        <v>0</v>
      </c>
      <c r="AY134" s="66">
        <v>0</v>
      </c>
      <c r="AZ134" s="66">
        <v>0</v>
      </c>
      <c r="BA134" s="65">
        <f>SUM(BB134+BF134+BJ134+BL134+BO134)</f>
        <v>24150</v>
      </c>
      <c r="BB134" s="65">
        <f>SUM(BC134:BE134)</f>
        <v>0</v>
      </c>
      <c r="BC134" s="65">
        <v>0</v>
      </c>
      <c r="BD134" s="65">
        <v>0</v>
      </c>
      <c r="BE134" s="65">
        <v>0</v>
      </c>
      <c r="BF134" s="65">
        <f t="shared" si="271"/>
        <v>0</v>
      </c>
      <c r="BG134" s="65">
        <v>0</v>
      </c>
      <c r="BH134" s="65">
        <v>0</v>
      </c>
      <c r="BI134" s="65">
        <v>0</v>
      </c>
      <c r="BJ134" s="65">
        <v>0</v>
      </c>
      <c r="BK134" s="65">
        <v>0</v>
      </c>
      <c r="BL134" s="65">
        <f t="shared" si="122"/>
        <v>0</v>
      </c>
      <c r="BM134" s="65">
        <v>0</v>
      </c>
      <c r="BN134" s="65">
        <v>0</v>
      </c>
      <c r="BO134" s="65">
        <f>SUM(BP134:BZ134)</f>
        <v>24150</v>
      </c>
      <c r="BP134" s="65">
        <v>0</v>
      </c>
      <c r="BQ134" s="65">
        <v>0</v>
      </c>
      <c r="BR134" s="65">
        <v>0</v>
      </c>
      <c r="BS134" s="65">
        <v>0</v>
      </c>
      <c r="BT134" s="65">
        <v>0</v>
      </c>
      <c r="BU134" s="65">
        <v>0</v>
      </c>
      <c r="BV134" s="65">
        <v>0</v>
      </c>
      <c r="BW134" s="65">
        <v>0</v>
      </c>
      <c r="BX134" s="65">
        <v>0</v>
      </c>
      <c r="BY134" s="65">
        <v>0</v>
      </c>
      <c r="BZ134" s="65">
        <f>0+24150</f>
        <v>24150</v>
      </c>
      <c r="CA134" s="65">
        <f>SUM(CB134+CN134)</f>
        <v>0</v>
      </c>
      <c r="CB134" s="65">
        <f>SUM(CC134+CF134+CK134)</f>
        <v>0</v>
      </c>
      <c r="CC134" s="65">
        <f t="shared" si="123"/>
        <v>0</v>
      </c>
      <c r="CD134" s="65">
        <v>0</v>
      </c>
      <c r="CE134" s="66"/>
      <c r="CF134" s="65">
        <f>SUM(CG134:CJ134)</f>
        <v>0</v>
      </c>
      <c r="CG134" s="65">
        <v>0</v>
      </c>
      <c r="CH134" s="65">
        <v>0</v>
      </c>
      <c r="CI134" s="65">
        <v>0</v>
      </c>
      <c r="CJ134" s="65">
        <v>0</v>
      </c>
      <c r="CK134" s="65">
        <f>SUM(CL134:CM134)</f>
        <v>0</v>
      </c>
      <c r="CL134" s="65">
        <v>0</v>
      </c>
      <c r="CM134" s="65">
        <v>0</v>
      </c>
      <c r="CN134" s="65">
        <v>0</v>
      </c>
      <c r="CO134" s="65"/>
      <c r="CP134" s="65"/>
      <c r="CQ134" s="65"/>
      <c r="CR134" s="65"/>
      <c r="GP134" s="44"/>
    </row>
    <row r="135" spans="1:198" s="68" customFormat="1" ht="15.6" x14ac:dyDescent="0.3">
      <c r="A135" s="89" t="s">
        <v>190</v>
      </c>
      <c r="B135" s="15" t="s">
        <v>1</v>
      </c>
      <c r="C135" s="16" t="s">
        <v>191</v>
      </c>
      <c r="D135" s="17">
        <f>SUM(D136:D138)</f>
        <v>129661955</v>
      </c>
      <c r="E135" s="17">
        <f t="shared" ref="E135:BU135" si="272">SUM(E136:E138)</f>
        <v>129558355</v>
      </c>
      <c r="F135" s="17">
        <f t="shared" si="272"/>
        <v>119819218</v>
      </c>
      <c r="G135" s="17">
        <f t="shared" si="272"/>
        <v>84288611</v>
      </c>
      <c r="H135" s="17">
        <f t="shared" si="272"/>
        <v>19797454</v>
      </c>
      <c r="I135" s="17">
        <f t="shared" si="272"/>
        <v>7550159</v>
      </c>
      <c r="J135" s="17">
        <f t="shared" si="272"/>
        <v>103079</v>
      </c>
      <c r="K135" s="17">
        <f t="shared" si="272"/>
        <v>0</v>
      </c>
      <c r="L135" s="17">
        <f t="shared" si="272"/>
        <v>6241404</v>
      </c>
      <c r="M135" s="17">
        <f t="shared" si="272"/>
        <v>0</v>
      </c>
      <c r="N135" s="17">
        <f t="shared" si="272"/>
        <v>918027</v>
      </c>
      <c r="O135" s="17">
        <f t="shared" si="272"/>
        <v>287649</v>
      </c>
      <c r="P135" s="17">
        <f t="shared" si="272"/>
        <v>0</v>
      </c>
      <c r="Q135" s="17">
        <f t="shared" si="272"/>
        <v>0</v>
      </c>
      <c r="R135" s="17">
        <f t="shared" si="272"/>
        <v>0</v>
      </c>
      <c r="S135" s="17">
        <f t="shared" si="272"/>
        <v>0</v>
      </c>
      <c r="T135" s="17">
        <f t="shared" si="272"/>
        <v>228271</v>
      </c>
      <c r="U135" s="17">
        <f t="shared" si="272"/>
        <v>6967251</v>
      </c>
      <c r="V135" s="17">
        <f t="shared" si="272"/>
        <v>298110</v>
      </c>
      <c r="W135" s="17">
        <f t="shared" si="272"/>
        <v>4823208</v>
      </c>
      <c r="X135" s="17">
        <f t="shared" si="272"/>
        <v>1400980</v>
      </c>
      <c r="Y135" s="17">
        <f t="shared" si="272"/>
        <v>394408</v>
      </c>
      <c r="Z135" s="17">
        <f t="shared" si="272"/>
        <v>50000</v>
      </c>
      <c r="AA135" s="17">
        <f t="shared" si="272"/>
        <v>0</v>
      </c>
      <c r="AB135" s="17">
        <f t="shared" si="272"/>
        <v>0</v>
      </c>
      <c r="AC135" s="17">
        <f t="shared" si="272"/>
        <v>545</v>
      </c>
      <c r="AD135" s="17">
        <f t="shared" si="272"/>
        <v>0</v>
      </c>
      <c r="AE135" s="17">
        <f t="shared" si="272"/>
        <v>987472</v>
      </c>
      <c r="AF135" s="17">
        <f t="shared" si="272"/>
        <v>0</v>
      </c>
      <c r="AG135" s="17">
        <f t="shared" si="272"/>
        <v>0</v>
      </c>
      <c r="AH135" s="17">
        <f t="shared" si="272"/>
        <v>30000</v>
      </c>
      <c r="AI135" s="17">
        <f t="shared" si="272"/>
        <v>2859</v>
      </c>
      <c r="AJ135" s="17">
        <f t="shared" si="272"/>
        <v>18677</v>
      </c>
      <c r="AK135" s="17">
        <f t="shared" si="272"/>
        <v>7375</v>
      </c>
      <c r="AL135" s="17">
        <f t="shared" si="272"/>
        <v>0</v>
      </c>
      <c r="AM135" s="17">
        <f t="shared" si="272"/>
        <v>0</v>
      </c>
      <c r="AN135" s="17">
        <f t="shared" si="272"/>
        <v>15702</v>
      </c>
      <c r="AO135" s="17">
        <f t="shared" si="272"/>
        <v>0</v>
      </c>
      <c r="AP135" s="17">
        <f t="shared" si="272"/>
        <v>0</v>
      </c>
      <c r="AQ135" s="17">
        <f t="shared" si="272"/>
        <v>0</v>
      </c>
      <c r="AR135" s="17">
        <f t="shared" si="272"/>
        <v>355659</v>
      </c>
      <c r="AS135" s="17">
        <f t="shared" si="272"/>
        <v>52200</v>
      </c>
      <c r="AT135" s="17"/>
      <c r="AU135" s="17"/>
      <c r="AV135" s="17">
        <f t="shared" si="272"/>
        <v>0</v>
      </c>
      <c r="AW135" s="17">
        <f t="shared" si="272"/>
        <v>0</v>
      </c>
      <c r="AX135" s="17">
        <f t="shared" si="272"/>
        <v>0</v>
      </c>
      <c r="AY135" s="17"/>
      <c r="AZ135" s="17">
        <f t="shared" si="272"/>
        <v>505000</v>
      </c>
      <c r="BA135" s="17">
        <f t="shared" si="272"/>
        <v>9739137</v>
      </c>
      <c r="BB135" s="17">
        <f t="shared" si="272"/>
        <v>0</v>
      </c>
      <c r="BC135" s="17">
        <f t="shared" si="272"/>
        <v>0</v>
      </c>
      <c r="BD135" s="17">
        <f t="shared" si="272"/>
        <v>0</v>
      </c>
      <c r="BE135" s="17">
        <f t="shared" si="272"/>
        <v>0</v>
      </c>
      <c r="BF135" s="17">
        <f t="shared" si="272"/>
        <v>0</v>
      </c>
      <c r="BG135" s="17">
        <f t="shared" si="272"/>
        <v>0</v>
      </c>
      <c r="BH135" s="17">
        <f t="shared" ref="BH135" si="273">SUM(BH136:BH138)</f>
        <v>0</v>
      </c>
      <c r="BI135" s="17">
        <f t="shared" si="272"/>
        <v>0</v>
      </c>
      <c r="BJ135" s="17">
        <f t="shared" si="272"/>
        <v>0</v>
      </c>
      <c r="BK135" s="17">
        <f t="shared" ref="BK135" si="274">SUM(BK136:BK138)</f>
        <v>0</v>
      </c>
      <c r="BL135" s="17">
        <f t="shared" si="272"/>
        <v>0</v>
      </c>
      <c r="BM135" s="17">
        <f t="shared" si="272"/>
        <v>0</v>
      </c>
      <c r="BN135" s="17">
        <f t="shared" ref="BN135" si="275">SUM(BN136:BN138)</f>
        <v>0</v>
      </c>
      <c r="BO135" s="17">
        <f t="shared" si="272"/>
        <v>9739137</v>
      </c>
      <c r="BP135" s="17">
        <f t="shared" si="272"/>
        <v>0</v>
      </c>
      <c r="BQ135" s="17">
        <f t="shared" si="272"/>
        <v>0</v>
      </c>
      <c r="BR135" s="17">
        <f t="shared" si="272"/>
        <v>4264468</v>
      </c>
      <c r="BS135" s="17">
        <f t="shared" si="272"/>
        <v>0</v>
      </c>
      <c r="BT135" s="17">
        <f t="shared" si="272"/>
        <v>0</v>
      </c>
      <c r="BU135" s="17">
        <f t="shared" si="272"/>
        <v>0</v>
      </c>
      <c r="BV135" s="17">
        <f t="shared" ref="BV135:CN135" si="276">SUM(BV136:BV138)</f>
        <v>0</v>
      </c>
      <c r="BW135" s="17">
        <f t="shared" si="276"/>
        <v>0</v>
      </c>
      <c r="BX135" s="17">
        <f t="shared" si="276"/>
        <v>0</v>
      </c>
      <c r="BY135" s="17">
        <f t="shared" si="276"/>
        <v>5373297</v>
      </c>
      <c r="BZ135" s="17">
        <f t="shared" si="276"/>
        <v>101372</v>
      </c>
      <c r="CA135" s="17">
        <f t="shared" si="276"/>
        <v>103600</v>
      </c>
      <c r="CB135" s="17">
        <f t="shared" si="276"/>
        <v>103600</v>
      </c>
      <c r="CC135" s="17">
        <f t="shared" si="276"/>
        <v>103600</v>
      </c>
      <c r="CD135" s="17">
        <f t="shared" si="276"/>
        <v>0</v>
      </c>
      <c r="CE135" s="17">
        <f t="shared" si="276"/>
        <v>103600</v>
      </c>
      <c r="CF135" s="17">
        <f t="shared" si="276"/>
        <v>0</v>
      </c>
      <c r="CG135" s="17">
        <f t="shared" ref="CG135:CH135" si="277">SUM(CG136:CG138)</f>
        <v>0</v>
      </c>
      <c r="CH135" s="17">
        <f t="shared" si="277"/>
        <v>0</v>
      </c>
      <c r="CI135" s="17">
        <f t="shared" si="276"/>
        <v>0</v>
      </c>
      <c r="CJ135" s="17">
        <f t="shared" ref="CJ135" si="278">SUM(CJ136:CJ138)</f>
        <v>0</v>
      </c>
      <c r="CK135" s="17">
        <f t="shared" si="276"/>
        <v>0</v>
      </c>
      <c r="CL135" s="17">
        <f t="shared" ref="CL135" si="279">SUM(CL136:CL138)</f>
        <v>0</v>
      </c>
      <c r="CM135" s="17">
        <f t="shared" si="276"/>
        <v>0</v>
      </c>
      <c r="CN135" s="17">
        <f t="shared" si="276"/>
        <v>0</v>
      </c>
      <c r="CO135" s="64"/>
      <c r="CP135" s="64"/>
      <c r="CQ135" s="64"/>
      <c r="CR135" s="64"/>
      <c r="CS135" s="51"/>
    </row>
    <row r="136" spans="1:198" s="68" customFormat="1" ht="31.2" x14ac:dyDescent="0.3">
      <c r="A136" s="92" t="s">
        <v>1</v>
      </c>
      <c r="B136" s="62" t="s">
        <v>54</v>
      </c>
      <c r="C136" s="63" t="s">
        <v>192</v>
      </c>
      <c r="D136" s="65">
        <f t="shared" ref="D136:D138" si="280">SUM(E136+CA136)</f>
        <v>11898945</v>
      </c>
      <c r="E136" s="65">
        <f>SUM(F136+BA136)</f>
        <v>11898945</v>
      </c>
      <c r="F136" s="65">
        <f>SUM(G136+H136+I136+P136+S136+T136+U136+AE136+AD136)</f>
        <v>11119756</v>
      </c>
      <c r="G136" s="66">
        <f>12010802-3185175</f>
        <v>8825627</v>
      </c>
      <c r="H136" s="66">
        <f>2922272-860580</f>
        <v>2061692</v>
      </c>
      <c r="I136" s="65">
        <f t="shared" si="120"/>
        <v>195162</v>
      </c>
      <c r="J136" s="66">
        <v>0</v>
      </c>
      <c r="K136" s="66">
        <v>0</v>
      </c>
      <c r="L136" s="66">
        <f>527663-338654</f>
        <v>189009</v>
      </c>
      <c r="M136" s="66">
        <v>0</v>
      </c>
      <c r="N136" s="66">
        <f>45163-45163</f>
        <v>0</v>
      </c>
      <c r="O136" s="66">
        <f>44089-37936</f>
        <v>6153</v>
      </c>
      <c r="P136" s="65">
        <f t="shared" si="121"/>
        <v>0</v>
      </c>
      <c r="Q136" s="66">
        <v>0</v>
      </c>
      <c r="R136" s="66">
        <v>0</v>
      </c>
      <c r="S136" s="66">
        <v>0</v>
      </c>
      <c r="T136" s="66">
        <f>56324-29595</f>
        <v>26729</v>
      </c>
      <c r="U136" s="65">
        <f t="shared" ref="U136:U138" si="281">SUM(V136:AC136)</f>
        <v>10546</v>
      </c>
      <c r="V136" s="66">
        <f>13748-13748</f>
        <v>0</v>
      </c>
      <c r="W136" s="66">
        <f>298971-298971</f>
        <v>0</v>
      </c>
      <c r="X136" s="66">
        <f>62165-51934</f>
        <v>10231</v>
      </c>
      <c r="Y136" s="66">
        <f>45392-45077</f>
        <v>315</v>
      </c>
      <c r="Z136" s="66">
        <v>0</v>
      </c>
      <c r="AA136" s="66">
        <v>0</v>
      </c>
      <c r="AB136" s="66">
        <v>0</v>
      </c>
      <c r="AC136" s="66">
        <v>0</v>
      </c>
      <c r="AD136" s="65"/>
      <c r="AE136" s="65">
        <f>SUM(AF136:AZ136)</f>
        <v>0</v>
      </c>
      <c r="AF136" s="65">
        <v>0</v>
      </c>
      <c r="AG136" s="65">
        <v>0</v>
      </c>
      <c r="AH136" s="66">
        <f>717-717</f>
        <v>0</v>
      </c>
      <c r="AI136" s="66">
        <f>17595-17595</f>
        <v>0</v>
      </c>
      <c r="AJ136" s="66">
        <v>0</v>
      </c>
      <c r="AK136" s="66">
        <f>781-781</f>
        <v>0</v>
      </c>
      <c r="AL136" s="66">
        <v>0</v>
      </c>
      <c r="AM136" s="66">
        <v>0</v>
      </c>
      <c r="AN136" s="66">
        <f>5724-5724</f>
        <v>0</v>
      </c>
      <c r="AO136" s="66">
        <v>0</v>
      </c>
      <c r="AP136" s="66">
        <v>0</v>
      </c>
      <c r="AQ136" s="66">
        <v>0</v>
      </c>
      <c r="AR136" s="66">
        <v>0</v>
      </c>
      <c r="AS136" s="66">
        <v>0</v>
      </c>
      <c r="AT136" s="66">
        <v>0</v>
      </c>
      <c r="AU136" s="66">
        <v>0</v>
      </c>
      <c r="AV136" s="66">
        <v>0</v>
      </c>
      <c r="AW136" s="66">
        <v>0</v>
      </c>
      <c r="AX136" s="66">
        <v>0</v>
      </c>
      <c r="AY136" s="66">
        <v>0</v>
      </c>
      <c r="AZ136" s="66">
        <v>0</v>
      </c>
      <c r="BA136" s="65">
        <f>SUM(BB136+BF136+BJ136+BL136+BO136)</f>
        <v>779189</v>
      </c>
      <c r="BB136" s="65">
        <f>SUM(BC136:BE136)</f>
        <v>0</v>
      </c>
      <c r="BC136" s="65">
        <v>0</v>
      </c>
      <c r="BD136" s="65">
        <v>0</v>
      </c>
      <c r="BE136" s="65">
        <v>0</v>
      </c>
      <c r="BF136" s="65">
        <f t="shared" ref="BF136:BF138" si="282">SUM(BG136:BI136)</f>
        <v>0</v>
      </c>
      <c r="BG136" s="65">
        <v>0</v>
      </c>
      <c r="BH136" s="65">
        <v>0</v>
      </c>
      <c r="BI136" s="65">
        <v>0</v>
      </c>
      <c r="BJ136" s="65">
        <v>0</v>
      </c>
      <c r="BK136" s="65">
        <v>0</v>
      </c>
      <c r="BL136" s="65">
        <f t="shared" si="122"/>
        <v>0</v>
      </c>
      <c r="BM136" s="65">
        <v>0</v>
      </c>
      <c r="BN136" s="65">
        <v>0</v>
      </c>
      <c r="BO136" s="65">
        <f>SUM(BP136:BZ136)</f>
        <v>779189</v>
      </c>
      <c r="BP136" s="65">
        <v>0</v>
      </c>
      <c r="BQ136" s="65">
        <v>0</v>
      </c>
      <c r="BR136" s="66">
        <f>1070064-623898</f>
        <v>446166</v>
      </c>
      <c r="BS136" s="65">
        <v>0</v>
      </c>
      <c r="BT136" s="65">
        <v>0</v>
      </c>
      <c r="BU136" s="65">
        <v>0</v>
      </c>
      <c r="BV136" s="65">
        <v>0</v>
      </c>
      <c r="BW136" s="65">
        <v>0</v>
      </c>
      <c r="BX136" s="65">
        <v>0</v>
      </c>
      <c r="BY136" s="66">
        <f>1301798-968775</f>
        <v>333023</v>
      </c>
      <c r="BZ136" s="66">
        <f>226904-226904</f>
        <v>0</v>
      </c>
      <c r="CA136" s="65">
        <f>SUM(CB136+CN136)</f>
        <v>0</v>
      </c>
      <c r="CB136" s="65">
        <f>SUM(CC136+CF136+CK136)</f>
        <v>0</v>
      </c>
      <c r="CC136" s="65">
        <f t="shared" si="123"/>
        <v>0</v>
      </c>
      <c r="CD136" s="65">
        <v>0</v>
      </c>
      <c r="CE136" s="66"/>
      <c r="CF136" s="65">
        <f>SUM(CG136:CJ136)</f>
        <v>0</v>
      </c>
      <c r="CG136" s="65">
        <v>0</v>
      </c>
      <c r="CH136" s="65">
        <v>0</v>
      </c>
      <c r="CI136" s="65">
        <v>0</v>
      </c>
      <c r="CJ136" s="65">
        <v>0</v>
      </c>
      <c r="CK136" s="65">
        <f>SUM(CL136:CM136)</f>
        <v>0</v>
      </c>
      <c r="CL136" s="66"/>
      <c r="CM136" s="65">
        <v>0</v>
      </c>
      <c r="CN136" s="65">
        <v>0</v>
      </c>
      <c r="CO136" s="65"/>
      <c r="CP136" s="65"/>
      <c r="CQ136" s="65"/>
      <c r="CR136" s="65"/>
      <c r="GP136" s="82"/>
    </row>
    <row r="137" spans="1:198" s="82" customFormat="1" ht="18.600000000000001" customHeight="1" x14ac:dyDescent="0.3">
      <c r="A137" s="92" t="s">
        <v>1</v>
      </c>
      <c r="B137" s="62" t="s">
        <v>56</v>
      </c>
      <c r="C137" s="63" t="s">
        <v>193</v>
      </c>
      <c r="D137" s="65">
        <f t="shared" si="280"/>
        <v>103264593</v>
      </c>
      <c r="E137" s="65">
        <f>SUM(F137+BA137)</f>
        <v>103264593</v>
      </c>
      <c r="F137" s="65">
        <f>SUM(G137+H137+I137+P137+S137+T137+U137+AE137+AD137)</f>
        <v>94487742</v>
      </c>
      <c r="G137" s="66">
        <v>68340759</v>
      </c>
      <c r="H137" s="66">
        <v>16052493</v>
      </c>
      <c r="I137" s="65">
        <f t="shared" si="120"/>
        <v>3219683</v>
      </c>
      <c r="J137" s="66">
        <v>48508</v>
      </c>
      <c r="K137" s="66">
        <v>0</v>
      </c>
      <c r="L137" s="66">
        <v>2243875</v>
      </c>
      <c r="M137" s="66">
        <v>0</v>
      </c>
      <c r="N137" s="66">
        <f>932793-211654</f>
        <v>721139</v>
      </c>
      <c r="O137" s="66">
        <f>412323-206162</f>
        <v>206161</v>
      </c>
      <c r="P137" s="65">
        <f t="shared" si="121"/>
        <v>0</v>
      </c>
      <c r="Q137" s="66"/>
      <c r="R137" s="66">
        <v>0</v>
      </c>
      <c r="S137" s="66">
        <v>0</v>
      </c>
      <c r="T137" s="66">
        <v>181872</v>
      </c>
      <c r="U137" s="65">
        <f t="shared" si="281"/>
        <v>6307812</v>
      </c>
      <c r="V137" s="66">
        <v>278110</v>
      </c>
      <c r="W137" s="66">
        <f>2916695+1558059</f>
        <v>4474754</v>
      </c>
      <c r="X137" s="66">
        <f>564279+617534</f>
        <v>1181813</v>
      </c>
      <c r="Y137" s="66">
        <f>276971+61619</f>
        <v>338590</v>
      </c>
      <c r="Z137" s="66">
        <f>85000-51000</f>
        <v>34000</v>
      </c>
      <c r="AA137" s="66">
        <v>0</v>
      </c>
      <c r="AB137" s="66">
        <v>0</v>
      </c>
      <c r="AC137" s="66">
        <f>148+397</f>
        <v>545</v>
      </c>
      <c r="AD137" s="65">
        <v>0</v>
      </c>
      <c r="AE137" s="65">
        <f>SUM(AF137:AZ137)</f>
        <v>385123</v>
      </c>
      <c r="AF137" s="65">
        <v>0</v>
      </c>
      <c r="AG137" s="65">
        <v>0</v>
      </c>
      <c r="AH137" s="66">
        <v>5000</v>
      </c>
      <c r="AI137" s="66">
        <v>0</v>
      </c>
      <c r="AJ137" s="66">
        <f>126650-107973</f>
        <v>18677</v>
      </c>
      <c r="AK137" s="66">
        <f>22000-16625</f>
        <v>5375</v>
      </c>
      <c r="AL137" s="66">
        <v>0</v>
      </c>
      <c r="AM137" s="66">
        <v>0</v>
      </c>
      <c r="AN137" s="66">
        <f>18455-8455</f>
        <v>10000</v>
      </c>
      <c r="AO137" s="66">
        <v>0</v>
      </c>
      <c r="AP137" s="66">
        <v>0</v>
      </c>
      <c r="AQ137" s="66">
        <v>0</v>
      </c>
      <c r="AR137" s="66">
        <f>595963-249892</f>
        <v>346071</v>
      </c>
      <c r="AS137" s="66">
        <v>0</v>
      </c>
      <c r="AT137" s="66">
        <v>0</v>
      </c>
      <c r="AU137" s="66">
        <v>0</v>
      </c>
      <c r="AV137" s="66">
        <v>0</v>
      </c>
      <c r="AW137" s="66">
        <v>0</v>
      </c>
      <c r="AX137" s="66">
        <v>0</v>
      </c>
      <c r="AY137" s="66">
        <v>0</v>
      </c>
      <c r="AZ137" s="66">
        <v>0</v>
      </c>
      <c r="BA137" s="65">
        <f>SUM(BB137+BF137+BJ137+BL137+BO137)</f>
        <v>8776851</v>
      </c>
      <c r="BB137" s="65">
        <f>SUM(BC137:BE137)</f>
        <v>0</v>
      </c>
      <c r="BC137" s="65">
        <v>0</v>
      </c>
      <c r="BD137" s="65">
        <v>0</v>
      </c>
      <c r="BE137" s="65">
        <v>0</v>
      </c>
      <c r="BF137" s="65">
        <f t="shared" si="282"/>
        <v>0</v>
      </c>
      <c r="BG137" s="65">
        <v>0</v>
      </c>
      <c r="BH137" s="65">
        <v>0</v>
      </c>
      <c r="BI137" s="65">
        <v>0</v>
      </c>
      <c r="BJ137" s="65">
        <v>0</v>
      </c>
      <c r="BK137" s="65">
        <v>0</v>
      </c>
      <c r="BL137" s="65">
        <f t="shared" si="122"/>
        <v>0</v>
      </c>
      <c r="BM137" s="65">
        <v>0</v>
      </c>
      <c r="BN137" s="65">
        <v>0</v>
      </c>
      <c r="BO137" s="65">
        <f>SUM(BP137:BZ137)</f>
        <v>8776851</v>
      </c>
      <c r="BP137" s="65">
        <v>0</v>
      </c>
      <c r="BQ137" s="65">
        <v>0</v>
      </c>
      <c r="BR137" s="66">
        <f>5403055-1711513</f>
        <v>3691542</v>
      </c>
      <c r="BS137" s="65">
        <v>0</v>
      </c>
      <c r="BT137" s="65">
        <v>0</v>
      </c>
      <c r="BU137" s="65">
        <v>0</v>
      </c>
      <c r="BV137" s="65">
        <v>0</v>
      </c>
      <c r="BW137" s="65">
        <v>0</v>
      </c>
      <c r="BX137" s="65">
        <v>0</v>
      </c>
      <c r="BY137" s="66">
        <f>7397269-2413332</f>
        <v>4983937</v>
      </c>
      <c r="BZ137" s="66">
        <f>202744-101372</f>
        <v>101372</v>
      </c>
      <c r="CA137" s="65">
        <f>SUM(CB137+CN137)</f>
        <v>0</v>
      </c>
      <c r="CB137" s="65">
        <f>SUM(CC137+CF137+CK137)</f>
        <v>0</v>
      </c>
      <c r="CC137" s="65">
        <f t="shared" si="123"/>
        <v>0</v>
      </c>
      <c r="CD137" s="65">
        <v>0</v>
      </c>
      <c r="CE137" s="66"/>
      <c r="CF137" s="65">
        <f>SUM(CG137:CJ137)</f>
        <v>0</v>
      </c>
      <c r="CG137" s="65">
        <v>0</v>
      </c>
      <c r="CH137" s="65">
        <v>0</v>
      </c>
      <c r="CI137" s="65">
        <v>0</v>
      </c>
      <c r="CJ137" s="65">
        <v>0</v>
      </c>
      <c r="CK137" s="65">
        <f>SUM(CL137:CM137)</f>
        <v>0</v>
      </c>
      <c r="CL137" s="66"/>
      <c r="CM137" s="65">
        <v>0</v>
      </c>
      <c r="CN137" s="65">
        <v>0</v>
      </c>
      <c r="CO137" s="65"/>
      <c r="CP137" s="65"/>
      <c r="CQ137" s="65"/>
      <c r="CR137" s="65"/>
      <c r="CS137" s="68"/>
      <c r="GP137" s="68"/>
    </row>
    <row r="138" spans="1:198" s="68" customFormat="1" ht="15.6" x14ac:dyDescent="0.3">
      <c r="A138" s="92" t="s">
        <v>1</v>
      </c>
      <c r="B138" s="62" t="s">
        <v>64</v>
      </c>
      <c r="C138" s="63" t="s">
        <v>321</v>
      </c>
      <c r="D138" s="65">
        <f t="shared" si="280"/>
        <v>14498417</v>
      </c>
      <c r="E138" s="65">
        <f>SUM(F138+BA138)</f>
        <v>14394817</v>
      </c>
      <c r="F138" s="65">
        <f>SUM(G138+H138+I138+P138+S138+T138+U138+AE138+AD138)</f>
        <v>14211720</v>
      </c>
      <c r="G138" s="66">
        <v>7122225</v>
      </c>
      <c r="H138" s="66">
        <v>1683269</v>
      </c>
      <c r="I138" s="65">
        <f t="shared" si="120"/>
        <v>4135314</v>
      </c>
      <c r="J138" s="66">
        <f>79999-25428</f>
        <v>54571</v>
      </c>
      <c r="K138" s="66">
        <f>217000-217000</f>
        <v>0</v>
      </c>
      <c r="L138" s="66">
        <f>3808520</f>
        <v>3808520</v>
      </c>
      <c r="M138" s="66">
        <v>0</v>
      </c>
      <c r="N138" s="66">
        <f>250000-53112</f>
        <v>196888</v>
      </c>
      <c r="O138" s="66">
        <f>150670-75335</f>
        <v>75335</v>
      </c>
      <c r="P138" s="65">
        <f t="shared" si="121"/>
        <v>0</v>
      </c>
      <c r="Q138" s="66">
        <v>0</v>
      </c>
      <c r="R138" s="66">
        <v>0</v>
      </c>
      <c r="S138" s="66">
        <v>0</v>
      </c>
      <c r="T138" s="66">
        <v>19670</v>
      </c>
      <c r="U138" s="65">
        <f t="shared" si="281"/>
        <v>648893</v>
      </c>
      <c r="V138" s="66">
        <v>20000</v>
      </c>
      <c r="W138" s="66">
        <f>196701+151753</f>
        <v>348454</v>
      </c>
      <c r="X138" s="66">
        <f>82966+125970</f>
        <v>208936</v>
      </c>
      <c r="Y138" s="66">
        <f>44793+10710</f>
        <v>55503</v>
      </c>
      <c r="Z138" s="66">
        <v>16000</v>
      </c>
      <c r="AA138" s="66">
        <v>0</v>
      </c>
      <c r="AB138" s="66">
        <v>0</v>
      </c>
      <c r="AC138" s="66">
        <v>0</v>
      </c>
      <c r="AD138" s="65">
        <v>0</v>
      </c>
      <c r="AE138" s="65">
        <f>SUM(AF138:AZ138)</f>
        <v>602349</v>
      </c>
      <c r="AF138" s="65">
        <v>0</v>
      </c>
      <c r="AG138" s="65">
        <v>0</v>
      </c>
      <c r="AH138" s="66">
        <v>25000</v>
      </c>
      <c r="AI138" s="66">
        <f>450000-447141</f>
        <v>2859</v>
      </c>
      <c r="AJ138" s="66">
        <v>0</v>
      </c>
      <c r="AK138" s="66">
        <f>4000-2000</f>
        <v>2000</v>
      </c>
      <c r="AL138" s="66">
        <v>0</v>
      </c>
      <c r="AM138" s="66">
        <v>0</v>
      </c>
      <c r="AN138" s="66">
        <f>6000-298</f>
        <v>5702</v>
      </c>
      <c r="AO138" s="66">
        <v>0</v>
      </c>
      <c r="AP138" s="66">
        <v>0</v>
      </c>
      <c r="AQ138" s="66">
        <v>0</v>
      </c>
      <c r="AR138" s="66">
        <f>16207-6619</f>
        <v>9588</v>
      </c>
      <c r="AS138" s="66">
        <f>66000-13800</f>
        <v>52200</v>
      </c>
      <c r="AT138" s="66">
        <v>0</v>
      </c>
      <c r="AU138" s="66">
        <v>0</v>
      </c>
      <c r="AV138" s="66">
        <v>0</v>
      </c>
      <c r="AW138" s="66">
        <v>0</v>
      </c>
      <c r="AX138" s="66">
        <v>0</v>
      </c>
      <c r="AY138" s="66">
        <v>0</v>
      </c>
      <c r="AZ138" s="66">
        <f>1010000-505000</f>
        <v>505000</v>
      </c>
      <c r="BA138" s="65">
        <f>SUM(BB138+BF138+BJ138+BL138+BO138)</f>
        <v>183097</v>
      </c>
      <c r="BB138" s="65">
        <f>SUM(BC138:BE138)</f>
        <v>0</v>
      </c>
      <c r="BC138" s="65">
        <v>0</v>
      </c>
      <c r="BD138" s="65">
        <v>0</v>
      </c>
      <c r="BE138" s="65">
        <v>0</v>
      </c>
      <c r="BF138" s="65">
        <f t="shared" si="282"/>
        <v>0</v>
      </c>
      <c r="BG138" s="65">
        <v>0</v>
      </c>
      <c r="BH138" s="65">
        <v>0</v>
      </c>
      <c r="BI138" s="65">
        <v>0</v>
      </c>
      <c r="BJ138" s="65">
        <v>0</v>
      </c>
      <c r="BK138" s="65">
        <v>0</v>
      </c>
      <c r="BL138" s="65">
        <f t="shared" si="122"/>
        <v>0</v>
      </c>
      <c r="BM138" s="65">
        <v>0</v>
      </c>
      <c r="BN138" s="65">
        <v>0</v>
      </c>
      <c r="BO138" s="65">
        <f>SUM(BP138:BZ138)</f>
        <v>183097</v>
      </c>
      <c r="BP138" s="65">
        <v>0</v>
      </c>
      <c r="BQ138" s="65">
        <v>0</v>
      </c>
      <c r="BR138" s="66">
        <v>126760</v>
      </c>
      <c r="BS138" s="65">
        <v>0</v>
      </c>
      <c r="BT138" s="65">
        <v>0</v>
      </c>
      <c r="BU138" s="65">
        <v>0</v>
      </c>
      <c r="BV138" s="65">
        <v>0</v>
      </c>
      <c r="BW138" s="65">
        <v>0</v>
      </c>
      <c r="BX138" s="65">
        <v>0</v>
      </c>
      <c r="BY138" s="66">
        <v>56337</v>
      </c>
      <c r="BZ138" s="66">
        <v>0</v>
      </c>
      <c r="CA138" s="65">
        <f>SUM(CB138+CN138)</f>
        <v>103600</v>
      </c>
      <c r="CB138" s="65">
        <f>SUM(CC138+CF138+CK138)</f>
        <v>103600</v>
      </c>
      <c r="CC138" s="65">
        <f t="shared" si="123"/>
        <v>103600</v>
      </c>
      <c r="CD138" s="65">
        <v>0</v>
      </c>
      <c r="CE138" s="66">
        <f>518000-414400</f>
        <v>103600</v>
      </c>
      <c r="CF138" s="65">
        <f>SUM(CG138:CJ138)</f>
        <v>0</v>
      </c>
      <c r="CG138" s="65">
        <v>0</v>
      </c>
      <c r="CH138" s="65">
        <v>0</v>
      </c>
      <c r="CI138" s="65">
        <v>0</v>
      </c>
      <c r="CJ138" s="65">
        <v>0</v>
      </c>
      <c r="CK138" s="65">
        <f>SUM(CL138:CM138)</f>
        <v>0</v>
      </c>
      <c r="CL138" s="66"/>
      <c r="CM138" s="65">
        <v>0</v>
      </c>
      <c r="CN138" s="65">
        <v>0</v>
      </c>
      <c r="CO138" s="65"/>
      <c r="CP138" s="65"/>
      <c r="CQ138" s="65"/>
      <c r="CR138" s="65"/>
    </row>
    <row r="139" spans="1:198" s="68" customFormat="1" ht="15.6" x14ac:dyDescent="0.3">
      <c r="A139" s="89" t="s">
        <v>194</v>
      </c>
      <c r="B139" s="15" t="s">
        <v>1</v>
      </c>
      <c r="C139" s="16" t="s">
        <v>195</v>
      </c>
      <c r="D139" s="17">
        <f>SUM(D140:D143)</f>
        <v>182387385</v>
      </c>
      <c r="E139" s="17">
        <f t="shared" ref="E139:BP139" si="283">SUM(E140:E143)</f>
        <v>182352040</v>
      </c>
      <c r="F139" s="17">
        <f t="shared" si="283"/>
        <v>167973794</v>
      </c>
      <c r="G139" s="17">
        <f t="shared" si="283"/>
        <v>130059552</v>
      </c>
      <c r="H139" s="17">
        <f t="shared" si="283"/>
        <v>30821542</v>
      </c>
      <c r="I139" s="17">
        <f t="shared" si="283"/>
        <v>2568199</v>
      </c>
      <c r="J139" s="17">
        <f t="shared" si="283"/>
        <v>3748</v>
      </c>
      <c r="K139" s="17">
        <f t="shared" si="283"/>
        <v>0</v>
      </c>
      <c r="L139" s="17">
        <f t="shared" si="283"/>
        <v>2406463</v>
      </c>
      <c r="M139" s="17">
        <f t="shared" si="283"/>
        <v>0</v>
      </c>
      <c r="N139" s="17">
        <f t="shared" si="283"/>
        <v>117016</v>
      </c>
      <c r="O139" s="17">
        <f t="shared" si="283"/>
        <v>40972</v>
      </c>
      <c r="P139" s="17">
        <f t="shared" si="283"/>
        <v>0</v>
      </c>
      <c r="Q139" s="17">
        <f t="shared" si="283"/>
        <v>0</v>
      </c>
      <c r="R139" s="17">
        <f t="shared" si="283"/>
        <v>0</v>
      </c>
      <c r="S139" s="17">
        <f t="shared" si="283"/>
        <v>0</v>
      </c>
      <c r="T139" s="17">
        <f t="shared" si="283"/>
        <v>355121</v>
      </c>
      <c r="U139" s="17">
        <f t="shared" si="283"/>
        <v>3883443</v>
      </c>
      <c r="V139" s="17">
        <f t="shared" si="283"/>
        <v>14963</v>
      </c>
      <c r="W139" s="17">
        <f t="shared" si="283"/>
        <v>2296798</v>
      </c>
      <c r="X139" s="17">
        <f t="shared" si="283"/>
        <v>1062116</v>
      </c>
      <c r="Y139" s="17">
        <f t="shared" si="283"/>
        <v>360325</v>
      </c>
      <c r="Z139" s="17">
        <f t="shared" si="283"/>
        <v>149000</v>
      </c>
      <c r="AA139" s="17">
        <f t="shared" si="283"/>
        <v>0</v>
      </c>
      <c r="AB139" s="17">
        <f t="shared" si="283"/>
        <v>0</v>
      </c>
      <c r="AC139" s="17">
        <f t="shared" si="283"/>
        <v>241</v>
      </c>
      <c r="AD139" s="17">
        <f t="shared" si="283"/>
        <v>0</v>
      </c>
      <c r="AE139" s="17">
        <f t="shared" si="283"/>
        <v>285937</v>
      </c>
      <c r="AF139" s="17">
        <f t="shared" si="283"/>
        <v>0</v>
      </c>
      <c r="AG139" s="17">
        <f t="shared" si="283"/>
        <v>0</v>
      </c>
      <c r="AH139" s="17">
        <f t="shared" si="283"/>
        <v>671</v>
      </c>
      <c r="AI139" s="17">
        <f t="shared" si="283"/>
        <v>0</v>
      </c>
      <c r="AJ139" s="17">
        <f t="shared" si="283"/>
        <v>0</v>
      </c>
      <c r="AK139" s="17">
        <f t="shared" si="283"/>
        <v>390</v>
      </c>
      <c r="AL139" s="17">
        <f t="shared" si="283"/>
        <v>0</v>
      </c>
      <c r="AM139" s="17">
        <f t="shared" si="283"/>
        <v>300</v>
      </c>
      <c r="AN139" s="17">
        <f t="shared" si="283"/>
        <v>197750</v>
      </c>
      <c r="AO139" s="17">
        <f t="shared" si="283"/>
        <v>0</v>
      </c>
      <c r="AP139" s="17">
        <f t="shared" si="283"/>
        <v>0</v>
      </c>
      <c r="AQ139" s="17">
        <f t="shared" si="283"/>
        <v>0</v>
      </c>
      <c r="AR139" s="17">
        <f t="shared" si="283"/>
        <v>0</v>
      </c>
      <c r="AS139" s="17">
        <f t="shared" si="283"/>
        <v>38640</v>
      </c>
      <c r="AT139" s="17">
        <f t="shared" si="283"/>
        <v>0</v>
      </c>
      <c r="AU139" s="17">
        <f t="shared" si="283"/>
        <v>0</v>
      </c>
      <c r="AV139" s="17">
        <f t="shared" si="283"/>
        <v>0</v>
      </c>
      <c r="AW139" s="17">
        <f t="shared" si="283"/>
        <v>0</v>
      </c>
      <c r="AX139" s="17">
        <f t="shared" si="283"/>
        <v>0</v>
      </c>
      <c r="AY139" s="17">
        <f t="shared" si="283"/>
        <v>0</v>
      </c>
      <c r="AZ139" s="17">
        <f t="shared" si="283"/>
        <v>48186</v>
      </c>
      <c r="BA139" s="17">
        <f t="shared" si="283"/>
        <v>14378246</v>
      </c>
      <c r="BB139" s="17">
        <f t="shared" si="283"/>
        <v>0</v>
      </c>
      <c r="BC139" s="17">
        <f t="shared" si="283"/>
        <v>0</v>
      </c>
      <c r="BD139" s="17">
        <f t="shared" si="283"/>
        <v>0</v>
      </c>
      <c r="BE139" s="17">
        <f t="shared" si="283"/>
        <v>0</v>
      </c>
      <c r="BF139" s="17">
        <f t="shared" si="283"/>
        <v>0</v>
      </c>
      <c r="BG139" s="17">
        <f t="shared" si="283"/>
        <v>0</v>
      </c>
      <c r="BH139" s="17">
        <f t="shared" si="283"/>
        <v>0</v>
      </c>
      <c r="BI139" s="17">
        <f t="shared" si="283"/>
        <v>0</v>
      </c>
      <c r="BJ139" s="17">
        <f t="shared" si="283"/>
        <v>0</v>
      </c>
      <c r="BK139" s="17">
        <f t="shared" si="283"/>
        <v>0</v>
      </c>
      <c r="BL139" s="17">
        <f t="shared" si="283"/>
        <v>0</v>
      </c>
      <c r="BM139" s="17">
        <f t="shared" si="283"/>
        <v>0</v>
      </c>
      <c r="BN139" s="17">
        <f t="shared" si="283"/>
        <v>0</v>
      </c>
      <c r="BO139" s="17">
        <f t="shared" si="283"/>
        <v>14378246</v>
      </c>
      <c r="BP139" s="17">
        <f t="shared" si="283"/>
        <v>0</v>
      </c>
      <c r="BQ139" s="17">
        <f t="shared" ref="BQ139:CQ139" si="284">SUM(BQ140:BQ143)</f>
        <v>0</v>
      </c>
      <c r="BR139" s="17">
        <f t="shared" si="284"/>
        <v>8439906</v>
      </c>
      <c r="BS139" s="17">
        <f t="shared" si="284"/>
        <v>0</v>
      </c>
      <c r="BT139" s="17">
        <f t="shared" si="284"/>
        <v>0</v>
      </c>
      <c r="BU139" s="17">
        <f t="shared" si="284"/>
        <v>0</v>
      </c>
      <c r="BV139" s="17">
        <f t="shared" si="284"/>
        <v>0</v>
      </c>
      <c r="BW139" s="17">
        <f t="shared" si="284"/>
        <v>0</v>
      </c>
      <c r="BX139" s="17">
        <f t="shared" si="284"/>
        <v>0</v>
      </c>
      <c r="BY139" s="17">
        <f t="shared" si="284"/>
        <v>5043700</v>
      </c>
      <c r="BZ139" s="17">
        <f t="shared" si="284"/>
        <v>894640</v>
      </c>
      <c r="CA139" s="17">
        <f t="shared" si="284"/>
        <v>35345</v>
      </c>
      <c r="CB139" s="17">
        <f t="shared" si="284"/>
        <v>35345</v>
      </c>
      <c r="CC139" s="17">
        <f t="shared" si="284"/>
        <v>35345</v>
      </c>
      <c r="CD139" s="17">
        <f t="shared" si="284"/>
        <v>0</v>
      </c>
      <c r="CE139" s="17">
        <f t="shared" si="284"/>
        <v>35345</v>
      </c>
      <c r="CF139" s="17">
        <f t="shared" si="284"/>
        <v>0</v>
      </c>
      <c r="CG139" s="17">
        <f t="shared" si="284"/>
        <v>0</v>
      </c>
      <c r="CH139" s="17">
        <f t="shared" si="284"/>
        <v>0</v>
      </c>
      <c r="CI139" s="17">
        <f t="shared" si="284"/>
        <v>0</v>
      </c>
      <c r="CJ139" s="17">
        <f t="shared" si="284"/>
        <v>0</v>
      </c>
      <c r="CK139" s="17">
        <f t="shared" si="284"/>
        <v>0</v>
      </c>
      <c r="CL139" s="17">
        <f t="shared" si="284"/>
        <v>0</v>
      </c>
      <c r="CM139" s="17">
        <f t="shared" si="284"/>
        <v>0</v>
      </c>
      <c r="CN139" s="17">
        <f t="shared" si="284"/>
        <v>0</v>
      </c>
      <c r="CO139" s="64">
        <f t="shared" si="284"/>
        <v>0</v>
      </c>
      <c r="CP139" s="64">
        <f t="shared" si="284"/>
        <v>0</v>
      </c>
      <c r="CQ139" s="64">
        <f t="shared" si="284"/>
        <v>0</v>
      </c>
      <c r="CR139" s="64">
        <f t="shared" ref="CR139" si="285">SUM(CR140:CR143)</f>
        <v>0</v>
      </c>
      <c r="CS139" s="51"/>
    </row>
    <row r="140" spans="1:198" ht="31.2" x14ac:dyDescent="0.3">
      <c r="A140" s="90" t="s">
        <v>1</v>
      </c>
      <c r="B140" s="19" t="s">
        <v>54</v>
      </c>
      <c r="C140" s="20" t="s">
        <v>192</v>
      </c>
      <c r="D140" s="18">
        <f t="shared" ref="D140:D143" si="286">SUM(E140+CA140)</f>
        <v>5774693</v>
      </c>
      <c r="E140" s="18">
        <f>SUM(F140+BA140)</f>
        <v>5774693</v>
      </c>
      <c r="F140" s="18">
        <f>SUM(G140+H140+I140+P140+S140+T140+U140+AE140+AD140)</f>
        <v>5032020</v>
      </c>
      <c r="G140" s="21">
        <f>0+3185175</f>
        <v>3185175</v>
      </c>
      <c r="H140" s="21">
        <f>0+860580</f>
        <v>860580</v>
      </c>
      <c r="I140" s="18">
        <f t="shared" ref="I140" si="287">SUM(J140:O140)</f>
        <v>372257</v>
      </c>
      <c r="J140" s="21">
        <v>0</v>
      </c>
      <c r="K140" s="21">
        <v>0</v>
      </c>
      <c r="L140" s="21">
        <f>0+338654</f>
        <v>338654</v>
      </c>
      <c r="M140" s="21">
        <v>0</v>
      </c>
      <c r="N140" s="21">
        <f>0+22581</f>
        <v>22581</v>
      </c>
      <c r="O140" s="21">
        <f>0+11022</f>
        <v>11022</v>
      </c>
      <c r="P140" s="18">
        <f t="shared" ref="P140" si="288">SUM(Q140:R140)</f>
        <v>0</v>
      </c>
      <c r="Q140" s="21">
        <v>0</v>
      </c>
      <c r="R140" s="21">
        <v>0</v>
      </c>
      <c r="S140" s="21">
        <v>0</v>
      </c>
      <c r="T140" s="21">
        <f>0+29595</f>
        <v>29595</v>
      </c>
      <c r="U140" s="18">
        <f t="shared" ref="U140" si="289">SUM(V140:AC140)</f>
        <v>556392</v>
      </c>
      <c r="V140" s="21">
        <f>0+13748</f>
        <v>13748</v>
      </c>
      <c r="W140" s="21">
        <f>0+363914</f>
        <v>363914</v>
      </c>
      <c r="X140" s="21">
        <f>0+122266</f>
        <v>122266</v>
      </c>
      <c r="Y140" s="21">
        <f>0+56464</f>
        <v>56464</v>
      </c>
      <c r="Z140" s="21">
        <v>0</v>
      </c>
      <c r="AA140" s="21">
        <v>0</v>
      </c>
      <c r="AB140" s="21">
        <v>0</v>
      </c>
      <c r="AC140" s="21">
        <v>0</v>
      </c>
      <c r="AD140" s="18">
        <v>0</v>
      </c>
      <c r="AE140" s="18">
        <f>SUM(AF140:AZ140)</f>
        <v>28021</v>
      </c>
      <c r="AF140" s="22">
        <v>0</v>
      </c>
      <c r="AG140" s="22">
        <v>0</v>
      </c>
      <c r="AH140" s="21">
        <f>0+671</f>
        <v>671</v>
      </c>
      <c r="AI140" s="21">
        <v>0</v>
      </c>
      <c r="AJ140" s="21">
        <v>0</v>
      </c>
      <c r="AK140" s="21">
        <f>0+390</f>
        <v>390</v>
      </c>
      <c r="AL140" s="21">
        <v>0</v>
      </c>
      <c r="AM140" s="21">
        <v>0</v>
      </c>
      <c r="AN140" s="21">
        <f>0+26960</f>
        <v>26960</v>
      </c>
      <c r="AO140" s="21">
        <v>0</v>
      </c>
      <c r="AP140" s="21">
        <v>0</v>
      </c>
      <c r="AQ140" s="21">
        <v>0</v>
      </c>
      <c r="AR140" s="21">
        <v>0</v>
      </c>
      <c r="AS140" s="21">
        <v>0</v>
      </c>
      <c r="AT140" s="21">
        <v>0</v>
      </c>
      <c r="AU140" s="21">
        <v>0</v>
      </c>
      <c r="AV140" s="21">
        <v>0</v>
      </c>
      <c r="AW140" s="21">
        <v>0</v>
      </c>
      <c r="AX140" s="21">
        <v>0</v>
      </c>
      <c r="AY140" s="21">
        <v>0</v>
      </c>
      <c r="AZ140" s="21">
        <v>0</v>
      </c>
      <c r="BA140" s="18">
        <f>SUM(BB140+BF140+BJ140+BL140+BO140)</f>
        <v>742673</v>
      </c>
      <c r="BB140" s="18">
        <f>SUM(BC140:BE140)</f>
        <v>0</v>
      </c>
      <c r="BC140" s="18">
        <v>0</v>
      </c>
      <c r="BD140" s="18">
        <v>0</v>
      </c>
      <c r="BE140" s="18">
        <v>0</v>
      </c>
      <c r="BF140" s="18">
        <f t="shared" ref="BF140" si="290">SUM(BG140:BI140)</f>
        <v>0</v>
      </c>
      <c r="BG140" s="18">
        <v>0</v>
      </c>
      <c r="BH140" s="18">
        <v>0</v>
      </c>
      <c r="BI140" s="18">
        <v>0</v>
      </c>
      <c r="BJ140" s="18">
        <v>0</v>
      </c>
      <c r="BK140" s="18">
        <v>0</v>
      </c>
      <c r="BL140" s="18">
        <f t="shared" ref="BL140" si="291">SUM(BM140)</f>
        <v>0</v>
      </c>
      <c r="BM140" s="18">
        <v>0</v>
      </c>
      <c r="BN140" s="18">
        <v>0</v>
      </c>
      <c r="BO140" s="18">
        <f>SUM(BP140:BZ140)</f>
        <v>742673</v>
      </c>
      <c r="BP140" s="18">
        <v>0</v>
      </c>
      <c r="BQ140" s="18">
        <v>0</v>
      </c>
      <c r="BR140" s="21">
        <f>0+323898</f>
        <v>323898</v>
      </c>
      <c r="BS140" s="18">
        <v>0</v>
      </c>
      <c r="BT140" s="18">
        <v>0</v>
      </c>
      <c r="BU140" s="18">
        <v>0</v>
      </c>
      <c r="BV140" s="18">
        <v>0</v>
      </c>
      <c r="BW140" s="18">
        <v>0</v>
      </c>
      <c r="BX140" s="18">
        <v>0</v>
      </c>
      <c r="BY140" s="21">
        <f>0+418775</f>
        <v>418775</v>
      </c>
      <c r="BZ140" s="21">
        <v>0</v>
      </c>
      <c r="CA140" s="18">
        <f>SUM(CB140+CN140)</f>
        <v>0</v>
      </c>
      <c r="CB140" s="18">
        <f>SUM(CC140+CF140+CK140)</f>
        <v>0</v>
      </c>
      <c r="CC140" s="18">
        <f t="shared" ref="CC140" si="292">SUM(CD140:CE140)</f>
        <v>0</v>
      </c>
      <c r="CD140" s="18">
        <v>0</v>
      </c>
      <c r="CE140" s="21">
        <v>0</v>
      </c>
      <c r="CF140" s="18">
        <f>SUM(CG140:CJ140)</f>
        <v>0</v>
      </c>
      <c r="CG140" s="18">
        <v>0</v>
      </c>
      <c r="CH140" s="18">
        <v>0</v>
      </c>
      <c r="CI140" s="18">
        <v>0</v>
      </c>
      <c r="CJ140" s="18">
        <v>0</v>
      </c>
      <c r="CK140" s="18">
        <f>SUM(CL140:CM140)</f>
        <v>0</v>
      </c>
      <c r="CL140" s="18">
        <v>0</v>
      </c>
      <c r="CM140" s="18">
        <v>0</v>
      </c>
      <c r="CN140" s="18">
        <v>0</v>
      </c>
      <c r="CO140" s="65"/>
      <c r="CP140" s="65"/>
      <c r="CQ140" s="65"/>
      <c r="CR140" s="65"/>
      <c r="CS140" s="46"/>
      <c r="GP140" s="82"/>
    </row>
    <row r="141" spans="1:198" ht="15.6" customHeight="1" x14ac:dyDescent="0.3">
      <c r="A141" s="90" t="s">
        <v>1</v>
      </c>
      <c r="B141" s="19" t="s">
        <v>56</v>
      </c>
      <c r="C141" s="20" t="s">
        <v>193</v>
      </c>
      <c r="D141" s="18">
        <f t="shared" si="286"/>
        <v>592873</v>
      </c>
      <c r="E141" s="18">
        <f>SUM(F141+BA141)</f>
        <v>592873</v>
      </c>
      <c r="F141" s="18">
        <f>SUM(G141+H141+I141+P141+S141+T141+U141+AE141+AD141)</f>
        <v>211663</v>
      </c>
      <c r="G141" s="21">
        <v>169330</v>
      </c>
      <c r="H141" s="21">
        <v>42333</v>
      </c>
      <c r="I141" s="18">
        <f t="shared" si="120"/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18">
        <f t="shared" si="121"/>
        <v>0</v>
      </c>
      <c r="Q141" s="21">
        <v>0</v>
      </c>
      <c r="R141" s="21">
        <v>0</v>
      </c>
      <c r="S141" s="21">
        <v>0</v>
      </c>
      <c r="T141" s="21">
        <v>0</v>
      </c>
      <c r="U141" s="18">
        <f t="shared" ref="U141:U143" si="293">SUM(V141:AC141)</f>
        <v>0</v>
      </c>
      <c r="V141" s="21">
        <v>0</v>
      </c>
      <c r="W141" s="21"/>
      <c r="X141" s="21"/>
      <c r="Y141" s="21"/>
      <c r="Z141" s="21">
        <v>0</v>
      </c>
      <c r="AA141" s="21">
        <v>0</v>
      </c>
      <c r="AB141" s="21">
        <v>0</v>
      </c>
      <c r="AC141" s="21">
        <v>0</v>
      </c>
      <c r="AD141" s="18">
        <v>0</v>
      </c>
      <c r="AE141" s="18">
        <f>SUM(AF141:AZ141)</f>
        <v>0</v>
      </c>
      <c r="AF141" s="22">
        <v>0</v>
      </c>
      <c r="AG141" s="22">
        <v>0</v>
      </c>
      <c r="AH141" s="21">
        <v>0</v>
      </c>
      <c r="AI141" s="21">
        <v>0</v>
      </c>
      <c r="AJ141" s="21">
        <v>0</v>
      </c>
      <c r="AK141" s="21">
        <v>0</v>
      </c>
      <c r="AL141" s="21">
        <v>0</v>
      </c>
      <c r="AM141" s="21">
        <v>0</v>
      </c>
      <c r="AN141" s="21">
        <v>0</v>
      </c>
      <c r="AO141" s="21">
        <v>0</v>
      </c>
      <c r="AP141" s="21">
        <v>0</v>
      </c>
      <c r="AQ141" s="21">
        <v>0</v>
      </c>
      <c r="AR141" s="21">
        <v>0</v>
      </c>
      <c r="AS141" s="21">
        <v>0</v>
      </c>
      <c r="AT141" s="21">
        <v>0</v>
      </c>
      <c r="AU141" s="21">
        <v>0</v>
      </c>
      <c r="AV141" s="21">
        <v>0</v>
      </c>
      <c r="AW141" s="21">
        <v>0</v>
      </c>
      <c r="AX141" s="21">
        <v>0</v>
      </c>
      <c r="AY141" s="21">
        <v>0</v>
      </c>
      <c r="AZ141" s="21">
        <v>0</v>
      </c>
      <c r="BA141" s="18">
        <f>SUM(BB141+BF141+BJ141+BL141+BO141)</f>
        <v>381210</v>
      </c>
      <c r="BB141" s="18">
        <f>SUM(BC141:BE141)</f>
        <v>0</v>
      </c>
      <c r="BC141" s="18">
        <v>0</v>
      </c>
      <c r="BD141" s="18">
        <v>0</v>
      </c>
      <c r="BE141" s="18">
        <v>0</v>
      </c>
      <c r="BF141" s="18">
        <f t="shared" ref="BF141:BF143" si="294">SUM(BG141:BI141)</f>
        <v>0</v>
      </c>
      <c r="BG141" s="18">
        <v>0</v>
      </c>
      <c r="BH141" s="18">
        <v>0</v>
      </c>
      <c r="BI141" s="18">
        <v>0</v>
      </c>
      <c r="BJ141" s="18">
        <v>0</v>
      </c>
      <c r="BK141" s="18">
        <v>0</v>
      </c>
      <c r="BL141" s="18">
        <f t="shared" si="122"/>
        <v>0</v>
      </c>
      <c r="BM141" s="18">
        <v>0</v>
      </c>
      <c r="BN141" s="18">
        <v>0</v>
      </c>
      <c r="BO141" s="18">
        <f>SUM(BP141:BZ141)</f>
        <v>381210</v>
      </c>
      <c r="BP141" s="18">
        <v>0</v>
      </c>
      <c r="BQ141" s="18">
        <v>0</v>
      </c>
      <c r="BR141" s="21">
        <v>381210</v>
      </c>
      <c r="BS141" s="18">
        <v>0</v>
      </c>
      <c r="BT141" s="18">
        <v>0</v>
      </c>
      <c r="BU141" s="18">
        <v>0</v>
      </c>
      <c r="BV141" s="18">
        <v>0</v>
      </c>
      <c r="BW141" s="18">
        <v>0</v>
      </c>
      <c r="BX141" s="18">
        <v>0</v>
      </c>
      <c r="BY141" s="21">
        <v>0</v>
      </c>
      <c r="BZ141" s="21">
        <v>0</v>
      </c>
      <c r="CA141" s="18">
        <f>SUM(CB141+CN141)</f>
        <v>0</v>
      </c>
      <c r="CB141" s="18">
        <f>SUM(CC141+CF141+CK141)</f>
        <v>0</v>
      </c>
      <c r="CC141" s="18">
        <f t="shared" si="123"/>
        <v>0</v>
      </c>
      <c r="CD141" s="18">
        <v>0</v>
      </c>
      <c r="CE141" s="21">
        <v>0</v>
      </c>
      <c r="CF141" s="18">
        <f>SUM(CG141:CJ141)</f>
        <v>0</v>
      </c>
      <c r="CG141" s="18">
        <v>0</v>
      </c>
      <c r="CH141" s="18">
        <v>0</v>
      </c>
      <c r="CI141" s="18">
        <v>0</v>
      </c>
      <c r="CJ141" s="18">
        <v>0</v>
      </c>
      <c r="CK141" s="18">
        <f>SUM(CL141:CM141)</f>
        <v>0</v>
      </c>
      <c r="CL141" s="18">
        <v>0</v>
      </c>
      <c r="CM141" s="18">
        <v>0</v>
      </c>
      <c r="CN141" s="18">
        <v>0</v>
      </c>
      <c r="CO141" s="65"/>
      <c r="CP141" s="65"/>
      <c r="CQ141" s="65"/>
      <c r="CR141" s="65"/>
      <c r="CS141" s="46"/>
      <c r="GP141" s="68"/>
    </row>
    <row r="142" spans="1:198" s="82" customFormat="1" ht="15.6" x14ac:dyDescent="0.3">
      <c r="A142" s="92" t="s">
        <v>1</v>
      </c>
      <c r="B142" s="62" t="s">
        <v>158</v>
      </c>
      <c r="C142" s="63" t="s">
        <v>196</v>
      </c>
      <c r="D142" s="65">
        <f t="shared" si="286"/>
        <v>154781032</v>
      </c>
      <c r="E142" s="65">
        <f>SUM(F142+BA142)</f>
        <v>154781032</v>
      </c>
      <c r="F142" s="65">
        <f>SUM(G142+H142+I142+P142+S142+T142+U142+AE142+AD142)</f>
        <v>142574230</v>
      </c>
      <c r="G142" s="66">
        <v>111046911</v>
      </c>
      <c r="H142" s="66">
        <v>26166269</v>
      </c>
      <c r="I142" s="65">
        <f t="shared" si="120"/>
        <v>1927731</v>
      </c>
      <c r="J142" s="66">
        <v>3748</v>
      </c>
      <c r="K142" s="66">
        <v>0</v>
      </c>
      <c r="L142" s="66">
        <v>1839983</v>
      </c>
      <c r="M142" s="66">
        <v>0</v>
      </c>
      <c r="N142" s="66">
        <f>150000-75000</f>
        <v>75000</v>
      </c>
      <c r="O142" s="66">
        <f>18000-9000</f>
        <v>9000</v>
      </c>
      <c r="P142" s="65">
        <f t="shared" si="121"/>
        <v>0</v>
      </c>
      <c r="Q142" s="66">
        <v>0</v>
      </c>
      <c r="R142" s="66">
        <v>0</v>
      </c>
      <c r="S142" s="66">
        <v>0</v>
      </c>
      <c r="T142" s="66">
        <v>284192</v>
      </c>
      <c r="U142" s="65">
        <f t="shared" si="293"/>
        <v>2935473</v>
      </c>
      <c r="V142" s="66">
        <v>0</v>
      </c>
      <c r="W142" s="66">
        <f>1503656+138147</f>
        <v>1641803</v>
      </c>
      <c r="X142" s="66">
        <f>359565+510112</f>
        <v>869677</v>
      </c>
      <c r="Y142" s="66">
        <f>198193+87276</f>
        <v>285469</v>
      </c>
      <c r="Z142" s="66">
        <v>138283</v>
      </c>
      <c r="AA142" s="66">
        <v>0</v>
      </c>
      <c r="AB142" s="66">
        <v>0</v>
      </c>
      <c r="AC142" s="66">
        <f>166+75</f>
        <v>241</v>
      </c>
      <c r="AD142" s="65">
        <v>0</v>
      </c>
      <c r="AE142" s="65">
        <f>SUM(AF142:AZ142)</f>
        <v>213654</v>
      </c>
      <c r="AF142" s="67">
        <v>0</v>
      </c>
      <c r="AG142" s="67">
        <v>0</v>
      </c>
      <c r="AH142" s="66">
        <v>0</v>
      </c>
      <c r="AI142" s="66">
        <v>0</v>
      </c>
      <c r="AJ142" s="66">
        <f>146000-146000</f>
        <v>0</v>
      </c>
      <c r="AK142" s="66">
        <v>0</v>
      </c>
      <c r="AL142" s="66">
        <v>0</v>
      </c>
      <c r="AM142" s="66">
        <v>0</v>
      </c>
      <c r="AN142" s="66">
        <f>200000-34532</f>
        <v>165468</v>
      </c>
      <c r="AO142" s="66">
        <v>0</v>
      </c>
      <c r="AP142" s="66">
        <v>0</v>
      </c>
      <c r="AQ142" s="66">
        <v>0</v>
      </c>
      <c r="AR142" s="66">
        <v>0</v>
      </c>
      <c r="AS142" s="66">
        <v>0</v>
      </c>
      <c r="AT142" s="66">
        <v>0</v>
      </c>
      <c r="AU142" s="66">
        <v>0</v>
      </c>
      <c r="AV142" s="66">
        <v>0</v>
      </c>
      <c r="AW142" s="66">
        <v>0</v>
      </c>
      <c r="AX142" s="66">
        <v>0</v>
      </c>
      <c r="AY142" s="66">
        <v>0</v>
      </c>
      <c r="AZ142" s="66">
        <f>96373-48187</f>
        <v>48186</v>
      </c>
      <c r="BA142" s="65">
        <f>SUM(BB142+BF142+BJ142+BL142+BO142)</f>
        <v>12206802</v>
      </c>
      <c r="BB142" s="65">
        <f>SUM(BC142:BE142)</f>
        <v>0</v>
      </c>
      <c r="BC142" s="65">
        <v>0</v>
      </c>
      <c r="BD142" s="65">
        <v>0</v>
      </c>
      <c r="BE142" s="65">
        <v>0</v>
      </c>
      <c r="BF142" s="65">
        <f t="shared" si="294"/>
        <v>0</v>
      </c>
      <c r="BG142" s="65">
        <v>0</v>
      </c>
      <c r="BH142" s="65">
        <v>0</v>
      </c>
      <c r="BI142" s="65">
        <v>0</v>
      </c>
      <c r="BJ142" s="65">
        <v>0</v>
      </c>
      <c r="BK142" s="65">
        <v>0</v>
      </c>
      <c r="BL142" s="65">
        <f t="shared" si="122"/>
        <v>0</v>
      </c>
      <c r="BM142" s="65">
        <v>0</v>
      </c>
      <c r="BN142" s="65">
        <v>0</v>
      </c>
      <c r="BO142" s="65">
        <f>SUM(BP142:BZ142)</f>
        <v>12206802</v>
      </c>
      <c r="BP142" s="65">
        <v>0</v>
      </c>
      <c r="BQ142" s="65">
        <v>0</v>
      </c>
      <c r="BR142" s="66">
        <f>8995858-1879842</f>
        <v>7116016</v>
      </c>
      <c r="BS142" s="65">
        <v>0</v>
      </c>
      <c r="BT142" s="65">
        <v>0</v>
      </c>
      <c r="BU142" s="65">
        <v>0</v>
      </c>
      <c r="BV142" s="65">
        <v>0</v>
      </c>
      <c r="BW142" s="65">
        <v>0</v>
      </c>
      <c r="BX142" s="65">
        <v>0</v>
      </c>
      <c r="BY142" s="66">
        <f>4442241-246095</f>
        <v>4196146</v>
      </c>
      <c r="BZ142" s="66">
        <f>1106295-211655</f>
        <v>894640</v>
      </c>
      <c r="CA142" s="65">
        <f>SUM(CB142+CN142)</f>
        <v>0</v>
      </c>
      <c r="CB142" s="65">
        <f>SUM(CC142+CF142+CK142)</f>
        <v>0</v>
      </c>
      <c r="CC142" s="65">
        <f t="shared" si="123"/>
        <v>0</v>
      </c>
      <c r="CD142" s="65">
        <v>0</v>
      </c>
      <c r="CE142" s="66"/>
      <c r="CF142" s="65">
        <f>SUM(CG142:CJ142)</f>
        <v>0</v>
      </c>
      <c r="CG142" s="65">
        <v>0</v>
      </c>
      <c r="CH142" s="65">
        <v>0</v>
      </c>
      <c r="CI142" s="65">
        <v>0</v>
      </c>
      <c r="CJ142" s="65">
        <v>0</v>
      </c>
      <c r="CK142" s="65">
        <f>SUM(CL142:CM142)</f>
        <v>0</v>
      </c>
      <c r="CL142" s="65">
        <v>0</v>
      </c>
      <c r="CM142" s="65">
        <v>0</v>
      </c>
      <c r="CN142" s="65">
        <v>0</v>
      </c>
      <c r="CO142" s="65"/>
      <c r="CP142" s="65"/>
      <c r="CQ142" s="65"/>
      <c r="CR142" s="65"/>
      <c r="CS142" s="68"/>
      <c r="GP142" s="68"/>
    </row>
    <row r="143" spans="1:198" s="68" customFormat="1" ht="15.6" x14ac:dyDescent="0.3">
      <c r="A143" s="92" t="s">
        <v>1</v>
      </c>
      <c r="B143" s="62" t="s">
        <v>66</v>
      </c>
      <c r="C143" s="63" t="s">
        <v>467</v>
      </c>
      <c r="D143" s="65">
        <f t="shared" si="286"/>
        <v>21238787</v>
      </c>
      <c r="E143" s="65">
        <f>SUM(F143+BA143)</f>
        <v>21203442</v>
      </c>
      <c r="F143" s="65">
        <f>SUM(G143+H143+I143+P143+S143+T143+U143+AE143+AD143)</f>
        <v>20155881</v>
      </c>
      <c r="G143" s="66">
        <v>15658136</v>
      </c>
      <c r="H143" s="66">
        <v>3752360</v>
      </c>
      <c r="I143" s="65">
        <f t="shared" si="120"/>
        <v>268211</v>
      </c>
      <c r="J143" s="66">
        <f>5357-5357</f>
        <v>0</v>
      </c>
      <c r="K143" s="66">
        <f>40400-40400</f>
        <v>0</v>
      </c>
      <c r="L143" s="66">
        <v>227826</v>
      </c>
      <c r="M143" s="66">
        <v>0</v>
      </c>
      <c r="N143" s="66">
        <f>23150-3715</f>
        <v>19435</v>
      </c>
      <c r="O143" s="66">
        <f>41601-20651</f>
        <v>20950</v>
      </c>
      <c r="P143" s="65">
        <f t="shared" si="121"/>
        <v>0</v>
      </c>
      <c r="Q143" s="66">
        <v>0</v>
      </c>
      <c r="R143" s="66">
        <v>0</v>
      </c>
      <c r="S143" s="66">
        <v>0</v>
      </c>
      <c r="T143" s="66">
        <v>41334</v>
      </c>
      <c r="U143" s="65">
        <f t="shared" si="293"/>
        <v>391578</v>
      </c>
      <c r="V143" s="66">
        <v>1215</v>
      </c>
      <c r="W143" s="66">
        <f>178963+112118</f>
        <v>291081</v>
      </c>
      <c r="X143" s="66">
        <f>32285+37888</f>
        <v>70173</v>
      </c>
      <c r="Y143" s="66">
        <f>14900+3492</f>
        <v>18392</v>
      </c>
      <c r="Z143" s="66">
        <f>10567+150</f>
        <v>10717</v>
      </c>
      <c r="AA143" s="66">
        <v>0</v>
      </c>
      <c r="AB143" s="66">
        <v>0</v>
      </c>
      <c r="AC143" s="66">
        <v>0</v>
      </c>
      <c r="AD143" s="65">
        <v>0</v>
      </c>
      <c r="AE143" s="65">
        <f>SUM(AF143:AZ143)</f>
        <v>44262</v>
      </c>
      <c r="AF143" s="67">
        <v>0</v>
      </c>
      <c r="AG143" s="67">
        <v>0</v>
      </c>
      <c r="AH143" s="66">
        <v>0</v>
      </c>
      <c r="AI143" s="66">
        <f>13782-13782</f>
        <v>0</v>
      </c>
      <c r="AJ143" s="66">
        <v>0</v>
      </c>
      <c r="AK143" s="66">
        <f>7416-7416</f>
        <v>0</v>
      </c>
      <c r="AL143" s="66">
        <v>0</v>
      </c>
      <c r="AM143" s="66">
        <f>1200-900</f>
        <v>300</v>
      </c>
      <c r="AN143" s="66">
        <f>10645-5323</f>
        <v>5322</v>
      </c>
      <c r="AO143" s="66">
        <v>0</v>
      </c>
      <c r="AP143" s="66">
        <v>0</v>
      </c>
      <c r="AQ143" s="66">
        <v>0</v>
      </c>
      <c r="AR143" s="66">
        <v>0</v>
      </c>
      <c r="AS143" s="66">
        <v>38640</v>
      </c>
      <c r="AT143" s="66">
        <v>0</v>
      </c>
      <c r="AU143" s="66">
        <v>0</v>
      </c>
      <c r="AV143" s="66">
        <v>0</v>
      </c>
      <c r="AW143" s="66">
        <v>0</v>
      </c>
      <c r="AX143" s="66">
        <v>0</v>
      </c>
      <c r="AY143" s="66">
        <v>0</v>
      </c>
      <c r="AZ143" s="66">
        <v>0</v>
      </c>
      <c r="BA143" s="65">
        <f>SUM(BB143+BF143+BJ143+BL143+BO143)</f>
        <v>1047561</v>
      </c>
      <c r="BB143" s="65">
        <f>SUM(BC143:BE143)</f>
        <v>0</v>
      </c>
      <c r="BC143" s="65">
        <v>0</v>
      </c>
      <c r="BD143" s="65">
        <v>0</v>
      </c>
      <c r="BE143" s="65">
        <v>0</v>
      </c>
      <c r="BF143" s="65">
        <f t="shared" si="294"/>
        <v>0</v>
      </c>
      <c r="BG143" s="65">
        <v>0</v>
      </c>
      <c r="BH143" s="65">
        <v>0</v>
      </c>
      <c r="BI143" s="65">
        <v>0</v>
      </c>
      <c r="BJ143" s="65">
        <v>0</v>
      </c>
      <c r="BK143" s="65">
        <v>0</v>
      </c>
      <c r="BL143" s="65">
        <f t="shared" si="122"/>
        <v>0</v>
      </c>
      <c r="BM143" s="65">
        <v>0</v>
      </c>
      <c r="BN143" s="65">
        <v>0</v>
      </c>
      <c r="BO143" s="65">
        <f>SUM(BP143:BZ143)</f>
        <v>1047561</v>
      </c>
      <c r="BP143" s="65">
        <v>0</v>
      </c>
      <c r="BQ143" s="65">
        <v>0</v>
      </c>
      <c r="BR143" s="66">
        <v>618782</v>
      </c>
      <c r="BS143" s="65">
        <v>0</v>
      </c>
      <c r="BT143" s="65">
        <v>0</v>
      </c>
      <c r="BU143" s="65">
        <v>0</v>
      </c>
      <c r="BV143" s="65">
        <v>0</v>
      </c>
      <c r="BW143" s="65">
        <v>0</v>
      </c>
      <c r="BX143" s="65">
        <v>0</v>
      </c>
      <c r="BY143" s="66">
        <f>451903-23124</f>
        <v>428779</v>
      </c>
      <c r="BZ143" s="66">
        <v>0</v>
      </c>
      <c r="CA143" s="65">
        <f>SUM(CB143+CN143)</f>
        <v>35345</v>
      </c>
      <c r="CB143" s="65">
        <f>SUM(CC143+CF143+CK143)</f>
        <v>35345</v>
      </c>
      <c r="CC143" s="65">
        <f t="shared" si="123"/>
        <v>35345</v>
      </c>
      <c r="CD143" s="65">
        <v>0</v>
      </c>
      <c r="CE143" s="66">
        <f>176723-141378</f>
        <v>35345</v>
      </c>
      <c r="CF143" s="65">
        <f>SUM(CG143:CJ143)</f>
        <v>0</v>
      </c>
      <c r="CG143" s="65">
        <v>0</v>
      </c>
      <c r="CH143" s="65">
        <v>0</v>
      </c>
      <c r="CI143" s="65">
        <v>0</v>
      </c>
      <c r="CJ143" s="65">
        <v>0</v>
      </c>
      <c r="CK143" s="65">
        <f>SUM(CL143:CM143)</f>
        <v>0</v>
      </c>
      <c r="CL143" s="65"/>
      <c r="CM143" s="65">
        <v>0</v>
      </c>
      <c r="CN143" s="65">
        <v>0</v>
      </c>
      <c r="CO143" s="65"/>
      <c r="CP143" s="65"/>
      <c r="CQ143" s="65"/>
      <c r="CR143" s="65"/>
      <c r="GP143" s="44"/>
    </row>
    <row r="144" spans="1:198" s="52" customFormat="1" ht="31.2" x14ac:dyDescent="0.3">
      <c r="A144" s="89" t="s">
        <v>197</v>
      </c>
      <c r="B144" s="15" t="s">
        <v>1</v>
      </c>
      <c r="C144" s="16" t="s">
        <v>198</v>
      </c>
      <c r="D144" s="17">
        <f>SUM(D145)</f>
        <v>5201373</v>
      </c>
      <c r="E144" s="17">
        <f t="shared" ref="E144:BU144" si="295">SUM(E145)</f>
        <v>5201373</v>
      </c>
      <c r="F144" s="17">
        <f t="shared" si="295"/>
        <v>5201373</v>
      </c>
      <c r="G144" s="17">
        <f t="shared" si="295"/>
        <v>4080695</v>
      </c>
      <c r="H144" s="17">
        <f t="shared" si="295"/>
        <v>924351</v>
      </c>
      <c r="I144" s="17">
        <f t="shared" si="295"/>
        <v>42050</v>
      </c>
      <c r="J144" s="17">
        <f t="shared" si="295"/>
        <v>0</v>
      </c>
      <c r="K144" s="17">
        <f t="shared" si="295"/>
        <v>0</v>
      </c>
      <c r="L144" s="17">
        <f t="shared" si="295"/>
        <v>0</v>
      </c>
      <c r="M144" s="17">
        <f t="shared" si="295"/>
        <v>0</v>
      </c>
      <c r="N144" s="17">
        <f t="shared" si="295"/>
        <v>34906</v>
      </c>
      <c r="O144" s="17">
        <f t="shared" si="295"/>
        <v>7144</v>
      </c>
      <c r="P144" s="17">
        <f t="shared" si="295"/>
        <v>0</v>
      </c>
      <c r="Q144" s="17">
        <f t="shared" si="295"/>
        <v>0</v>
      </c>
      <c r="R144" s="17">
        <f t="shared" si="295"/>
        <v>0</v>
      </c>
      <c r="S144" s="17">
        <f t="shared" si="295"/>
        <v>0</v>
      </c>
      <c r="T144" s="17">
        <f t="shared" si="295"/>
        <v>16757</v>
      </c>
      <c r="U144" s="17">
        <f t="shared" si="295"/>
        <v>134812</v>
      </c>
      <c r="V144" s="17">
        <f t="shared" si="295"/>
        <v>1680</v>
      </c>
      <c r="W144" s="17">
        <f t="shared" si="295"/>
        <v>90656</v>
      </c>
      <c r="X144" s="17">
        <f t="shared" si="295"/>
        <v>34557</v>
      </c>
      <c r="Y144" s="17">
        <f t="shared" si="295"/>
        <v>6141</v>
      </c>
      <c r="Z144" s="17">
        <f t="shared" si="295"/>
        <v>1778</v>
      </c>
      <c r="AA144" s="17">
        <f t="shared" si="295"/>
        <v>0</v>
      </c>
      <c r="AB144" s="17">
        <f t="shared" si="295"/>
        <v>0</v>
      </c>
      <c r="AC144" s="17">
        <f t="shared" si="295"/>
        <v>0</v>
      </c>
      <c r="AD144" s="17">
        <f t="shared" si="295"/>
        <v>0</v>
      </c>
      <c r="AE144" s="17">
        <f t="shared" si="295"/>
        <v>2708</v>
      </c>
      <c r="AF144" s="17">
        <f t="shared" si="295"/>
        <v>0</v>
      </c>
      <c r="AG144" s="17">
        <f t="shared" si="295"/>
        <v>0</v>
      </c>
      <c r="AH144" s="17">
        <f t="shared" si="295"/>
        <v>1300</v>
      </c>
      <c r="AI144" s="17">
        <f t="shared" si="295"/>
        <v>0</v>
      </c>
      <c r="AJ144" s="17">
        <f t="shared" si="295"/>
        <v>0</v>
      </c>
      <c r="AK144" s="17">
        <f t="shared" si="295"/>
        <v>0</v>
      </c>
      <c r="AL144" s="17">
        <f t="shared" si="295"/>
        <v>0</v>
      </c>
      <c r="AM144" s="17">
        <f t="shared" si="295"/>
        <v>156</v>
      </c>
      <c r="AN144" s="17">
        <f t="shared" si="295"/>
        <v>1252</v>
      </c>
      <c r="AO144" s="17">
        <f t="shared" si="295"/>
        <v>0</v>
      </c>
      <c r="AP144" s="17">
        <f t="shared" si="295"/>
        <v>0</v>
      </c>
      <c r="AQ144" s="17">
        <f t="shared" si="295"/>
        <v>0</v>
      </c>
      <c r="AR144" s="17">
        <f t="shared" si="295"/>
        <v>0</v>
      </c>
      <c r="AS144" s="17">
        <f t="shared" si="295"/>
        <v>0</v>
      </c>
      <c r="AT144" s="17"/>
      <c r="AU144" s="17"/>
      <c r="AV144" s="17">
        <f t="shared" si="295"/>
        <v>0</v>
      </c>
      <c r="AW144" s="17">
        <f t="shared" si="295"/>
        <v>0</v>
      </c>
      <c r="AX144" s="17">
        <f t="shared" si="295"/>
        <v>0</v>
      </c>
      <c r="AY144" s="17"/>
      <c r="AZ144" s="17">
        <f t="shared" si="295"/>
        <v>0</v>
      </c>
      <c r="BA144" s="17">
        <f t="shared" si="295"/>
        <v>0</v>
      </c>
      <c r="BB144" s="17">
        <f t="shared" si="295"/>
        <v>0</v>
      </c>
      <c r="BC144" s="17">
        <f t="shared" si="295"/>
        <v>0</v>
      </c>
      <c r="BD144" s="17">
        <f t="shared" si="295"/>
        <v>0</v>
      </c>
      <c r="BE144" s="17">
        <f t="shared" si="295"/>
        <v>0</v>
      </c>
      <c r="BF144" s="17">
        <f t="shared" si="295"/>
        <v>0</v>
      </c>
      <c r="BG144" s="17">
        <f t="shared" si="295"/>
        <v>0</v>
      </c>
      <c r="BH144" s="17">
        <f t="shared" si="295"/>
        <v>0</v>
      </c>
      <c r="BI144" s="17">
        <f t="shared" si="295"/>
        <v>0</v>
      </c>
      <c r="BJ144" s="17">
        <f t="shared" si="295"/>
        <v>0</v>
      </c>
      <c r="BK144" s="17">
        <f t="shared" si="295"/>
        <v>0</v>
      </c>
      <c r="BL144" s="17">
        <f t="shared" si="295"/>
        <v>0</v>
      </c>
      <c r="BM144" s="17">
        <f t="shared" si="295"/>
        <v>0</v>
      </c>
      <c r="BN144" s="17">
        <f t="shared" si="295"/>
        <v>0</v>
      </c>
      <c r="BO144" s="17">
        <f t="shared" si="295"/>
        <v>0</v>
      </c>
      <c r="BP144" s="17">
        <f t="shared" si="295"/>
        <v>0</v>
      </c>
      <c r="BQ144" s="17">
        <f t="shared" si="295"/>
        <v>0</v>
      </c>
      <c r="BR144" s="17">
        <f t="shared" si="295"/>
        <v>0</v>
      </c>
      <c r="BS144" s="17">
        <f t="shared" si="295"/>
        <v>0</v>
      </c>
      <c r="BT144" s="17">
        <f t="shared" si="295"/>
        <v>0</v>
      </c>
      <c r="BU144" s="17">
        <f t="shared" si="295"/>
        <v>0</v>
      </c>
      <c r="BV144" s="17">
        <f t="shared" ref="BV144:CN144" si="296">SUM(BV145)</f>
        <v>0</v>
      </c>
      <c r="BW144" s="17">
        <f t="shared" si="296"/>
        <v>0</v>
      </c>
      <c r="BX144" s="17">
        <f t="shared" si="296"/>
        <v>0</v>
      </c>
      <c r="BY144" s="17">
        <f t="shared" si="296"/>
        <v>0</v>
      </c>
      <c r="BZ144" s="17">
        <f t="shared" si="296"/>
        <v>0</v>
      </c>
      <c r="CA144" s="17">
        <f t="shared" si="296"/>
        <v>0</v>
      </c>
      <c r="CB144" s="17">
        <f t="shared" si="296"/>
        <v>0</v>
      </c>
      <c r="CC144" s="17">
        <f t="shared" si="296"/>
        <v>0</v>
      </c>
      <c r="CD144" s="17">
        <f t="shared" si="296"/>
        <v>0</v>
      </c>
      <c r="CE144" s="17">
        <f t="shared" si="296"/>
        <v>0</v>
      </c>
      <c r="CF144" s="17">
        <f t="shared" si="296"/>
        <v>0</v>
      </c>
      <c r="CG144" s="17">
        <f t="shared" si="296"/>
        <v>0</v>
      </c>
      <c r="CH144" s="17">
        <f t="shared" si="296"/>
        <v>0</v>
      </c>
      <c r="CI144" s="17">
        <f t="shared" si="296"/>
        <v>0</v>
      </c>
      <c r="CJ144" s="17">
        <f t="shared" si="296"/>
        <v>0</v>
      </c>
      <c r="CK144" s="17">
        <f t="shared" si="296"/>
        <v>0</v>
      </c>
      <c r="CL144" s="17">
        <f t="shared" si="296"/>
        <v>0</v>
      </c>
      <c r="CM144" s="17">
        <f t="shared" si="296"/>
        <v>0</v>
      </c>
      <c r="CN144" s="17">
        <f t="shared" si="296"/>
        <v>0</v>
      </c>
      <c r="CO144" s="64"/>
      <c r="CP144" s="64"/>
      <c r="CQ144" s="64"/>
      <c r="CR144" s="64"/>
      <c r="CS144" s="51"/>
      <c r="GP144" s="44"/>
    </row>
    <row r="145" spans="1:198" s="68" customFormat="1" ht="31.2" x14ac:dyDescent="0.3">
      <c r="A145" s="92" t="s">
        <v>1</v>
      </c>
      <c r="B145" s="62" t="s">
        <v>56</v>
      </c>
      <c r="C145" s="63" t="s">
        <v>199</v>
      </c>
      <c r="D145" s="65">
        <f>SUM(E145+CA145)</f>
        <v>5201373</v>
      </c>
      <c r="E145" s="65">
        <f>SUM(F145+BA145)</f>
        <v>5201373</v>
      </c>
      <c r="F145" s="65">
        <f>SUM(G145+H145+I145+P145+S145+T145+U145+AE145+AD145)</f>
        <v>5201373</v>
      </c>
      <c r="G145" s="65">
        <v>4080695</v>
      </c>
      <c r="H145" s="65">
        <v>924351</v>
      </c>
      <c r="I145" s="65">
        <f t="shared" si="120"/>
        <v>42050</v>
      </c>
      <c r="J145" s="65">
        <v>0</v>
      </c>
      <c r="K145" s="65">
        <v>0</v>
      </c>
      <c r="L145" s="65">
        <v>0</v>
      </c>
      <c r="M145" s="65">
        <v>0</v>
      </c>
      <c r="N145" s="67">
        <f>37149-2243</f>
        <v>34906</v>
      </c>
      <c r="O145" s="67">
        <f>11014-3870</f>
        <v>7144</v>
      </c>
      <c r="P145" s="65">
        <f t="shared" si="121"/>
        <v>0</v>
      </c>
      <c r="Q145" s="67"/>
      <c r="R145" s="65">
        <v>0</v>
      </c>
      <c r="S145" s="65">
        <v>0</v>
      </c>
      <c r="T145" s="67">
        <v>16757</v>
      </c>
      <c r="U145" s="65">
        <f>SUM(V145:AC145)</f>
        <v>134812</v>
      </c>
      <c r="V145" s="66">
        <v>1680</v>
      </c>
      <c r="W145" s="66">
        <f>50971+39685</f>
        <v>90656</v>
      </c>
      <c r="X145" s="66">
        <f>9819+24738</f>
        <v>34557</v>
      </c>
      <c r="Y145" s="66">
        <f>5214+927</f>
        <v>6141</v>
      </c>
      <c r="Z145" s="66">
        <v>1778</v>
      </c>
      <c r="AA145" s="66">
        <v>0</v>
      </c>
      <c r="AB145" s="66">
        <v>0</v>
      </c>
      <c r="AC145" s="66">
        <v>0</v>
      </c>
      <c r="AD145" s="66">
        <v>0</v>
      </c>
      <c r="AE145" s="65">
        <f>SUM(AF145:AZ145)</f>
        <v>2708</v>
      </c>
      <c r="AF145" s="65">
        <v>0</v>
      </c>
      <c r="AG145" s="65">
        <v>0</v>
      </c>
      <c r="AH145" s="66">
        <v>1300</v>
      </c>
      <c r="AI145" s="66"/>
      <c r="AJ145" s="66">
        <v>0</v>
      </c>
      <c r="AK145" s="66"/>
      <c r="AL145" s="66">
        <v>0</v>
      </c>
      <c r="AM145" s="66">
        <f>312-156</f>
        <v>156</v>
      </c>
      <c r="AN145" s="66">
        <f>2505-1253</f>
        <v>1252</v>
      </c>
      <c r="AO145" s="66">
        <v>0</v>
      </c>
      <c r="AP145" s="66">
        <v>0</v>
      </c>
      <c r="AQ145" s="66">
        <v>0</v>
      </c>
      <c r="AR145" s="66">
        <v>0</v>
      </c>
      <c r="AS145" s="66">
        <v>0</v>
      </c>
      <c r="AT145" s="66">
        <v>0</v>
      </c>
      <c r="AU145" s="66">
        <v>0</v>
      </c>
      <c r="AV145" s="66">
        <v>0</v>
      </c>
      <c r="AW145" s="66">
        <v>0</v>
      </c>
      <c r="AX145" s="66">
        <v>0</v>
      </c>
      <c r="AY145" s="66">
        <v>0</v>
      </c>
      <c r="AZ145" s="66">
        <v>0</v>
      </c>
      <c r="BA145" s="65">
        <f>SUM(BB145+BF145+BJ145+BL145+BO145)</f>
        <v>0</v>
      </c>
      <c r="BB145" s="65">
        <f>SUM(BC145:BE145)</f>
        <v>0</v>
      </c>
      <c r="BC145" s="65">
        <v>0</v>
      </c>
      <c r="BD145" s="65">
        <v>0</v>
      </c>
      <c r="BE145" s="65">
        <v>0</v>
      </c>
      <c r="BF145" s="65">
        <f>SUM(BG145:BI145)</f>
        <v>0</v>
      </c>
      <c r="BG145" s="65">
        <v>0</v>
      </c>
      <c r="BH145" s="65">
        <v>0</v>
      </c>
      <c r="BI145" s="65">
        <v>0</v>
      </c>
      <c r="BJ145" s="65">
        <v>0</v>
      </c>
      <c r="BK145" s="65">
        <v>0</v>
      </c>
      <c r="BL145" s="65">
        <f t="shared" si="122"/>
        <v>0</v>
      </c>
      <c r="BM145" s="65">
        <v>0</v>
      </c>
      <c r="BN145" s="65">
        <v>0</v>
      </c>
      <c r="BO145" s="65">
        <f>SUM(BP145:BZ145)</f>
        <v>0</v>
      </c>
      <c r="BP145" s="65">
        <v>0</v>
      </c>
      <c r="BQ145" s="65">
        <v>0</v>
      </c>
      <c r="BR145" s="65">
        <v>0</v>
      </c>
      <c r="BS145" s="65">
        <v>0</v>
      </c>
      <c r="BT145" s="65">
        <v>0</v>
      </c>
      <c r="BU145" s="65">
        <v>0</v>
      </c>
      <c r="BV145" s="65">
        <v>0</v>
      </c>
      <c r="BW145" s="65">
        <v>0</v>
      </c>
      <c r="BX145" s="65">
        <v>0</v>
      </c>
      <c r="BY145" s="65">
        <v>0</v>
      </c>
      <c r="BZ145" s="65">
        <v>0</v>
      </c>
      <c r="CA145" s="65">
        <f>SUM(CB145+CN145)</f>
        <v>0</v>
      </c>
      <c r="CB145" s="65">
        <f>SUM(CC145+CF145+CK145)</f>
        <v>0</v>
      </c>
      <c r="CC145" s="65">
        <f t="shared" si="123"/>
        <v>0</v>
      </c>
      <c r="CD145" s="65">
        <v>0</v>
      </c>
      <c r="CE145" s="65"/>
      <c r="CF145" s="65">
        <f>SUM(CG145:CJ145)</f>
        <v>0</v>
      </c>
      <c r="CG145" s="65">
        <v>0</v>
      </c>
      <c r="CH145" s="65">
        <v>0</v>
      </c>
      <c r="CI145" s="65">
        <v>0</v>
      </c>
      <c r="CJ145" s="65">
        <v>0</v>
      </c>
      <c r="CK145" s="65">
        <f>SUM(CL145:CM145)</f>
        <v>0</v>
      </c>
      <c r="CL145" s="65">
        <v>0</v>
      </c>
      <c r="CM145" s="65">
        <v>0</v>
      </c>
      <c r="CN145" s="65">
        <v>0</v>
      </c>
      <c r="CO145" s="65"/>
      <c r="CP145" s="65"/>
      <c r="CQ145" s="65"/>
      <c r="CR145" s="65"/>
      <c r="GP145" s="82"/>
    </row>
    <row r="146" spans="1:198" s="52" customFormat="1" ht="31.2" x14ac:dyDescent="0.3">
      <c r="A146" s="89" t="s">
        <v>200</v>
      </c>
      <c r="B146" s="15" t="s">
        <v>1</v>
      </c>
      <c r="C146" s="16" t="s">
        <v>201</v>
      </c>
      <c r="D146" s="17">
        <f t="shared" ref="D146:AK146" si="297">SUM(D147)</f>
        <v>9125578</v>
      </c>
      <c r="E146" s="17">
        <f t="shared" si="297"/>
        <v>8935073</v>
      </c>
      <c r="F146" s="17">
        <f t="shared" si="297"/>
        <v>7787496</v>
      </c>
      <c r="G146" s="17">
        <f t="shared" si="297"/>
        <v>4419714</v>
      </c>
      <c r="H146" s="17">
        <f t="shared" si="297"/>
        <v>1046397</v>
      </c>
      <c r="I146" s="17">
        <f t="shared" si="297"/>
        <v>1647622</v>
      </c>
      <c r="J146" s="17">
        <f t="shared" si="297"/>
        <v>20069</v>
      </c>
      <c r="K146" s="17">
        <f t="shared" si="297"/>
        <v>101482</v>
      </c>
      <c r="L146" s="17">
        <f t="shared" si="297"/>
        <v>1116912</v>
      </c>
      <c r="M146" s="17">
        <f t="shared" si="297"/>
        <v>0</v>
      </c>
      <c r="N146" s="17">
        <f t="shared" si="297"/>
        <v>127399</v>
      </c>
      <c r="O146" s="17">
        <f t="shared" si="297"/>
        <v>281760</v>
      </c>
      <c r="P146" s="17">
        <f t="shared" si="297"/>
        <v>0</v>
      </c>
      <c r="Q146" s="17">
        <f t="shared" si="297"/>
        <v>0</v>
      </c>
      <c r="R146" s="17">
        <f t="shared" si="297"/>
        <v>0</v>
      </c>
      <c r="S146" s="17">
        <f t="shared" si="297"/>
        <v>0</v>
      </c>
      <c r="T146" s="17">
        <f t="shared" si="297"/>
        <v>11553</v>
      </c>
      <c r="U146" s="17">
        <f t="shared" si="297"/>
        <v>419528</v>
      </c>
      <c r="V146" s="17">
        <f t="shared" si="297"/>
        <v>17057</v>
      </c>
      <c r="W146" s="17">
        <f t="shared" si="297"/>
        <v>245529</v>
      </c>
      <c r="X146" s="17">
        <f t="shared" si="297"/>
        <v>99645</v>
      </c>
      <c r="Y146" s="17">
        <f t="shared" si="297"/>
        <v>52186</v>
      </c>
      <c r="Z146" s="17">
        <f t="shared" si="297"/>
        <v>5111</v>
      </c>
      <c r="AA146" s="17">
        <f t="shared" si="297"/>
        <v>0</v>
      </c>
      <c r="AB146" s="17">
        <f t="shared" si="297"/>
        <v>0</v>
      </c>
      <c r="AC146" s="17">
        <f t="shared" si="297"/>
        <v>0</v>
      </c>
      <c r="AD146" s="17">
        <f t="shared" si="297"/>
        <v>0</v>
      </c>
      <c r="AE146" s="17">
        <f t="shared" si="297"/>
        <v>242682</v>
      </c>
      <c r="AF146" s="17">
        <f t="shared" si="297"/>
        <v>0</v>
      </c>
      <c r="AG146" s="17">
        <f t="shared" si="297"/>
        <v>0</v>
      </c>
      <c r="AH146" s="17">
        <f t="shared" si="297"/>
        <v>7800</v>
      </c>
      <c r="AI146" s="17">
        <f t="shared" si="297"/>
        <v>23451</v>
      </c>
      <c r="AJ146" s="17">
        <f t="shared" si="297"/>
        <v>2145</v>
      </c>
      <c r="AK146" s="17">
        <f t="shared" si="297"/>
        <v>2057</v>
      </c>
      <c r="AL146" s="17">
        <f t="shared" ref="AL146:CN146" si="298">SUM(AL147)</f>
        <v>0</v>
      </c>
      <c r="AM146" s="17">
        <f t="shared" si="298"/>
        <v>0</v>
      </c>
      <c r="AN146" s="17">
        <f t="shared" si="298"/>
        <v>1510</v>
      </c>
      <c r="AO146" s="17">
        <f t="shared" si="298"/>
        <v>0</v>
      </c>
      <c r="AP146" s="17">
        <f t="shared" si="298"/>
        <v>0</v>
      </c>
      <c r="AQ146" s="17">
        <f t="shared" si="298"/>
        <v>0</v>
      </c>
      <c r="AR146" s="17">
        <f t="shared" si="298"/>
        <v>165385</v>
      </c>
      <c r="AS146" s="17">
        <f t="shared" si="298"/>
        <v>28464</v>
      </c>
      <c r="AT146" s="17"/>
      <c r="AU146" s="17"/>
      <c r="AV146" s="17">
        <f t="shared" si="298"/>
        <v>0</v>
      </c>
      <c r="AW146" s="17">
        <f t="shared" si="298"/>
        <v>0</v>
      </c>
      <c r="AX146" s="17">
        <f t="shared" si="298"/>
        <v>0</v>
      </c>
      <c r="AY146" s="17"/>
      <c r="AZ146" s="17">
        <f t="shared" si="298"/>
        <v>11870</v>
      </c>
      <c r="BA146" s="17">
        <f t="shared" si="298"/>
        <v>1147577</v>
      </c>
      <c r="BB146" s="17">
        <f t="shared" si="298"/>
        <v>0</v>
      </c>
      <c r="BC146" s="17">
        <f t="shared" si="298"/>
        <v>0</v>
      </c>
      <c r="BD146" s="17">
        <f t="shared" si="298"/>
        <v>0</v>
      </c>
      <c r="BE146" s="17">
        <f t="shared" si="298"/>
        <v>0</v>
      </c>
      <c r="BF146" s="17">
        <f t="shared" si="298"/>
        <v>0</v>
      </c>
      <c r="BG146" s="17">
        <f t="shared" si="298"/>
        <v>0</v>
      </c>
      <c r="BH146" s="17">
        <f t="shared" si="298"/>
        <v>0</v>
      </c>
      <c r="BI146" s="17">
        <f t="shared" si="298"/>
        <v>0</v>
      </c>
      <c r="BJ146" s="17">
        <f t="shared" si="298"/>
        <v>0</v>
      </c>
      <c r="BK146" s="17">
        <f t="shared" si="298"/>
        <v>0</v>
      </c>
      <c r="BL146" s="17">
        <f t="shared" si="298"/>
        <v>0</v>
      </c>
      <c r="BM146" s="17">
        <f t="shared" si="298"/>
        <v>0</v>
      </c>
      <c r="BN146" s="17">
        <f t="shared" si="298"/>
        <v>0</v>
      </c>
      <c r="BO146" s="17">
        <f t="shared" si="298"/>
        <v>1147577</v>
      </c>
      <c r="BP146" s="17">
        <f t="shared" si="298"/>
        <v>0</v>
      </c>
      <c r="BQ146" s="17">
        <f t="shared" si="298"/>
        <v>0</v>
      </c>
      <c r="BR146" s="17">
        <f t="shared" si="298"/>
        <v>0</v>
      </c>
      <c r="BS146" s="17">
        <f t="shared" si="298"/>
        <v>0</v>
      </c>
      <c r="BT146" s="17">
        <f t="shared" si="298"/>
        <v>0</v>
      </c>
      <c r="BU146" s="17">
        <f t="shared" si="298"/>
        <v>0</v>
      </c>
      <c r="BV146" s="17">
        <f t="shared" si="298"/>
        <v>0</v>
      </c>
      <c r="BW146" s="17">
        <f t="shared" si="298"/>
        <v>0</v>
      </c>
      <c r="BX146" s="17">
        <f t="shared" si="298"/>
        <v>0</v>
      </c>
      <c r="BY146" s="17">
        <f t="shared" si="298"/>
        <v>0</v>
      </c>
      <c r="BZ146" s="17">
        <f t="shared" si="298"/>
        <v>1147577</v>
      </c>
      <c r="CA146" s="17">
        <f t="shared" si="298"/>
        <v>190505</v>
      </c>
      <c r="CB146" s="17">
        <f t="shared" si="298"/>
        <v>190505</v>
      </c>
      <c r="CC146" s="17">
        <f t="shared" si="298"/>
        <v>190505</v>
      </c>
      <c r="CD146" s="17">
        <f t="shared" si="298"/>
        <v>0</v>
      </c>
      <c r="CE146" s="17">
        <f t="shared" si="298"/>
        <v>190505</v>
      </c>
      <c r="CF146" s="17">
        <f t="shared" si="298"/>
        <v>0</v>
      </c>
      <c r="CG146" s="17">
        <f t="shared" si="298"/>
        <v>0</v>
      </c>
      <c r="CH146" s="17">
        <f t="shared" si="298"/>
        <v>0</v>
      </c>
      <c r="CI146" s="17">
        <f t="shared" si="298"/>
        <v>0</v>
      </c>
      <c r="CJ146" s="17">
        <f t="shared" si="298"/>
        <v>0</v>
      </c>
      <c r="CK146" s="17">
        <f t="shared" si="298"/>
        <v>0</v>
      </c>
      <c r="CL146" s="17">
        <f t="shared" si="298"/>
        <v>0</v>
      </c>
      <c r="CM146" s="17">
        <f t="shared" si="298"/>
        <v>0</v>
      </c>
      <c r="CN146" s="17">
        <f t="shared" si="298"/>
        <v>0</v>
      </c>
      <c r="CO146" s="64"/>
      <c r="CP146" s="64"/>
      <c r="CQ146" s="64"/>
      <c r="CR146" s="64"/>
      <c r="CS146" s="51"/>
      <c r="GP146" s="68"/>
    </row>
    <row r="147" spans="1:198" s="68" customFormat="1" ht="15.6" x14ac:dyDescent="0.3">
      <c r="A147" s="92" t="s">
        <v>1</v>
      </c>
      <c r="B147" s="62" t="s">
        <v>52</v>
      </c>
      <c r="C147" s="63" t="s">
        <v>202</v>
      </c>
      <c r="D147" s="65">
        <f>SUM(E147+CA147)</f>
        <v>9125578</v>
      </c>
      <c r="E147" s="65">
        <f>SUM(F147+BA147)</f>
        <v>8935073</v>
      </c>
      <c r="F147" s="65">
        <f>SUM(G147+H147+I147+P147+S147+T147+U147+AE147+AD147)</f>
        <v>7787496</v>
      </c>
      <c r="G147" s="66">
        <v>4419714</v>
      </c>
      <c r="H147" s="66">
        <v>1046397</v>
      </c>
      <c r="I147" s="65">
        <f t="shared" si="120"/>
        <v>1647622</v>
      </c>
      <c r="J147" s="66">
        <v>20069</v>
      </c>
      <c r="K147" s="66">
        <f>181482-80000</f>
        <v>101482</v>
      </c>
      <c r="L147" s="66">
        <v>1116912</v>
      </c>
      <c r="M147" s="66">
        <v>0</v>
      </c>
      <c r="N147" s="66">
        <f>156810-29411</f>
        <v>127399</v>
      </c>
      <c r="O147" s="66">
        <v>281760</v>
      </c>
      <c r="P147" s="65">
        <f t="shared" si="121"/>
        <v>0</v>
      </c>
      <c r="Q147" s="65">
        <v>0</v>
      </c>
      <c r="R147" s="65">
        <v>0</v>
      </c>
      <c r="S147" s="65">
        <v>0</v>
      </c>
      <c r="T147" s="66">
        <v>11553</v>
      </c>
      <c r="U147" s="65">
        <f>SUM(V147:AC147)</f>
        <v>419528</v>
      </c>
      <c r="V147" s="66">
        <v>17057</v>
      </c>
      <c r="W147" s="66">
        <f>172493+73036</f>
        <v>245529</v>
      </c>
      <c r="X147" s="66">
        <f>46780+52865</f>
        <v>99645</v>
      </c>
      <c r="Y147" s="66">
        <f>49408+8510-5732</f>
        <v>52186</v>
      </c>
      <c r="Z147" s="66">
        <v>5111</v>
      </c>
      <c r="AA147" s="66">
        <v>0</v>
      </c>
      <c r="AB147" s="66">
        <v>0</v>
      </c>
      <c r="AC147" s="66">
        <v>0</v>
      </c>
      <c r="AD147" s="66">
        <v>0</v>
      </c>
      <c r="AE147" s="65">
        <f>SUM(AF147:AZ147)</f>
        <v>242682</v>
      </c>
      <c r="AF147" s="65">
        <v>0</v>
      </c>
      <c r="AG147" s="65">
        <v>0</v>
      </c>
      <c r="AH147" s="66">
        <v>7800</v>
      </c>
      <c r="AI147" s="66">
        <v>23451</v>
      </c>
      <c r="AJ147" s="66">
        <v>2145</v>
      </c>
      <c r="AK147" s="66">
        <v>2057</v>
      </c>
      <c r="AL147" s="66">
        <v>0</v>
      </c>
      <c r="AM147" s="66">
        <v>0</v>
      </c>
      <c r="AN147" s="66">
        <v>1510</v>
      </c>
      <c r="AO147" s="66">
        <v>0</v>
      </c>
      <c r="AP147" s="66">
        <v>0</v>
      </c>
      <c r="AQ147" s="66">
        <v>0</v>
      </c>
      <c r="AR147" s="66">
        <f>190385-25000</f>
        <v>165385</v>
      </c>
      <c r="AS147" s="66">
        <v>28464</v>
      </c>
      <c r="AT147" s="66">
        <v>0</v>
      </c>
      <c r="AU147" s="66">
        <v>0</v>
      </c>
      <c r="AV147" s="66">
        <v>0</v>
      </c>
      <c r="AW147" s="66">
        <v>0</v>
      </c>
      <c r="AX147" s="66">
        <v>0</v>
      </c>
      <c r="AY147" s="66">
        <v>0</v>
      </c>
      <c r="AZ147" s="66">
        <v>11870</v>
      </c>
      <c r="BA147" s="65">
        <f>SUM(BB147+BF147+BJ147+BL147+BO147)</f>
        <v>1147577</v>
      </c>
      <c r="BB147" s="65">
        <f>SUM(BC147:BE147)</f>
        <v>0</v>
      </c>
      <c r="BC147" s="65">
        <v>0</v>
      </c>
      <c r="BD147" s="65">
        <v>0</v>
      </c>
      <c r="BE147" s="65">
        <v>0</v>
      </c>
      <c r="BF147" s="65">
        <f>SUM(BG147:BI147)</f>
        <v>0</v>
      </c>
      <c r="BG147" s="65">
        <v>0</v>
      </c>
      <c r="BH147" s="65">
        <v>0</v>
      </c>
      <c r="BI147" s="65">
        <v>0</v>
      </c>
      <c r="BJ147" s="65">
        <v>0</v>
      </c>
      <c r="BK147" s="65">
        <v>0</v>
      </c>
      <c r="BL147" s="65">
        <f t="shared" si="122"/>
        <v>0</v>
      </c>
      <c r="BM147" s="65">
        <v>0</v>
      </c>
      <c r="BN147" s="65">
        <v>0</v>
      </c>
      <c r="BO147" s="65">
        <f>SUM(BP147:BZ147)</f>
        <v>1147577</v>
      </c>
      <c r="BP147" s="65">
        <v>0</v>
      </c>
      <c r="BQ147" s="65">
        <v>0</v>
      </c>
      <c r="BR147" s="65">
        <v>0</v>
      </c>
      <c r="BS147" s="65">
        <v>0</v>
      </c>
      <c r="BT147" s="65">
        <v>0</v>
      </c>
      <c r="BU147" s="65"/>
      <c r="BV147" s="65">
        <v>0</v>
      </c>
      <c r="BW147" s="65">
        <v>0</v>
      </c>
      <c r="BX147" s="65">
        <v>0</v>
      </c>
      <c r="BY147" s="65">
        <v>0</v>
      </c>
      <c r="BZ147" s="66">
        <f>1352627-205050</f>
        <v>1147577</v>
      </c>
      <c r="CA147" s="65">
        <f>SUM(CB147+CN147)</f>
        <v>190505</v>
      </c>
      <c r="CB147" s="65">
        <f>SUM(CC147+CF147+CK147)</f>
        <v>190505</v>
      </c>
      <c r="CC147" s="65">
        <f t="shared" si="123"/>
        <v>190505</v>
      </c>
      <c r="CD147" s="65">
        <v>0</v>
      </c>
      <c r="CE147" s="66">
        <v>190505</v>
      </c>
      <c r="CF147" s="65">
        <f>SUM(CG147:CJ147)</f>
        <v>0</v>
      </c>
      <c r="CG147" s="65">
        <v>0</v>
      </c>
      <c r="CH147" s="65">
        <v>0</v>
      </c>
      <c r="CI147" s="65">
        <v>0</v>
      </c>
      <c r="CJ147" s="65">
        <v>0</v>
      </c>
      <c r="CK147" s="65">
        <f>SUM(CL147:CM147)</f>
        <v>0</v>
      </c>
      <c r="CL147" s="65"/>
      <c r="CM147" s="65">
        <v>0</v>
      </c>
      <c r="CN147" s="65">
        <v>0</v>
      </c>
      <c r="CO147" s="65"/>
      <c r="CP147" s="65"/>
      <c r="CQ147" s="65"/>
      <c r="CR147" s="65"/>
      <c r="GP147" s="52"/>
    </row>
    <row r="148" spans="1:198" ht="31.2" x14ac:dyDescent="0.3">
      <c r="A148" s="89" t="s">
        <v>203</v>
      </c>
      <c r="B148" s="15" t="s">
        <v>1</v>
      </c>
      <c r="C148" s="16" t="s">
        <v>204</v>
      </c>
      <c r="D148" s="17">
        <f t="shared" ref="D148:BR148" si="299">SUM(D149:D151)</f>
        <v>2042378</v>
      </c>
      <c r="E148" s="17">
        <f t="shared" si="299"/>
        <v>2042378</v>
      </c>
      <c r="F148" s="17">
        <f t="shared" si="299"/>
        <v>1991938</v>
      </c>
      <c r="G148" s="17">
        <f t="shared" si="299"/>
        <v>1416758</v>
      </c>
      <c r="H148" s="17">
        <f t="shared" si="299"/>
        <v>339665</v>
      </c>
      <c r="I148" s="17">
        <f t="shared" si="299"/>
        <v>10500</v>
      </c>
      <c r="J148" s="17">
        <f t="shared" si="299"/>
        <v>0</v>
      </c>
      <c r="K148" s="17">
        <f t="shared" si="299"/>
        <v>0</v>
      </c>
      <c r="L148" s="17">
        <f t="shared" si="299"/>
        <v>0</v>
      </c>
      <c r="M148" s="17">
        <f t="shared" si="299"/>
        <v>0</v>
      </c>
      <c r="N148" s="17">
        <f t="shared" si="299"/>
        <v>0</v>
      </c>
      <c r="O148" s="17">
        <f t="shared" si="299"/>
        <v>10500</v>
      </c>
      <c r="P148" s="17">
        <f t="shared" si="299"/>
        <v>0</v>
      </c>
      <c r="Q148" s="17">
        <f t="shared" si="299"/>
        <v>0</v>
      </c>
      <c r="R148" s="17">
        <f t="shared" si="299"/>
        <v>0</v>
      </c>
      <c r="S148" s="17">
        <f t="shared" si="299"/>
        <v>0</v>
      </c>
      <c r="T148" s="17">
        <f t="shared" si="299"/>
        <v>8005</v>
      </c>
      <c r="U148" s="17">
        <f t="shared" si="299"/>
        <v>0</v>
      </c>
      <c r="V148" s="17">
        <f t="shared" si="299"/>
        <v>0</v>
      </c>
      <c r="W148" s="17">
        <f t="shared" si="299"/>
        <v>0</v>
      </c>
      <c r="X148" s="17">
        <f t="shared" si="299"/>
        <v>0</v>
      </c>
      <c r="Y148" s="17">
        <f t="shared" si="299"/>
        <v>0</v>
      </c>
      <c r="Z148" s="17">
        <f t="shared" si="299"/>
        <v>0</v>
      </c>
      <c r="AA148" s="17">
        <f t="shared" si="299"/>
        <v>0</v>
      </c>
      <c r="AB148" s="17">
        <f t="shared" si="299"/>
        <v>0</v>
      </c>
      <c r="AC148" s="17">
        <f t="shared" si="299"/>
        <v>0</v>
      </c>
      <c r="AD148" s="17">
        <f t="shared" si="299"/>
        <v>0</v>
      </c>
      <c r="AE148" s="17">
        <f t="shared" si="299"/>
        <v>217010</v>
      </c>
      <c r="AF148" s="17">
        <f t="shared" si="299"/>
        <v>0</v>
      </c>
      <c r="AG148" s="17">
        <f t="shared" si="299"/>
        <v>0</v>
      </c>
      <c r="AH148" s="17">
        <f t="shared" si="299"/>
        <v>0</v>
      </c>
      <c r="AI148" s="17">
        <f t="shared" si="299"/>
        <v>0</v>
      </c>
      <c r="AJ148" s="17">
        <f t="shared" si="299"/>
        <v>0</v>
      </c>
      <c r="AK148" s="17">
        <f t="shared" si="299"/>
        <v>0</v>
      </c>
      <c r="AL148" s="17">
        <f t="shared" si="299"/>
        <v>0</v>
      </c>
      <c r="AM148" s="17">
        <f t="shared" si="299"/>
        <v>0</v>
      </c>
      <c r="AN148" s="17">
        <f t="shared" si="299"/>
        <v>112786</v>
      </c>
      <c r="AO148" s="17">
        <f t="shared" si="299"/>
        <v>0</v>
      </c>
      <c r="AP148" s="17">
        <f t="shared" si="299"/>
        <v>0</v>
      </c>
      <c r="AQ148" s="17">
        <f t="shared" si="299"/>
        <v>0</v>
      </c>
      <c r="AR148" s="17">
        <f t="shared" si="299"/>
        <v>0</v>
      </c>
      <c r="AS148" s="17">
        <f t="shared" si="299"/>
        <v>0</v>
      </c>
      <c r="AT148" s="17"/>
      <c r="AU148" s="17"/>
      <c r="AV148" s="17">
        <f t="shared" si="299"/>
        <v>0</v>
      </c>
      <c r="AW148" s="17">
        <f t="shared" si="299"/>
        <v>0</v>
      </c>
      <c r="AX148" s="17">
        <f t="shared" si="299"/>
        <v>0</v>
      </c>
      <c r="AY148" s="17"/>
      <c r="AZ148" s="17">
        <f t="shared" si="299"/>
        <v>104224</v>
      </c>
      <c r="BA148" s="17">
        <f t="shared" si="299"/>
        <v>50440</v>
      </c>
      <c r="BB148" s="17">
        <f t="shared" si="299"/>
        <v>0</v>
      </c>
      <c r="BC148" s="17">
        <f t="shared" si="299"/>
        <v>0</v>
      </c>
      <c r="BD148" s="17">
        <f t="shared" si="299"/>
        <v>0</v>
      </c>
      <c r="BE148" s="17">
        <f t="shared" si="299"/>
        <v>0</v>
      </c>
      <c r="BF148" s="17">
        <f t="shared" si="299"/>
        <v>0</v>
      </c>
      <c r="BG148" s="17">
        <f t="shared" si="299"/>
        <v>0</v>
      </c>
      <c r="BH148" s="17">
        <f t="shared" ref="BH148" si="300">SUM(BH149:BH151)</f>
        <v>0</v>
      </c>
      <c r="BI148" s="17">
        <f t="shared" si="299"/>
        <v>0</v>
      </c>
      <c r="BJ148" s="17">
        <f t="shared" si="299"/>
        <v>0</v>
      </c>
      <c r="BK148" s="17">
        <f t="shared" ref="BK148" si="301">SUM(BK149:BK151)</f>
        <v>0</v>
      </c>
      <c r="BL148" s="17">
        <f t="shared" si="299"/>
        <v>0</v>
      </c>
      <c r="BM148" s="17">
        <f t="shared" si="299"/>
        <v>0</v>
      </c>
      <c r="BN148" s="17">
        <f t="shared" ref="BN148" si="302">SUM(BN149:BN151)</f>
        <v>0</v>
      </c>
      <c r="BO148" s="17">
        <f t="shared" si="299"/>
        <v>50440</v>
      </c>
      <c r="BP148" s="17">
        <f t="shared" si="299"/>
        <v>0</v>
      </c>
      <c r="BQ148" s="17">
        <f t="shared" si="299"/>
        <v>0</v>
      </c>
      <c r="BR148" s="17">
        <f t="shared" si="299"/>
        <v>50440</v>
      </c>
      <c r="BS148" s="17">
        <f t="shared" ref="BS148:CN148" si="303">SUM(BS149:BS151)</f>
        <v>0</v>
      </c>
      <c r="BT148" s="17">
        <f t="shared" si="303"/>
        <v>0</v>
      </c>
      <c r="BU148" s="17">
        <f t="shared" si="303"/>
        <v>0</v>
      </c>
      <c r="BV148" s="17">
        <f t="shared" si="303"/>
        <v>0</v>
      </c>
      <c r="BW148" s="17">
        <f t="shared" si="303"/>
        <v>0</v>
      </c>
      <c r="BX148" s="17">
        <f t="shared" si="303"/>
        <v>0</v>
      </c>
      <c r="BY148" s="17">
        <f t="shared" si="303"/>
        <v>0</v>
      </c>
      <c r="BZ148" s="17">
        <f t="shared" si="303"/>
        <v>0</v>
      </c>
      <c r="CA148" s="17">
        <f t="shared" si="303"/>
        <v>0</v>
      </c>
      <c r="CB148" s="17">
        <f t="shared" si="303"/>
        <v>0</v>
      </c>
      <c r="CC148" s="17">
        <f t="shared" si="303"/>
        <v>0</v>
      </c>
      <c r="CD148" s="17">
        <f t="shared" si="303"/>
        <v>0</v>
      </c>
      <c r="CE148" s="17">
        <f t="shared" si="303"/>
        <v>0</v>
      </c>
      <c r="CF148" s="17">
        <f t="shared" si="303"/>
        <v>0</v>
      </c>
      <c r="CG148" s="17">
        <f t="shared" ref="CG148:CH148" si="304">SUM(CG149:CG151)</f>
        <v>0</v>
      </c>
      <c r="CH148" s="17">
        <f t="shared" si="304"/>
        <v>0</v>
      </c>
      <c r="CI148" s="17">
        <f t="shared" si="303"/>
        <v>0</v>
      </c>
      <c r="CJ148" s="17">
        <f t="shared" ref="CJ148" si="305">SUM(CJ149:CJ151)</f>
        <v>0</v>
      </c>
      <c r="CK148" s="17">
        <f t="shared" si="303"/>
        <v>0</v>
      </c>
      <c r="CL148" s="17">
        <f t="shared" ref="CL148" si="306">SUM(CL149:CL151)</f>
        <v>0</v>
      </c>
      <c r="CM148" s="17">
        <f t="shared" si="303"/>
        <v>0</v>
      </c>
      <c r="CN148" s="17">
        <f t="shared" si="303"/>
        <v>0</v>
      </c>
      <c r="CO148" s="64"/>
      <c r="CP148" s="64"/>
      <c r="CQ148" s="64"/>
      <c r="CR148" s="64"/>
      <c r="CS148" s="51"/>
      <c r="GP148" s="68"/>
    </row>
    <row r="149" spans="1:198" ht="31.2" x14ac:dyDescent="0.3">
      <c r="A149" s="90" t="s">
        <v>1</v>
      </c>
      <c r="B149" s="19" t="s">
        <v>52</v>
      </c>
      <c r="C149" s="20" t="s">
        <v>205</v>
      </c>
      <c r="D149" s="18">
        <f>SUM(E149+CA149)</f>
        <v>35127</v>
      </c>
      <c r="E149" s="18">
        <f>SUM(F149+BA149)</f>
        <v>35127</v>
      </c>
      <c r="F149" s="18">
        <f>SUM(G149+H149+I149+P149+S149+T149+U149+AE149+AD149)</f>
        <v>35127</v>
      </c>
      <c r="G149" s="21">
        <v>0</v>
      </c>
      <c r="H149" s="21">
        <v>0</v>
      </c>
      <c r="I149" s="18">
        <f t="shared" si="120"/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f t="shared" si="121"/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f t="shared" ref="U149:U151" si="307">SUM(V149:AC149)</f>
        <v>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  <c r="AE149" s="18">
        <f>SUM(AF149:AZ149)</f>
        <v>35127</v>
      </c>
      <c r="AF149" s="18">
        <v>0</v>
      </c>
      <c r="AG149" s="18">
        <v>0</v>
      </c>
      <c r="AH149" s="18">
        <v>0</v>
      </c>
      <c r="AI149" s="18">
        <v>0</v>
      </c>
      <c r="AJ149" s="18">
        <v>0</v>
      </c>
      <c r="AK149" s="18">
        <v>0</v>
      </c>
      <c r="AL149" s="18">
        <v>0</v>
      </c>
      <c r="AM149" s="18">
        <v>0</v>
      </c>
      <c r="AN149" s="21">
        <f>6500-1000</f>
        <v>5500</v>
      </c>
      <c r="AO149" s="18">
        <v>0</v>
      </c>
      <c r="AP149" s="18">
        <v>0</v>
      </c>
      <c r="AQ149" s="18">
        <v>0</v>
      </c>
      <c r="AR149" s="18">
        <v>0</v>
      </c>
      <c r="AS149" s="18">
        <v>0</v>
      </c>
      <c r="AT149" s="18">
        <v>0</v>
      </c>
      <c r="AU149" s="18">
        <v>0</v>
      </c>
      <c r="AV149" s="18">
        <v>0</v>
      </c>
      <c r="AW149" s="18">
        <v>0</v>
      </c>
      <c r="AX149" s="18">
        <v>0</v>
      </c>
      <c r="AY149" s="18">
        <v>0</v>
      </c>
      <c r="AZ149" s="21">
        <f>59255-29628</f>
        <v>29627</v>
      </c>
      <c r="BA149" s="18">
        <f>SUM(BB149+BF149+BJ149+BL149+BO149)</f>
        <v>0</v>
      </c>
      <c r="BB149" s="18">
        <f>SUM(BC149:BE149)</f>
        <v>0</v>
      </c>
      <c r="BC149" s="18">
        <v>0</v>
      </c>
      <c r="BD149" s="18">
        <v>0</v>
      </c>
      <c r="BE149" s="18">
        <v>0</v>
      </c>
      <c r="BF149" s="18">
        <f t="shared" ref="BF149:BF150" si="308">SUM(BG149:BI149)</f>
        <v>0</v>
      </c>
      <c r="BG149" s="18">
        <v>0</v>
      </c>
      <c r="BH149" s="18">
        <v>0</v>
      </c>
      <c r="BI149" s="18">
        <v>0</v>
      </c>
      <c r="BJ149" s="18">
        <v>0</v>
      </c>
      <c r="BK149" s="18">
        <v>0</v>
      </c>
      <c r="BL149" s="18">
        <f t="shared" si="122"/>
        <v>0</v>
      </c>
      <c r="BM149" s="18">
        <v>0</v>
      </c>
      <c r="BN149" s="18">
        <v>0</v>
      </c>
      <c r="BO149" s="18">
        <f>SUM(BP149:BZ149)</f>
        <v>0</v>
      </c>
      <c r="BP149" s="18">
        <v>0</v>
      </c>
      <c r="BQ149" s="18">
        <v>0</v>
      </c>
      <c r="BR149" s="18">
        <v>0</v>
      </c>
      <c r="BS149" s="18">
        <v>0</v>
      </c>
      <c r="BT149" s="18">
        <v>0</v>
      </c>
      <c r="BU149" s="18">
        <v>0</v>
      </c>
      <c r="BV149" s="18">
        <v>0</v>
      </c>
      <c r="BW149" s="18">
        <v>0</v>
      </c>
      <c r="BX149" s="18">
        <v>0</v>
      </c>
      <c r="BY149" s="18">
        <v>0</v>
      </c>
      <c r="BZ149" s="18">
        <v>0</v>
      </c>
      <c r="CA149" s="18">
        <f>SUM(CB149+CN149)</f>
        <v>0</v>
      </c>
      <c r="CB149" s="18">
        <f>SUM(CC149+CF149+CK149)</f>
        <v>0</v>
      </c>
      <c r="CC149" s="18">
        <f t="shared" si="123"/>
        <v>0</v>
      </c>
      <c r="CD149" s="18">
        <v>0</v>
      </c>
      <c r="CE149" s="18">
        <v>0</v>
      </c>
      <c r="CF149" s="18">
        <f>SUM(CG149:CJ149)</f>
        <v>0</v>
      </c>
      <c r="CG149" s="18">
        <v>0</v>
      </c>
      <c r="CH149" s="18">
        <v>0</v>
      </c>
      <c r="CI149" s="18">
        <v>0</v>
      </c>
      <c r="CJ149" s="18">
        <v>0</v>
      </c>
      <c r="CK149" s="18">
        <f>SUM(CL149:CM149)</f>
        <v>0</v>
      </c>
      <c r="CL149" s="18">
        <v>0</v>
      </c>
      <c r="CM149" s="18">
        <v>0</v>
      </c>
      <c r="CN149" s="18">
        <v>0</v>
      </c>
      <c r="CO149" s="65"/>
      <c r="CP149" s="65"/>
      <c r="CQ149" s="65"/>
      <c r="CR149" s="65"/>
      <c r="CS149" s="46"/>
      <c r="GP149" s="52"/>
    </row>
    <row r="150" spans="1:198" s="52" customFormat="1" ht="15.6" x14ac:dyDescent="0.3">
      <c r="A150" s="90" t="s">
        <v>1</v>
      </c>
      <c r="B150" s="19" t="s">
        <v>56</v>
      </c>
      <c r="C150" s="20" t="s">
        <v>206</v>
      </c>
      <c r="D150" s="18">
        <f>SUM(E150+CA150)</f>
        <v>1109703</v>
      </c>
      <c r="E150" s="18">
        <f>SUM(F150+BA150)</f>
        <v>1109703</v>
      </c>
      <c r="F150" s="18">
        <f>SUM(G150+H150+I150+P150+S150+T150+U150+AE150+AD150)</f>
        <v>1109703</v>
      </c>
      <c r="G150" s="21">
        <v>884578</v>
      </c>
      <c r="H150" s="21">
        <v>206620</v>
      </c>
      <c r="I150" s="18">
        <f>SUM(J150:O150)</f>
        <v>10500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f>15156-4656</f>
        <v>10500</v>
      </c>
      <c r="P150" s="18">
        <f>SUM(Q150:R150)</f>
        <v>0</v>
      </c>
      <c r="Q150" s="18"/>
      <c r="R150" s="18">
        <v>0</v>
      </c>
      <c r="S150" s="18">
        <v>0</v>
      </c>
      <c r="T150" s="18">
        <v>8005</v>
      </c>
      <c r="U150" s="18">
        <f t="shared" si="307"/>
        <v>0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  <c r="AE150" s="18">
        <f>SUM(AF150:AZ150)</f>
        <v>0</v>
      </c>
      <c r="AF150" s="18">
        <v>0</v>
      </c>
      <c r="AG150" s="18">
        <v>0</v>
      </c>
      <c r="AH150" s="18">
        <v>0</v>
      </c>
      <c r="AI150" s="18">
        <f>27582-27582</f>
        <v>0</v>
      </c>
      <c r="AJ150" s="18"/>
      <c r="AK150" s="18">
        <v>0</v>
      </c>
      <c r="AL150" s="18">
        <v>0</v>
      </c>
      <c r="AM150" s="18">
        <v>0</v>
      </c>
      <c r="AN150" s="21">
        <v>0</v>
      </c>
      <c r="AO150" s="18">
        <v>0</v>
      </c>
      <c r="AP150" s="18">
        <v>0</v>
      </c>
      <c r="AQ150" s="18">
        <v>0</v>
      </c>
      <c r="AR150" s="18">
        <v>0</v>
      </c>
      <c r="AS150" s="18">
        <v>0</v>
      </c>
      <c r="AT150" s="18">
        <v>0</v>
      </c>
      <c r="AU150" s="18">
        <v>0</v>
      </c>
      <c r="AV150" s="18">
        <v>0</v>
      </c>
      <c r="AW150" s="18">
        <v>0</v>
      </c>
      <c r="AX150" s="18">
        <v>0</v>
      </c>
      <c r="AY150" s="18">
        <v>0</v>
      </c>
      <c r="AZ150" s="21">
        <v>0</v>
      </c>
      <c r="BA150" s="18">
        <f>SUM(BB150+BF150+BJ150+BL150+BO150)</f>
        <v>0</v>
      </c>
      <c r="BB150" s="18">
        <f>SUM(BC150:BE150)</f>
        <v>0</v>
      </c>
      <c r="BC150" s="18">
        <v>0</v>
      </c>
      <c r="BD150" s="18">
        <v>0</v>
      </c>
      <c r="BE150" s="18">
        <v>0</v>
      </c>
      <c r="BF150" s="18">
        <f t="shared" si="308"/>
        <v>0</v>
      </c>
      <c r="BG150" s="18">
        <v>0</v>
      </c>
      <c r="BH150" s="18">
        <v>0</v>
      </c>
      <c r="BI150" s="18">
        <v>0</v>
      </c>
      <c r="BJ150" s="18">
        <v>0</v>
      </c>
      <c r="BK150" s="18">
        <v>0</v>
      </c>
      <c r="BL150" s="18">
        <f>SUM(BM150)</f>
        <v>0</v>
      </c>
      <c r="BM150" s="18">
        <v>0</v>
      </c>
      <c r="BN150" s="18">
        <v>0</v>
      </c>
      <c r="BO150" s="18">
        <f>SUM(BP150:BZ150)</f>
        <v>0</v>
      </c>
      <c r="BP150" s="18">
        <v>0</v>
      </c>
      <c r="BQ150" s="18">
        <v>0</v>
      </c>
      <c r="BR150" s="18">
        <v>0</v>
      </c>
      <c r="BS150" s="18">
        <v>0</v>
      </c>
      <c r="BT150" s="18">
        <v>0</v>
      </c>
      <c r="BU150" s="18">
        <v>0</v>
      </c>
      <c r="BV150" s="18">
        <v>0</v>
      </c>
      <c r="BW150" s="18">
        <v>0</v>
      </c>
      <c r="BX150" s="18">
        <v>0</v>
      </c>
      <c r="BY150" s="18">
        <v>0</v>
      </c>
      <c r="BZ150" s="18">
        <v>0</v>
      </c>
      <c r="CA150" s="18">
        <f>SUM(CB150+CN150)</f>
        <v>0</v>
      </c>
      <c r="CB150" s="18">
        <f>SUM(CC150+CF150+CK150)</f>
        <v>0</v>
      </c>
      <c r="CC150" s="18">
        <f>SUM(CD150:CE150)</f>
        <v>0</v>
      </c>
      <c r="CD150" s="18">
        <v>0</v>
      </c>
      <c r="CE150" s="18"/>
      <c r="CF150" s="18">
        <f>SUM(CG150:CJ150)</f>
        <v>0</v>
      </c>
      <c r="CG150" s="18">
        <v>0</v>
      </c>
      <c r="CH150" s="18">
        <v>0</v>
      </c>
      <c r="CI150" s="18">
        <v>0</v>
      </c>
      <c r="CJ150" s="18">
        <v>0</v>
      </c>
      <c r="CK150" s="18">
        <f>SUM(CL150:CM150)</f>
        <v>0</v>
      </c>
      <c r="CL150" s="18">
        <v>0</v>
      </c>
      <c r="CM150" s="18">
        <v>0</v>
      </c>
      <c r="CN150" s="18">
        <v>0</v>
      </c>
      <c r="CO150" s="65"/>
      <c r="CP150" s="65"/>
      <c r="CQ150" s="65"/>
      <c r="CR150" s="65"/>
      <c r="CS150" s="46"/>
      <c r="GP150" s="68"/>
    </row>
    <row r="151" spans="1:198" s="52" customFormat="1" ht="15.6" x14ac:dyDescent="0.3">
      <c r="A151" s="90" t="s">
        <v>1</v>
      </c>
      <c r="B151" s="19" t="s">
        <v>56</v>
      </c>
      <c r="C151" s="20" t="s">
        <v>207</v>
      </c>
      <c r="D151" s="18">
        <f>SUM(E151+CA151)</f>
        <v>897548</v>
      </c>
      <c r="E151" s="18">
        <f>SUM(F151+BA151)</f>
        <v>897548</v>
      </c>
      <c r="F151" s="18">
        <f>SUM(G151+H151+I151+P151+S151+T151+U151+AE151+AD151)</f>
        <v>847108</v>
      </c>
      <c r="G151" s="21">
        <v>532180</v>
      </c>
      <c r="H151" s="21">
        <v>133045</v>
      </c>
      <c r="I151" s="18">
        <f t="shared" si="120"/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f t="shared" si="121"/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f t="shared" si="307"/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  <c r="AE151" s="18">
        <f>SUM(AF151:AZ151)</f>
        <v>181883</v>
      </c>
      <c r="AF151" s="18">
        <v>0</v>
      </c>
      <c r="AG151" s="18">
        <v>0</v>
      </c>
      <c r="AH151" s="18">
        <v>0</v>
      </c>
      <c r="AI151" s="18">
        <v>0</v>
      </c>
      <c r="AJ151" s="18">
        <v>0</v>
      </c>
      <c r="AK151" s="18">
        <v>0</v>
      </c>
      <c r="AL151" s="18">
        <v>0</v>
      </c>
      <c r="AM151" s="18">
        <v>0</v>
      </c>
      <c r="AN151" s="21">
        <f>110998-3712</f>
        <v>107286</v>
      </c>
      <c r="AO151" s="18">
        <v>0</v>
      </c>
      <c r="AP151" s="18">
        <v>0</v>
      </c>
      <c r="AQ151" s="18">
        <v>0</v>
      </c>
      <c r="AR151" s="18">
        <v>0</v>
      </c>
      <c r="AS151" s="18">
        <v>0</v>
      </c>
      <c r="AT151" s="18">
        <v>0</v>
      </c>
      <c r="AU151" s="18">
        <v>0</v>
      </c>
      <c r="AV151" s="18">
        <v>0</v>
      </c>
      <c r="AW151" s="18">
        <v>0</v>
      </c>
      <c r="AX151" s="18">
        <v>0</v>
      </c>
      <c r="AY151" s="18">
        <v>0</v>
      </c>
      <c r="AZ151" s="21">
        <f>149194-74597</f>
        <v>74597</v>
      </c>
      <c r="BA151" s="18">
        <f>SUM(BB151+BF151+BJ151+BL151+BO151)</f>
        <v>50440</v>
      </c>
      <c r="BB151" s="18">
        <f>SUM(BC151:BE151)</f>
        <v>0</v>
      </c>
      <c r="BC151" s="18">
        <v>0</v>
      </c>
      <c r="BD151" s="18">
        <v>0</v>
      </c>
      <c r="BE151" s="18">
        <v>0</v>
      </c>
      <c r="BF151" s="18">
        <f>SUM(BI151:BI151)</f>
        <v>0</v>
      </c>
      <c r="BG151" s="18">
        <v>0</v>
      </c>
      <c r="BH151" s="18">
        <v>0</v>
      </c>
      <c r="BI151" s="18">
        <v>0</v>
      </c>
      <c r="BJ151" s="18">
        <v>0</v>
      </c>
      <c r="BK151" s="18">
        <v>0</v>
      </c>
      <c r="BL151" s="18">
        <f t="shared" si="122"/>
        <v>0</v>
      </c>
      <c r="BM151" s="18">
        <v>0</v>
      </c>
      <c r="BN151" s="18">
        <v>0</v>
      </c>
      <c r="BO151" s="18">
        <f>SUM(BP151:BZ151)</f>
        <v>50440</v>
      </c>
      <c r="BP151" s="18">
        <v>0</v>
      </c>
      <c r="BQ151" s="18">
        <v>0</v>
      </c>
      <c r="BR151" s="18">
        <v>50440</v>
      </c>
      <c r="BS151" s="18">
        <v>0</v>
      </c>
      <c r="BT151" s="18">
        <v>0</v>
      </c>
      <c r="BU151" s="18">
        <v>0</v>
      </c>
      <c r="BV151" s="18">
        <v>0</v>
      </c>
      <c r="BW151" s="18">
        <v>0</v>
      </c>
      <c r="BX151" s="18">
        <v>0</v>
      </c>
      <c r="BY151" s="18">
        <v>0</v>
      </c>
      <c r="BZ151" s="18">
        <v>0</v>
      </c>
      <c r="CA151" s="18">
        <f>SUM(CB151+CN151)</f>
        <v>0</v>
      </c>
      <c r="CB151" s="18">
        <f>SUM(CC151+CF151+CK151)</f>
        <v>0</v>
      </c>
      <c r="CC151" s="18">
        <f t="shared" si="123"/>
        <v>0</v>
      </c>
      <c r="CD151" s="18">
        <v>0</v>
      </c>
      <c r="CE151" s="18">
        <v>0</v>
      </c>
      <c r="CF151" s="18">
        <f>SUM(CG151:CJ151)</f>
        <v>0</v>
      </c>
      <c r="CG151" s="18">
        <v>0</v>
      </c>
      <c r="CH151" s="18">
        <v>0</v>
      </c>
      <c r="CI151" s="18">
        <v>0</v>
      </c>
      <c r="CJ151" s="18">
        <v>0</v>
      </c>
      <c r="CK151" s="18">
        <f>SUM(CL151:CM151)</f>
        <v>0</v>
      </c>
      <c r="CL151" s="18">
        <v>0</v>
      </c>
      <c r="CM151" s="18">
        <v>0</v>
      </c>
      <c r="CN151" s="18">
        <v>0</v>
      </c>
      <c r="CO151" s="65"/>
      <c r="CP151" s="65"/>
      <c r="CQ151" s="65"/>
      <c r="CR151" s="65"/>
      <c r="CS151" s="46"/>
      <c r="GP151" s="44"/>
    </row>
    <row r="152" spans="1:198" ht="31.2" x14ac:dyDescent="0.3">
      <c r="A152" s="91" t="s">
        <v>208</v>
      </c>
      <c r="B152" s="23" t="s">
        <v>1</v>
      </c>
      <c r="C152" s="24" t="s">
        <v>209</v>
      </c>
      <c r="D152" s="25">
        <f t="shared" ref="D152:AS152" si="309">SUM(D153+D157+D160)</f>
        <v>30348701</v>
      </c>
      <c r="E152" s="25">
        <f t="shared" si="309"/>
        <v>30252326</v>
      </c>
      <c r="F152" s="25">
        <f t="shared" si="309"/>
        <v>29800500</v>
      </c>
      <c r="G152" s="25">
        <f t="shared" si="309"/>
        <v>21811552</v>
      </c>
      <c r="H152" s="25">
        <f t="shared" si="309"/>
        <v>5112331</v>
      </c>
      <c r="I152" s="25">
        <f t="shared" si="309"/>
        <v>679801</v>
      </c>
      <c r="J152" s="25">
        <f t="shared" si="309"/>
        <v>17702</v>
      </c>
      <c r="K152" s="25">
        <f t="shared" si="309"/>
        <v>0</v>
      </c>
      <c r="L152" s="25">
        <f t="shared" si="309"/>
        <v>0</v>
      </c>
      <c r="M152" s="25">
        <f t="shared" si="309"/>
        <v>0</v>
      </c>
      <c r="N152" s="25">
        <f t="shared" si="309"/>
        <v>492687</v>
      </c>
      <c r="O152" s="25">
        <f t="shared" si="309"/>
        <v>169412</v>
      </c>
      <c r="P152" s="25">
        <f t="shared" si="309"/>
        <v>0</v>
      </c>
      <c r="Q152" s="25">
        <f t="shared" si="309"/>
        <v>0</v>
      </c>
      <c r="R152" s="25">
        <f t="shared" si="309"/>
        <v>0</v>
      </c>
      <c r="S152" s="25">
        <f t="shared" si="309"/>
        <v>0</v>
      </c>
      <c r="T152" s="25">
        <f t="shared" si="309"/>
        <v>68439</v>
      </c>
      <c r="U152" s="25">
        <f t="shared" si="309"/>
        <v>1111126</v>
      </c>
      <c r="V152" s="25">
        <f t="shared" si="309"/>
        <v>13238</v>
      </c>
      <c r="W152" s="25">
        <f t="shared" si="309"/>
        <v>656277</v>
      </c>
      <c r="X152" s="25">
        <f t="shared" si="309"/>
        <v>353825</v>
      </c>
      <c r="Y152" s="25">
        <f t="shared" si="309"/>
        <v>63347</v>
      </c>
      <c r="Z152" s="25">
        <f t="shared" si="309"/>
        <v>4512</v>
      </c>
      <c r="AA152" s="25">
        <f t="shared" si="309"/>
        <v>0</v>
      </c>
      <c r="AB152" s="25">
        <f t="shared" si="309"/>
        <v>0</v>
      </c>
      <c r="AC152" s="25">
        <f t="shared" si="309"/>
        <v>19927</v>
      </c>
      <c r="AD152" s="25">
        <f t="shared" si="309"/>
        <v>0</v>
      </c>
      <c r="AE152" s="25">
        <f t="shared" si="309"/>
        <v>1017251</v>
      </c>
      <c r="AF152" s="25">
        <f t="shared" si="309"/>
        <v>0</v>
      </c>
      <c r="AG152" s="25">
        <f t="shared" si="309"/>
        <v>0</v>
      </c>
      <c r="AH152" s="25">
        <f t="shared" si="309"/>
        <v>6598</v>
      </c>
      <c r="AI152" s="25">
        <f t="shared" si="309"/>
        <v>0</v>
      </c>
      <c r="AJ152" s="25">
        <f t="shared" si="309"/>
        <v>0</v>
      </c>
      <c r="AK152" s="25">
        <f t="shared" si="309"/>
        <v>0</v>
      </c>
      <c r="AL152" s="25">
        <f t="shared" si="309"/>
        <v>0</v>
      </c>
      <c r="AM152" s="25">
        <f t="shared" si="309"/>
        <v>215</v>
      </c>
      <c r="AN152" s="25">
        <f t="shared" si="309"/>
        <v>1207</v>
      </c>
      <c r="AO152" s="25">
        <f t="shared" si="309"/>
        <v>0</v>
      </c>
      <c r="AP152" s="25">
        <f t="shared" si="309"/>
        <v>0</v>
      </c>
      <c r="AQ152" s="25">
        <f t="shared" si="309"/>
        <v>0</v>
      </c>
      <c r="AR152" s="25">
        <f t="shared" si="309"/>
        <v>257128</v>
      </c>
      <c r="AS152" s="25">
        <f t="shared" si="309"/>
        <v>24000</v>
      </c>
      <c r="AT152" s="25"/>
      <c r="AU152" s="25"/>
      <c r="AV152" s="25">
        <f>SUM(AV153+AV157+AV160)</f>
        <v>0</v>
      </c>
      <c r="AW152" s="25">
        <f>SUM(AW153+AW157+AW160)</f>
        <v>0</v>
      </c>
      <c r="AX152" s="25">
        <f>SUM(AX153+AX157+AX160)</f>
        <v>13068</v>
      </c>
      <c r="AY152" s="25"/>
      <c r="AZ152" s="25">
        <f t="shared" ref="AZ152:CM152" si="310">SUM(AZ153+AZ157+AZ160)</f>
        <v>715035</v>
      </c>
      <c r="BA152" s="25">
        <f t="shared" si="310"/>
        <v>451826</v>
      </c>
      <c r="BB152" s="25">
        <f t="shared" si="310"/>
        <v>0</v>
      </c>
      <c r="BC152" s="25">
        <f t="shared" si="310"/>
        <v>0</v>
      </c>
      <c r="BD152" s="25">
        <f t="shared" si="310"/>
        <v>0</v>
      </c>
      <c r="BE152" s="25">
        <f t="shared" si="310"/>
        <v>0</v>
      </c>
      <c r="BF152" s="25">
        <f t="shared" si="310"/>
        <v>0</v>
      </c>
      <c r="BG152" s="25">
        <f t="shared" si="310"/>
        <v>0</v>
      </c>
      <c r="BH152" s="25">
        <f t="shared" si="310"/>
        <v>0</v>
      </c>
      <c r="BI152" s="25">
        <f t="shared" si="310"/>
        <v>0</v>
      </c>
      <c r="BJ152" s="25">
        <f t="shared" si="310"/>
        <v>0</v>
      </c>
      <c r="BK152" s="25">
        <f t="shared" si="310"/>
        <v>0</v>
      </c>
      <c r="BL152" s="25">
        <f t="shared" si="310"/>
        <v>0</v>
      </c>
      <c r="BM152" s="25">
        <f t="shared" si="310"/>
        <v>0</v>
      </c>
      <c r="BN152" s="25">
        <f t="shared" si="310"/>
        <v>0</v>
      </c>
      <c r="BO152" s="25">
        <f t="shared" si="310"/>
        <v>451826</v>
      </c>
      <c r="BP152" s="25">
        <f t="shared" si="310"/>
        <v>0</v>
      </c>
      <c r="BQ152" s="25">
        <f t="shared" si="310"/>
        <v>0</v>
      </c>
      <c r="BR152" s="25">
        <f t="shared" si="310"/>
        <v>451826</v>
      </c>
      <c r="BS152" s="25">
        <f t="shared" si="310"/>
        <v>0</v>
      </c>
      <c r="BT152" s="25">
        <f t="shared" si="310"/>
        <v>0</v>
      </c>
      <c r="BU152" s="25">
        <f t="shared" si="310"/>
        <v>0</v>
      </c>
      <c r="BV152" s="25">
        <f t="shared" si="310"/>
        <v>0</v>
      </c>
      <c r="BW152" s="25">
        <f t="shared" si="310"/>
        <v>0</v>
      </c>
      <c r="BX152" s="25">
        <f t="shared" si="310"/>
        <v>0</v>
      </c>
      <c r="BY152" s="25">
        <f t="shared" si="310"/>
        <v>0</v>
      </c>
      <c r="BZ152" s="25">
        <f t="shared" si="310"/>
        <v>0</v>
      </c>
      <c r="CA152" s="25">
        <f t="shared" si="310"/>
        <v>96375</v>
      </c>
      <c r="CB152" s="25">
        <f t="shared" si="310"/>
        <v>96375</v>
      </c>
      <c r="CC152" s="25">
        <f t="shared" si="310"/>
        <v>96375</v>
      </c>
      <c r="CD152" s="25">
        <f t="shared" si="310"/>
        <v>0</v>
      </c>
      <c r="CE152" s="25">
        <f t="shared" si="310"/>
        <v>96375</v>
      </c>
      <c r="CF152" s="25">
        <f t="shared" si="310"/>
        <v>0</v>
      </c>
      <c r="CG152" s="25">
        <f t="shared" si="310"/>
        <v>0</v>
      </c>
      <c r="CH152" s="25">
        <f t="shared" si="310"/>
        <v>0</v>
      </c>
      <c r="CI152" s="25">
        <f t="shared" si="310"/>
        <v>0</v>
      </c>
      <c r="CJ152" s="25">
        <f t="shared" si="310"/>
        <v>0</v>
      </c>
      <c r="CK152" s="25">
        <f t="shared" si="310"/>
        <v>0</v>
      </c>
      <c r="CL152" s="25">
        <f t="shared" si="310"/>
        <v>0</v>
      </c>
      <c r="CM152" s="25">
        <f t="shared" si="310"/>
        <v>0</v>
      </c>
      <c r="CN152" s="25">
        <f t="shared" ref="CN152:CQ152" si="311">SUM(CN153+CN157+CN160)</f>
        <v>0</v>
      </c>
      <c r="CO152" s="25">
        <f t="shared" si="311"/>
        <v>0</v>
      </c>
      <c r="CP152" s="25">
        <f t="shared" si="311"/>
        <v>0</v>
      </c>
      <c r="CQ152" s="25">
        <f t="shared" si="311"/>
        <v>0</v>
      </c>
      <c r="CR152" s="25">
        <f t="shared" ref="CR152" si="312">SUM(CR153+CR157+CR160)</f>
        <v>0</v>
      </c>
      <c r="CS152" s="51"/>
    </row>
    <row r="153" spans="1:198" ht="31.2" x14ac:dyDescent="0.3">
      <c r="A153" s="89" t="s">
        <v>210</v>
      </c>
      <c r="B153" s="15" t="s">
        <v>1</v>
      </c>
      <c r="C153" s="16" t="s">
        <v>211</v>
      </c>
      <c r="D153" s="17">
        <f t="shared" ref="D153:AS153" si="313">SUM(D154:D156)</f>
        <v>17160715</v>
      </c>
      <c r="E153" s="17">
        <f t="shared" si="313"/>
        <v>17160715</v>
      </c>
      <c r="F153" s="17">
        <f t="shared" si="313"/>
        <v>17160715</v>
      </c>
      <c r="G153" s="17">
        <f t="shared" si="313"/>
        <v>13124783</v>
      </c>
      <c r="H153" s="17">
        <f t="shared" si="313"/>
        <v>3088788</v>
      </c>
      <c r="I153" s="17">
        <f t="shared" si="313"/>
        <v>45245</v>
      </c>
      <c r="J153" s="17">
        <f t="shared" si="313"/>
        <v>0</v>
      </c>
      <c r="K153" s="17">
        <f t="shared" si="313"/>
        <v>0</v>
      </c>
      <c r="L153" s="17">
        <f t="shared" si="313"/>
        <v>0</v>
      </c>
      <c r="M153" s="17">
        <f t="shared" si="313"/>
        <v>0</v>
      </c>
      <c r="N153" s="17">
        <f t="shared" si="313"/>
        <v>25000</v>
      </c>
      <c r="O153" s="17">
        <f t="shared" si="313"/>
        <v>20245</v>
      </c>
      <c r="P153" s="17">
        <f t="shared" si="313"/>
        <v>0</v>
      </c>
      <c r="Q153" s="17">
        <f t="shared" si="313"/>
        <v>0</v>
      </c>
      <c r="R153" s="17">
        <f t="shared" si="313"/>
        <v>0</v>
      </c>
      <c r="S153" s="17">
        <f t="shared" si="313"/>
        <v>0</v>
      </c>
      <c r="T153" s="17">
        <f t="shared" si="313"/>
        <v>33910</v>
      </c>
      <c r="U153" s="17">
        <f t="shared" si="313"/>
        <v>645599</v>
      </c>
      <c r="V153" s="17">
        <f t="shared" si="313"/>
        <v>8238</v>
      </c>
      <c r="W153" s="17">
        <f t="shared" si="313"/>
        <v>381304</v>
      </c>
      <c r="X153" s="17">
        <f t="shared" si="313"/>
        <v>201002</v>
      </c>
      <c r="Y153" s="17">
        <f t="shared" si="313"/>
        <v>30616</v>
      </c>
      <c r="Z153" s="17">
        <f t="shared" si="313"/>
        <v>4512</v>
      </c>
      <c r="AA153" s="17">
        <f t="shared" si="313"/>
        <v>0</v>
      </c>
      <c r="AB153" s="17">
        <f t="shared" si="313"/>
        <v>0</v>
      </c>
      <c r="AC153" s="17">
        <f t="shared" si="313"/>
        <v>19927</v>
      </c>
      <c r="AD153" s="17">
        <f t="shared" si="313"/>
        <v>0</v>
      </c>
      <c r="AE153" s="17">
        <f t="shared" si="313"/>
        <v>222390</v>
      </c>
      <c r="AF153" s="17">
        <f t="shared" si="313"/>
        <v>0</v>
      </c>
      <c r="AG153" s="17">
        <f t="shared" si="313"/>
        <v>0</v>
      </c>
      <c r="AH153" s="17">
        <f t="shared" si="313"/>
        <v>6598</v>
      </c>
      <c r="AI153" s="17">
        <f t="shared" si="313"/>
        <v>0</v>
      </c>
      <c r="AJ153" s="17">
        <f t="shared" si="313"/>
        <v>0</v>
      </c>
      <c r="AK153" s="17">
        <f t="shared" si="313"/>
        <v>0</v>
      </c>
      <c r="AL153" s="17">
        <f t="shared" si="313"/>
        <v>0</v>
      </c>
      <c r="AM153" s="17">
        <f t="shared" si="313"/>
        <v>0</v>
      </c>
      <c r="AN153" s="17">
        <f t="shared" si="313"/>
        <v>0</v>
      </c>
      <c r="AO153" s="17">
        <f t="shared" si="313"/>
        <v>0</v>
      </c>
      <c r="AP153" s="17">
        <f t="shared" si="313"/>
        <v>0</v>
      </c>
      <c r="AQ153" s="17">
        <f t="shared" si="313"/>
        <v>0</v>
      </c>
      <c r="AR153" s="17">
        <f t="shared" si="313"/>
        <v>202724</v>
      </c>
      <c r="AS153" s="17">
        <f t="shared" si="313"/>
        <v>0</v>
      </c>
      <c r="AT153" s="17"/>
      <c r="AU153" s="17"/>
      <c r="AV153" s="17">
        <f>SUM(AV154:AV156)</f>
        <v>0</v>
      </c>
      <c r="AW153" s="17">
        <f>SUM(AW154:AW156)</f>
        <v>0</v>
      </c>
      <c r="AX153" s="17">
        <f>SUM(AX154:AX156)</f>
        <v>13068</v>
      </c>
      <c r="AY153" s="17"/>
      <c r="AZ153" s="17">
        <f t="shared" ref="AZ153:CM153" si="314">SUM(AZ154:AZ156)</f>
        <v>0</v>
      </c>
      <c r="BA153" s="17">
        <f t="shared" si="314"/>
        <v>0</v>
      </c>
      <c r="BB153" s="17">
        <f t="shared" si="314"/>
        <v>0</v>
      </c>
      <c r="BC153" s="17">
        <f t="shared" si="314"/>
        <v>0</v>
      </c>
      <c r="BD153" s="17">
        <f t="shared" si="314"/>
        <v>0</v>
      </c>
      <c r="BE153" s="17">
        <f t="shared" si="314"/>
        <v>0</v>
      </c>
      <c r="BF153" s="17">
        <f t="shared" si="314"/>
        <v>0</v>
      </c>
      <c r="BG153" s="17">
        <f t="shared" si="314"/>
        <v>0</v>
      </c>
      <c r="BH153" s="17">
        <f t="shared" si="314"/>
        <v>0</v>
      </c>
      <c r="BI153" s="17">
        <f t="shared" si="314"/>
        <v>0</v>
      </c>
      <c r="BJ153" s="17">
        <f t="shared" si="314"/>
        <v>0</v>
      </c>
      <c r="BK153" s="17">
        <f t="shared" si="314"/>
        <v>0</v>
      </c>
      <c r="BL153" s="17">
        <f t="shared" si="314"/>
        <v>0</v>
      </c>
      <c r="BM153" s="17">
        <f t="shared" si="314"/>
        <v>0</v>
      </c>
      <c r="BN153" s="17">
        <f t="shared" si="314"/>
        <v>0</v>
      </c>
      <c r="BO153" s="17">
        <f t="shared" si="314"/>
        <v>0</v>
      </c>
      <c r="BP153" s="17">
        <f t="shared" si="314"/>
        <v>0</v>
      </c>
      <c r="BQ153" s="17">
        <f t="shared" si="314"/>
        <v>0</v>
      </c>
      <c r="BR153" s="17">
        <f t="shared" si="314"/>
        <v>0</v>
      </c>
      <c r="BS153" s="17">
        <f t="shared" si="314"/>
        <v>0</v>
      </c>
      <c r="BT153" s="17">
        <f t="shared" si="314"/>
        <v>0</v>
      </c>
      <c r="BU153" s="17">
        <f t="shared" si="314"/>
        <v>0</v>
      </c>
      <c r="BV153" s="17">
        <f t="shared" si="314"/>
        <v>0</v>
      </c>
      <c r="BW153" s="17">
        <f t="shared" si="314"/>
        <v>0</v>
      </c>
      <c r="BX153" s="17">
        <f t="shared" si="314"/>
        <v>0</v>
      </c>
      <c r="BY153" s="17">
        <f t="shared" si="314"/>
        <v>0</v>
      </c>
      <c r="BZ153" s="17">
        <f t="shared" si="314"/>
        <v>0</v>
      </c>
      <c r="CA153" s="17">
        <f t="shared" si="314"/>
        <v>0</v>
      </c>
      <c r="CB153" s="17">
        <f t="shared" si="314"/>
        <v>0</v>
      </c>
      <c r="CC153" s="17">
        <f t="shared" si="314"/>
        <v>0</v>
      </c>
      <c r="CD153" s="17">
        <f t="shared" si="314"/>
        <v>0</v>
      </c>
      <c r="CE153" s="17">
        <f t="shared" si="314"/>
        <v>0</v>
      </c>
      <c r="CF153" s="17">
        <f t="shared" si="314"/>
        <v>0</v>
      </c>
      <c r="CG153" s="17">
        <f t="shared" si="314"/>
        <v>0</v>
      </c>
      <c r="CH153" s="17">
        <f t="shared" si="314"/>
        <v>0</v>
      </c>
      <c r="CI153" s="17">
        <f t="shared" si="314"/>
        <v>0</v>
      </c>
      <c r="CJ153" s="17">
        <f t="shared" si="314"/>
        <v>0</v>
      </c>
      <c r="CK153" s="17">
        <f t="shared" si="314"/>
        <v>0</v>
      </c>
      <c r="CL153" s="17">
        <f t="shared" si="314"/>
        <v>0</v>
      </c>
      <c r="CM153" s="17">
        <f t="shared" si="314"/>
        <v>0</v>
      </c>
      <c r="CN153" s="17">
        <f>SUM(CN154:CN156)</f>
        <v>0</v>
      </c>
      <c r="CO153" s="64"/>
      <c r="CP153" s="64"/>
      <c r="CQ153" s="64"/>
      <c r="CR153" s="64"/>
      <c r="CS153" s="51"/>
      <c r="GP153" s="52"/>
    </row>
    <row r="154" spans="1:198" s="82" customFormat="1" ht="15.6" x14ac:dyDescent="0.3">
      <c r="A154" s="92" t="s">
        <v>1</v>
      </c>
      <c r="B154" s="62" t="s">
        <v>66</v>
      </c>
      <c r="C154" s="63" t="s">
        <v>466</v>
      </c>
      <c r="D154" s="65">
        <f t="shared" ref="D154:D156" si="315">SUM(E154+CA154)</f>
        <v>1269740</v>
      </c>
      <c r="E154" s="65">
        <f>SUM(F154+BA154)</f>
        <v>1269740</v>
      </c>
      <c r="F154" s="65">
        <f>SUM(G154+H154+I154+P154+S154+T154+U154+AE154+AD154)</f>
        <v>1269740</v>
      </c>
      <c r="G154" s="66">
        <v>913618</v>
      </c>
      <c r="H154" s="66">
        <v>214031</v>
      </c>
      <c r="I154" s="65">
        <f t="shared" si="120"/>
        <v>0</v>
      </c>
      <c r="J154" s="66">
        <v>0</v>
      </c>
      <c r="K154" s="66">
        <v>0</v>
      </c>
      <c r="L154" s="66">
        <v>0</v>
      </c>
      <c r="M154" s="66">
        <v>0</v>
      </c>
      <c r="N154" s="66">
        <v>0</v>
      </c>
      <c r="O154" s="66">
        <f>6281-6281</f>
        <v>0</v>
      </c>
      <c r="P154" s="65">
        <f t="shared" si="121"/>
        <v>0</v>
      </c>
      <c r="Q154" s="65">
        <v>0</v>
      </c>
      <c r="R154" s="65">
        <v>0</v>
      </c>
      <c r="S154" s="65">
        <v>0</v>
      </c>
      <c r="T154" s="66">
        <v>10256</v>
      </c>
      <c r="U154" s="65">
        <f t="shared" ref="U154:U156" si="316">SUM(V154:AC154)</f>
        <v>84457</v>
      </c>
      <c r="V154" s="66">
        <v>8238</v>
      </c>
      <c r="W154" s="66">
        <v>0</v>
      </c>
      <c r="X154" s="66">
        <f>21712+30037</f>
        <v>51749</v>
      </c>
      <c r="Y154" s="66">
        <f>2835+1196</f>
        <v>4031</v>
      </c>
      <c r="Z154" s="66">
        <v>512</v>
      </c>
      <c r="AA154" s="66">
        <v>0</v>
      </c>
      <c r="AB154" s="66">
        <v>0</v>
      </c>
      <c r="AC154" s="66">
        <f>4467+15460</f>
        <v>19927</v>
      </c>
      <c r="AD154" s="66">
        <v>0</v>
      </c>
      <c r="AE154" s="65">
        <f>SUM(AF154:AZ154)</f>
        <v>47378</v>
      </c>
      <c r="AF154" s="65">
        <v>0</v>
      </c>
      <c r="AG154" s="65">
        <v>0</v>
      </c>
      <c r="AH154" s="66">
        <v>0</v>
      </c>
      <c r="AI154" s="66">
        <v>0</v>
      </c>
      <c r="AJ154" s="66">
        <v>0</v>
      </c>
      <c r="AK154" s="66">
        <v>0</v>
      </c>
      <c r="AL154" s="66">
        <v>0</v>
      </c>
      <c r="AM154" s="66">
        <v>0</v>
      </c>
      <c r="AN154" s="66">
        <v>0</v>
      </c>
      <c r="AO154" s="66">
        <v>0</v>
      </c>
      <c r="AP154" s="66">
        <v>0</v>
      </c>
      <c r="AQ154" s="66">
        <v>0</v>
      </c>
      <c r="AR154" s="66">
        <f>46176+1079</f>
        <v>47255</v>
      </c>
      <c r="AS154" s="66">
        <v>0</v>
      </c>
      <c r="AT154" s="66">
        <v>0</v>
      </c>
      <c r="AU154" s="66">
        <v>0</v>
      </c>
      <c r="AV154" s="66">
        <v>0</v>
      </c>
      <c r="AW154" s="66">
        <v>0</v>
      </c>
      <c r="AX154" s="66">
        <f>2884-2761</f>
        <v>123</v>
      </c>
      <c r="AY154" s="66">
        <v>0</v>
      </c>
      <c r="AZ154" s="66">
        <v>0</v>
      </c>
      <c r="BA154" s="65">
        <f>SUM(BB154+BF154+BJ154+BL154+BO154)</f>
        <v>0</v>
      </c>
      <c r="BB154" s="65">
        <f>SUM(BC154:BE154)</f>
        <v>0</v>
      </c>
      <c r="BC154" s="65">
        <v>0</v>
      </c>
      <c r="BD154" s="65">
        <v>0</v>
      </c>
      <c r="BE154" s="65">
        <v>0</v>
      </c>
      <c r="BF154" s="65">
        <f t="shared" ref="BF154:BF156" si="317">SUM(BG154:BI154)</f>
        <v>0</v>
      </c>
      <c r="BG154" s="65">
        <v>0</v>
      </c>
      <c r="BH154" s="65">
        <v>0</v>
      </c>
      <c r="BI154" s="65">
        <v>0</v>
      </c>
      <c r="BJ154" s="65">
        <v>0</v>
      </c>
      <c r="BK154" s="65">
        <v>0</v>
      </c>
      <c r="BL154" s="65">
        <f t="shared" si="122"/>
        <v>0</v>
      </c>
      <c r="BM154" s="65">
        <v>0</v>
      </c>
      <c r="BN154" s="65">
        <v>0</v>
      </c>
      <c r="BO154" s="65">
        <f>SUM(BP154:BZ154)</f>
        <v>0</v>
      </c>
      <c r="BP154" s="65">
        <v>0</v>
      </c>
      <c r="BQ154" s="65">
        <v>0</v>
      </c>
      <c r="BR154" s="65">
        <v>0</v>
      </c>
      <c r="BS154" s="65">
        <v>0</v>
      </c>
      <c r="BT154" s="65">
        <v>0</v>
      </c>
      <c r="BU154" s="65">
        <v>0</v>
      </c>
      <c r="BV154" s="65">
        <v>0</v>
      </c>
      <c r="BW154" s="65">
        <v>0</v>
      </c>
      <c r="BX154" s="65">
        <v>0</v>
      </c>
      <c r="BY154" s="65">
        <v>0</v>
      </c>
      <c r="BZ154" s="65">
        <v>0</v>
      </c>
      <c r="CA154" s="65">
        <f>SUM(CB154+CN154)</f>
        <v>0</v>
      </c>
      <c r="CB154" s="65">
        <f>SUM(CC154+CF154+CK154)</f>
        <v>0</v>
      </c>
      <c r="CC154" s="65">
        <f t="shared" si="123"/>
        <v>0</v>
      </c>
      <c r="CD154" s="65">
        <v>0</v>
      </c>
      <c r="CE154" s="66">
        <v>0</v>
      </c>
      <c r="CF154" s="65">
        <f>SUM(CG154:CJ154)</f>
        <v>0</v>
      </c>
      <c r="CG154" s="65">
        <v>0</v>
      </c>
      <c r="CH154" s="65">
        <v>0</v>
      </c>
      <c r="CI154" s="65">
        <v>0</v>
      </c>
      <c r="CJ154" s="65">
        <v>0</v>
      </c>
      <c r="CK154" s="65">
        <f>SUM(CL154:CM154)</f>
        <v>0</v>
      </c>
      <c r="CL154" s="65">
        <v>0</v>
      </c>
      <c r="CM154" s="65">
        <v>0</v>
      </c>
      <c r="CN154" s="65">
        <v>0</v>
      </c>
      <c r="CO154" s="65"/>
      <c r="CP154" s="65"/>
      <c r="CQ154" s="65"/>
      <c r="CR154" s="65"/>
      <c r="CS154" s="68"/>
      <c r="GP154" s="52"/>
    </row>
    <row r="155" spans="1:198" s="68" customFormat="1" ht="31.2" x14ac:dyDescent="0.3">
      <c r="A155" s="92" t="s">
        <v>1</v>
      </c>
      <c r="B155" s="62" t="s">
        <v>66</v>
      </c>
      <c r="C155" s="63" t="s">
        <v>607</v>
      </c>
      <c r="D155" s="65">
        <f t="shared" si="315"/>
        <v>10773490</v>
      </c>
      <c r="E155" s="65">
        <f>SUM(F155+BA155)</f>
        <v>10773490</v>
      </c>
      <c r="F155" s="65">
        <f>SUM(G155+H155+I155+P155+S155+T155+U155+AE155+AD155)</f>
        <v>10773490</v>
      </c>
      <c r="G155" s="66">
        <v>8091577</v>
      </c>
      <c r="H155" s="66">
        <v>1876860</v>
      </c>
      <c r="I155" s="65">
        <f>SUM(J155:O155)</f>
        <v>45245</v>
      </c>
      <c r="J155" s="66">
        <v>0</v>
      </c>
      <c r="K155" s="66"/>
      <c r="L155" s="66">
        <v>0</v>
      </c>
      <c r="M155" s="66">
        <v>0</v>
      </c>
      <c r="N155" s="66">
        <f>50000-25000</f>
        <v>25000</v>
      </c>
      <c r="O155" s="66">
        <f>40491-20246</f>
        <v>20245</v>
      </c>
      <c r="P155" s="65">
        <f>SUM(Q155:R155)</f>
        <v>0</v>
      </c>
      <c r="Q155" s="65">
        <v>0</v>
      </c>
      <c r="R155" s="65">
        <v>0</v>
      </c>
      <c r="S155" s="65">
        <v>0</v>
      </c>
      <c r="T155" s="66">
        <v>23654</v>
      </c>
      <c r="U155" s="65">
        <f>SUM(V155:AC155)</f>
        <v>561142</v>
      </c>
      <c r="V155" s="66">
        <v>0</v>
      </c>
      <c r="W155" s="66">
        <f>246360+134944</f>
        <v>381304</v>
      </c>
      <c r="X155" s="66">
        <f>70169+79084</f>
        <v>149253</v>
      </c>
      <c r="Y155" s="66">
        <f>21420+5165</f>
        <v>26585</v>
      </c>
      <c r="Z155" s="66">
        <v>4000</v>
      </c>
      <c r="AA155" s="66">
        <v>0</v>
      </c>
      <c r="AB155" s="66">
        <v>0</v>
      </c>
      <c r="AC155" s="66">
        <v>0</v>
      </c>
      <c r="AD155" s="66">
        <v>0</v>
      </c>
      <c r="AE155" s="65">
        <f>SUM(AF155:AZ155)</f>
        <v>175012</v>
      </c>
      <c r="AF155" s="65">
        <v>0</v>
      </c>
      <c r="AG155" s="65">
        <v>0</v>
      </c>
      <c r="AH155" s="66">
        <v>6598</v>
      </c>
      <c r="AI155" s="66"/>
      <c r="AJ155" s="66">
        <v>0</v>
      </c>
      <c r="AK155" s="66">
        <v>0</v>
      </c>
      <c r="AL155" s="66">
        <v>0</v>
      </c>
      <c r="AM155" s="66">
        <v>0</v>
      </c>
      <c r="AN155" s="66">
        <v>0</v>
      </c>
      <c r="AO155" s="66">
        <v>0</v>
      </c>
      <c r="AP155" s="66">
        <v>0</v>
      </c>
      <c r="AQ155" s="66">
        <v>0</v>
      </c>
      <c r="AR155" s="66">
        <f>144187+11282</f>
        <v>155469</v>
      </c>
      <c r="AS155" s="66">
        <v>0</v>
      </c>
      <c r="AT155" s="66">
        <v>0</v>
      </c>
      <c r="AU155" s="66">
        <v>0</v>
      </c>
      <c r="AV155" s="66">
        <v>0</v>
      </c>
      <c r="AW155" s="66">
        <v>0</v>
      </c>
      <c r="AX155" s="66">
        <f>24400-11455</f>
        <v>12945</v>
      </c>
      <c r="AY155" s="66">
        <v>0</v>
      </c>
      <c r="AZ155" s="66">
        <v>0</v>
      </c>
      <c r="BA155" s="65">
        <f>SUM(BB155+BF155+BJ155+BL155+BO155)</f>
        <v>0</v>
      </c>
      <c r="BB155" s="65">
        <f>SUM(BC155:BE155)</f>
        <v>0</v>
      </c>
      <c r="BC155" s="65">
        <v>0</v>
      </c>
      <c r="BD155" s="65">
        <v>0</v>
      </c>
      <c r="BE155" s="65">
        <v>0</v>
      </c>
      <c r="BF155" s="65">
        <f t="shared" si="317"/>
        <v>0</v>
      </c>
      <c r="BG155" s="65">
        <v>0</v>
      </c>
      <c r="BH155" s="65">
        <v>0</v>
      </c>
      <c r="BI155" s="65">
        <v>0</v>
      </c>
      <c r="BJ155" s="65">
        <v>0</v>
      </c>
      <c r="BK155" s="65">
        <v>0</v>
      </c>
      <c r="BL155" s="65">
        <f>SUM(BM155)</f>
        <v>0</v>
      </c>
      <c r="BM155" s="65">
        <v>0</v>
      </c>
      <c r="BN155" s="65">
        <v>0</v>
      </c>
      <c r="BO155" s="65">
        <f>SUM(BP155:BZ155)</f>
        <v>0</v>
      </c>
      <c r="BP155" s="65">
        <v>0</v>
      </c>
      <c r="BQ155" s="65">
        <v>0</v>
      </c>
      <c r="BR155" s="65">
        <v>0</v>
      </c>
      <c r="BS155" s="65">
        <v>0</v>
      </c>
      <c r="BT155" s="65">
        <v>0</v>
      </c>
      <c r="BU155" s="65">
        <v>0</v>
      </c>
      <c r="BV155" s="65">
        <v>0</v>
      </c>
      <c r="BW155" s="65">
        <v>0</v>
      </c>
      <c r="BX155" s="65">
        <v>0</v>
      </c>
      <c r="BY155" s="65">
        <v>0</v>
      </c>
      <c r="BZ155" s="65">
        <v>0</v>
      </c>
      <c r="CA155" s="65">
        <f>SUM(CB155+CN155)</f>
        <v>0</v>
      </c>
      <c r="CB155" s="65">
        <f>SUM(CC155+CF155+CK155)</f>
        <v>0</v>
      </c>
      <c r="CC155" s="65">
        <f>SUM(CD155:CE155)</f>
        <v>0</v>
      </c>
      <c r="CD155" s="65">
        <v>0</v>
      </c>
      <c r="CE155" s="66"/>
      <c r="CF155" s="65">
        <f>SUM(CG155:CJ155)</f>
        <v>0</v>
      </c>
      <c r="CG155" s="65">
        <v>0</v>
      </c>
      <c r="CH155" s="65">
        <v>0</v>
      </c>
      <c r="CI155" s="65">
        <v>0</v>
      </c>
      <c r="CJ155" s="65">
        <v>0</v>
      </c>
      <c r="CK155" s="65">
        <f>SUM(CL155:CM155)</f>
        <v>0</v>
      </c>
      <c r="CL155" s="65">
        <v>0</v>
      </c>
      <c r="CM155" s="65">
        <v>0</v>
      </c>
      <c r="CN155" s="65">
        <v>0</v>
      </c>
      <c r="CO155" s="65"/>
      <c r="CP155" s="65"/>
      <c r="CQ155" s="65"/>
      <c r="CR155" s="65"/>
      <c r="GP155" s="44"/>
    </row>
    <row r="156" spans="1:198" ht="31.2" x14ac:dyDescent="0.3">
      <c r="A156" s="90" t="s">
        <v>1</v>
      </c>
      <c r="B156" s="19" t="s">
        <v>66</v>
      </c>
      <c r="C156" s="20" t="s">
        <v>578</v>
      </c>
      <c r="D156" s="18">
        <f t="shared" si="315"/>
        <v>5117485</v>
      </c>
      <c r="E156" s="18">
        <f>SUM(F156+BA156)</f>
        <v>5117485</v>
      </c>
      <c r="F156" s="18">
        <f>SUM(G156+H156+I156+P156+S156+T156+U156+AE156+AD156)</f>
        <v>5117485</v>
      </c>
      <c r="G156" s="21">
        <v>4119588</v>
      </c>
      <c r="H156" s="21">
        <v>997897</v>
      </c>
      <c r="I156" s="18">
        <f t="shared" si="120"/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18">
        <f t="shared" si="121"/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f t="shared" si="316"/>
        <v>0</v>
      </c>
      <c r="V156" s="21">
        <v>0</v>
      </c>
      <c r="W156" s="21">
        <v>0</v>
      </c>
      <c r="X156" s="21">
        <v>0</v>
      </c>
      <c r="Y156" s="21">
        <v>0</v>
      </c>
      <c r="Z156" s="21">
        <v>0</v>
      </c>
      <c r="AA156" s="21">
        <v>0</v>
      </c>
      <c r="AB156" s="21">
        <v>0</v>
      </c>
      <c r="AC156" s="21">
        <v>0</v>
      </c>
      <c r="AD156" s="21">
        <v>0</v>
      </c>
      <c r="AE156" s="18">
        <f>SUM(AF156:AZ156)</f>
        <v>0</v>
      </c>
      <c r="AF156" s="18">
        <v>0</v>
      </c>
      <c r="AG156" s="18">
        <v>0</v>
      </c>
      <c r="AH156" s="21">
        <v>0</v>
      </c>
      <c r="AI156" s="21">
        <v>0</v>
      </c>
      <c r="AJ156" s="21">
        <v>0</v>
      </c>
      <c r="AK156" s="21">
        <v>0</v>
      </c>
      <c r="AL156" s="21">
        <v>0</v>
      </c>
      <c r="AM156" s="21">
        <v>0</v>
      </c>
      <c r="AN156" s="21">
        <v>0</v>
      </c>
      <c r="AO156" s="21">
        <v>0</v>
      </c>
      <c r="AP156" s="21">
        <v>0</v>
      </c>
      <c r="AQ156" s="21">
        <v>0</v>
      </c>
      <c r="AR156" s="21">
        <v>0</v>
      </c>
      <c r="AS156" s="21">
        <v>0</v>
      </c>
      <c r="AT156" s="21">
        <v>0</v>
      </c>
      <c r="AU156" s="21">
        <v>0</v>
      </c>
      <c r="AV156" s="21">
        <v>0</v>
      </c>
      <c r="AW156" s="21">
        <v>0</v>
      </c>
      <c r="AX156" s="21">
        <v>0</v>
      </c>
      <c r="AY156" s="21">
        <v>0</v>
      </c>
      <c r="AZ156" s="21">
        <v>0</v>
      </c>
      <c r="BA156" s="18">
        <f>SUM(BB156+BF156+BJ156+BL156+BO156)</f>
        <v>0</v>
      </c>
      <c r="BB156" s="18">
        <f>SUM(BC156:BE156)</f>
        <v>0</v>
      </c>
      <c r="BC156" s="18">
        <v>0</v>
      </c>
      <c r="BD156" s="18">
        <v>0</v>
      </c>
      <c r="BE156" s="18">
        <v>0</v>
      </c>
      <c r="BF156" s="18">
        <f t="shared" si="317"/>
        <v>0</v>
      </c>
      <c r="BG156" s="18">
        <v>0</v>
      </c>
      <c r="BH156" s="18">
        <v>0</v>
      </c>
      <c r="BI156" s="18">
        <v>0</v>
      </c>
      <c r="BJ156" s="18">
        <v>0</v>
      </c>
      <c r="BK156" s="18">
        <v>0</v>
      </c>
      <c r="BL156" s="18">
        <f t="shared" si="122"/>
        <v>0</v>
      </c>
      <c r="BM156" s="18">
        <v>0</v>
      </c>
      <c r="BN156" s="18">
        <v>0</v>
      </c>
      <c r="BO156" s="18">
        <f>SUM(BP156:BZ156)</f>
        <v>0</v>
      </c>
      <c r="BP156" s="18">
        <v>0</v>
      </c>
      <c r="BQ156" s="18">
        <v>0</v>
      </c>
      <c r="BR156" s="18">
        <v>0</v>
      </c>
      <c r="BS156" s="18">
        <v>0</v>
      </c>
      <c r="BT156" s="18">
        <v>0</v>
      </c>
      <c r="BU156" s="18">
        <v>0</v>
      </c>
      <c r="BV156" s="18">
        <v>0</v>
      </c>
      <c r="BW156" s="18">
        <v>0</v>
      </c>
      <c r="BX156" s="18">
        <v>0</v>
      </c>
      <c r="BY156" s="18">
        <v>0</v>
      </c>
      <c r="BZ156" s="18">
        <v>0</v>
      </c>
      <c r="CA156" s="18">
        <f>SUM(CB156+CN156)</f>
        <v>0</v>
      </c>
      <c r="CB156" s="18">
        <f>SUM(CC156+CF156+CK156)</f>
        <v>0</v>
      </c>
      <c r="CC156" s="18">
        <f t="shared" si="123"/>
        <v>0</v>
      </c>
      <c r="CD156" s="18">
        <v>0</v>
      </c>
      <c r="CE156" s="18"/>
      <c r="CF156" s="18">
        <f>SUM(CG156:CJ156)</f>
        <v>0</v>
      </c>
      <c r="CG156" s="18">
        <v>0</v>
      </c>
      <c r="CH156" s="18">
        <v>0</v>
      </c>
      <c r="CI156" s="18">
        <v>0</v>
      </c>
      <c r="CJ156" s="18">
        <v>0</v>
      </c>
      <c r="CK156" s="18">
        <f>SUM(CL156:CM156)</f>
        <v>0</v>
      </c>
      <c r="CL156" s="18">
        <v>0</v>
      </c>
      <c r="CM156" s="18">
        <v>0</v>
      </c>
      <c r="CN156" s="18">
        <v>0</v>
      </c>
      <c r="CO156" s="65"/>
      <c r="CP156" s="65"/>
      <c r="CQ156" s="65"/>
      <c r="CR156" s="65"/>
      <c r="CS156" s="46"/>
    </row>
    <row r="157" spans="1:198" ht="15.6" x14ac:dyDescent="0.3">
      <c r="A157" s="89" t="s">
        <v>212</v>
      </c>
      <c r="B157" s="15" t="s">
        <v>1</v>
      </c>
      <c r="C157" s="16" t="s">
        <v>213</v>
      </c>
      <c r="D157" s="17">
        <f>SUM(D158:D159)</f>
        <v>272553</v>
      </c>
      <c r="E157" s="17">
        <f t="shared" ref="E157:BU157" si="318">SUM(E158:E159)</f>
        <v>272553</v>
      </c>
      <c r="F157" s="17">
        <f t="shared" si="318"/>
        <v>272553</v>
      </c>
      <c r="G157" s="17">
        <f t="shared" si="318"/>
        <v>0</v>
      </c>
      <c r="H157" s="17">
        <f t="shared" si="318"/>
        <v>0</v>
      </c>
      <c r="I157" s="17">
        <f t="shared" si="318"/>
        <v>0</v>
      </c>
      <c r="J157" s="17">
        <f t="shared" si="318"/>
        <v>0</v>
      </c>
      <c r="K157" s="17">
        <f t="shared" si="318"/>
        <v>0</v>
      </c>
      <c r="L157" s="17">
        <f t="shared" si="318"/>
        <v>0</v>
      </c>
      <c r="M157" s="17">
        <f t="shared" si="318"/>
        <v>0</v>
      </c>
      <c r="N157" s="17">
        <f t="shared" si="318"/>
        <v>0</v>
      </c>
      <c r="O157" s="17">
        <f t="shared" si="318"/>
        <v>0</v>
      </c>
      <c r="P157" s="17">
        <f t="shared" si="318"/>
        <v>0</v>
      </c>
      <c r="Q157" s="17">
        <f t="shared" si="318"/>
        <v>0</v>
      </c>
      <c r="R157" s="17">
        <f t="shared" si="318"/>
        <v>0</v>
      </c>
      <c r="S157" s="17">
        <f t="shared" si="318"/>
        <v>0</v>
      </c>
      <c r="T157" s="17">
        <f t="shared" si="318"/>
        <v>0</v>
      </c>
      <c r="U157" s="17">
        <f t="shared" si="318"/>
        <v>0</v>
      </c>
      <c r="V157" s="17">
        <f t="shared" si="318"/>
        <v>0</v>
      </c>
      <c r="W157" s="17">
        <f t="shared" si="318"/>
        <v>0</v>
      </c>
      <c r="X157" s="17">
        <f t="shared" si="318"/>
        <v>0</v>
      </c>
      <c r="Y157" s="17">
        <f t="shared" si="318"/>
        <v>0</v>
      </c>
      <c r="Z157" s="17">
        <f t="shared" si="318"/>
        <v>0</v>
      </c>
      <c r="AA157" s="17">
        <f t="shared" si="318"/>
        <v>0</v>
      </c>
      <c r="AB157" s="17">
        <f t="shared" si="318"/>
        <v>0</v>
      </c>
      <c r="AC157" s="17">
        <f t="shared" si="318"/>
        <v>0</v>
      </c>
      <c r="AD157" s="17">
        <f t="shared" si="318"/>
        <v>0</v>
      </c>
      <c r="AE157" s="17">
        <f t="shared" si="318"/>
        <v>272553</v>
      </c>
      <c r="AF157" s="17">
        <f t="shared" si="318"/>
        <v>0</v>
      </c>
      <c r="AG157" s="17">
        <f t="shared" si="318"/>
        <v>0</v>
      </c>
      <c r="AH157" s="17">
        <f t="shared" si="318"/>
        <v>0</v>
      </c>
      <c r="AI157" s="17">
        <f t="shared" si="318"/>
        <v>0</v>
      </c>
      <c r="AJ157" s="17">
        <f t="shared" si="318"/>
        <v>0</v>
      </c>
      <c r="AK157" s="17">
        <f t="shared" si="318"/>
        <v>0</v>
      </c>
      <c r="AL157" s="17">
        <f t="shared" si="318"/>
        <v>0</v>
      </c>
      <c r="AM157" s="17">
        <f t="shared" si="318"/>
        <v>0</v>
      </c>
      <c r="AN157" s="17">
        <f t="shared" si="318"/>
        <v>0</v>
      </c>
      <c r="AO157" s="17">
        <f t="shared" si="318"/>
        <v>0</v>
      </c>
      <c r="AP157" s="17">
        <f t="shared" si="318"/>
        <v>0</v>
      </c>
      <c r="AQ157" s="17">
        <f t="shared" si="318"/>
        <v>0</v>
      </c>
      <c r="AR157" s="17">
        <f t="shared" si="318"/>
        <v>0</v>
      </c>
      <c r="AS157" s="17">
        <f t="shared" si="318"/>
        <v>0</v>
      </c>
      <c r="AT157" s="17"/>
      <c r="AU157" s="17"/>
      <c r="AV157" s="17">
        <f t="shared" si="318"/>
        <v>0</v>
      </c>
      <c r="AW157" s="17">
        <f t="shared" si="318"/>
        <v>0</v>
      </c>
      <c r="AX157" s="17">
        <f t="shared" si="318"/>
        <v>0</v>
      </c>
      <c r="AY157" s="17"/>
      <c r="AZ157" s="17">
        <f t="shared" si="318"/>
        <v>272553</v>
      </c>
      <c r="BA157" s="17">
        <f t="shared" si="318"/>
        <v>0</v>
      </c>
      <c r="BB157" s="17">
        <f t="shared" si="318"/>
        <v>0</v>
      </c>
      <c r="BC157" s="17">
        <f t="shared" si="318"/>
        <v>0</v>
      </c>
      <c r="BD157" s="17">
        <f t="shared" si="318"/>
        <v>0</v>
      </c>
      <c r="BE157" s="17">
        <f t="shared" si="318"/>
        <v>0</v>
      </c>
      <c r="BF157" s="17">
        <f t="shared" si="318"/>
        <v>0</v>
      </c>
      <c r="BG157" s="17">
        <f t="shared" si="318"/>
        <v>0</v>
      </c>
      <c r="BH157" s="17">
        <f t="shared" ref="BH157" si="319">SUM(BH158:BH159)</f>
        <v>0</v>
      </c>
      <c r="BI157" s="17">
        <f t="shared" si="318"/>
        <v>0</v>
      </c>
      <c r="BJ157" s="17">
        <f t="shared" si="318"/>
        <v>0</v>
      </c>
      <c r="BK157" s="17">
        <f t="shared" ref="BK157" si="320">SUM(BK158:BK159)</f>
        <v>0</v>
      </c>
      <c r="BL157" s="17">
        <f t="shared" si="318"/>
        <v>0</v>
      </c>
      <c r="BM157" s="17">
        <f t="shared" si="318"/>
        <v>0</v>
      </c>
      <c r="BN157" s="17">
        <f t="shared" ref="BN157" si="321">SUM(BN158:BN159)</f>
        <v>0</v>
      </c>
      <c r="BO157" s="17">
        <f t="shared" si="318"/>
        <v>0</v>
      </c>
      <c r="BP157" s="17">
        <f t="shared" si="318"/>
        <v>0</v>
      </c>
      <c r="BQ157" s="17">
        <f t="shared" si="318"/>
        <v>0</v>
      </c>
      <c r="BR157" s="17">
        <f t="shared" si="318"/>
        <v>0</v>
      </c>
      <c r="BS157" s="17">
        <f t="shared" si="318"/>
        <v>0</v>
      </c>
      <c r="BT157" s="17">
        <f t="shared" si="318"/>
        <v>0</v>
      </c>
      <c r="BU157" s="17">
        <f t="shared" si="318"/>
        <v>0</v>
      </c>
      <c r="BV157" s="17">
        <f t="shared" ref="BV157:CN157" si="322">SUM(BV158:BV159)</f>
        <v>0</v>
      </c>
      <c r="BW157" s="17">
        <f t="shared" si="322"/>
        <v>0</v>
      </c>
      <c r="BX157" s="17">
        <f t="shared" si="322"/>
        <v>0</v>
      </c>
      <c r="BY157" s="17">
        <f t="shared" si="322"/>
        <v>0</v>
      </c>
      <c r="BZ157" s="17">
        <f t="shared" si="322"/>
        <v>0</v>
      </c>
      <c r="CA157" s="17">
        <f t="shared" si="322"/>
        <v>0</v>
      </c>
      <c r="CB157" s="17">
        <f t="shared" si="322"/>
        <v>0</v>
      </c>
      <c r="CC157" s="17">
        <f t="shared" si="322"/>
        <v>0</v>
      </c>
      <c r="CD157" s="17">
        <f t="shared" si="322"/>
        <v>0</v>
      </c>
      <c r="CE157" s="17">
        <f t="shared" si="322"/>
        <v>0</v>
      </c>
      <c r="CF157" s="17">
        <f t="shared" si="322"/>
        <v>0</v>
      </c>
      <c r="CG157" s="17">
        <f t="shared" ref="CG157:CH157" si="323">SUM(CG158:CG159)</f>
        <v>0</v>
      </c>
      <c r="CH157" s="17">
        <f t="shared" si="323"/>
        <v>0</v>
      </c>
      <c r="CI157" s="17">
        <f t="shared" si="322"/>
        <v>0</v>
      </c>
      <c r="CJ157" s="17">
        <f t="shared" ref="CJ157" si="324">SUM(CJ158:CJ159)</f>
        <v>0</v>
      </c>
      <c r="CK157" s="17">
        <f t="shared" si="322"/>
        <v>0</v>
      </c>
      <c r="CL157" s="17">
        <f t="shared" ref="CL157" si="325">SUM(CL158:CL159)</f>
        <v>0</v>
      </c>
      <c r="CM157" s="17">
        <f t="shared" si="322"/>
        <v>0</v>
      </c>
      <c r="CN157" s="17">
        <f t="shared" si="322"/>
        <v>0</v>
      </c>
      <c r="CO157" s="64"/>
      <c r="CP157" s="64"/>
      <c r="CQ157" s="64"/>
      <c r="CR157" s="64"/>
      <c r="CS157" s="51"/>
      <c r="GP157" s="82"/>
    </row>
    <row r="158" spans="1:198" s="82" customFormat="1" ht="15.6" x14ac:dyDescent="0.3">
      <c r="A158" s="92" t="s">
        <v>1</v>
      </c>
      <c r="B158" s="62" t="s">
        <v>56</v>
      </c>
      <c r="C158" s="63" t="s">
        <v>214</v>
      </c>
      <c r="D158" s="65">
        <f t="shared" ref="D158:D159" si="326">SUM(E158+CA158)</f>
        <v>157573</v>
      </c>
      <c r="E158" s="65">
        <f>SUM(F158+BA158)</f>
        <v>157573</v>
      </c>
      <c r="F158" s="65">
        <f>SUM(G158+H158+I158+P158+S158+T158+U158+AE158+AD158)</f>
        <v>157573</v>
      </c>
      <c r="G158" s="65">
        <v>0</v>
      </c>
      <c r="H158" s="65">
        <v>0</v>
      </c>
      <c r="I158" s="65">
        <f t="shared" ref="I158:I228" si="327">SUM(J158:O158)</f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65">
        <v>0</v>
      </c>
      <c r="P158" s="65">
        <f t="shared" ref="P158:P228" si="328">SUM(Q158:R158)</f>
        <v>0</v>
      </c>
      <c r="Q158" s="65">
        <v>0</v>
      </c>
      <c r="R158" s="65">
        <v>0</v>
      </c>
      <c r="S158" s="65">
        <v>0</v>
      </c>
      <c r="T158" s="65">
        <v>0</v>
      </c>
      <c r="U158" s="65">
        <f t="shared" ref="U158:U159" si="329">SUM(V158:AC158)</f>
        <v>0</v>
      </c>
      <c r="V158" s="65">
        <v>0</v>
      </c>
      <c r="W158" s="65">
        <v>0</v>
      </c>
      <c r="X158" s="65">
        <v>0</v>
      </c>
      <c r="Y158" s="65">
        <v>0</v>
      </c>
      <c r="Z158" s="65">
        <v>0</v>
      </c>
      <c r="AA158" s="65">
        <v>0</v>
      </c>
      <c r="AB158" s="65">
        <v>0</v>
      </c>
      <c r="AC158" s="65">
        <v>0</v>
      </c>
      <c r="AD158" s="65">
        <v>0</v>
      </c>
      <c r="AE158" s="65">
        <f>SUM(AF158:AZ158)</f>
        <v>157573</v>
      </c>
      <c r="AF158" s="65">
        <v>0</v>
      </c>
      <c r="AG158" s="65">
        <v>0</v>
      </c>
      <c r="AH158" s="65">
        <v>0</v>
      </c>
      <c r="AI158" s="65">
        <v>0</v>
      </c>
      <c r="AJ158" s="65">
        <v>0</v>
      </c>
      <c r="AK158" s="65">
        <v>0</v>
      </c>
      <c r="AL158" s="65">
        <v>0</v>
      </c>
      <c r="AM158" s="65">
        <v>0</v>
      </c>
      <c r="AN158" s="65">
        <v>0</v>
      </c>
      <c r="AO158" s="65">
        <v>0</v>
      </c>
      <c r="AP158" s="65">
        <v>0</v>
      </c>
      <c r="AQ158" s="65">
        <v>0</v>
      </c>
      <c r="AR158" s="65">
        <v>0</v>
      </c>
      <c r="AS158" s="65">
        <v>0</v>
      </c>
      <c r="AT158" s="65">
        <v>0</v>
      </c>
      <c r="AU158" s="65">
        <v>0</v>
      </c>
      <c r="AV158" s="65">
        <v>0</v>
      </c>
      <c r="AW158" s="65">
        <v>0</v>
      </c>
      <c r="AX158" s="65">
        <v>0</v>
      </c>
      <c r="AY158" s="65">
        <v>0</v>
      </c>
      <c r="AZ158" s="66">
        <f>315147-157574</f>
        <v>157573</v>
      </c>
      <c r="BA158" s="65">
        <f>SUM(BB158+BF158+BJ158+BL158+BO158)</f>
        <v>0</v>
      </c>
      <c r="BB158" s="65">
        <f>SUM(BC158:BE158)</f>
        <v>0</v>
      </c>
      <c r="BC158" s="65">
        <v>0</v>
      </c>
      <c r="BD158" s="65">
        <v>0</v>
      </c>
      <c r="BE158" s="65">
        <v>0</v>
      </c>
      <c r="BF158" s="65">
        <f t="shared" ref="BF158:BF159" si="330">SUM(BG158:BI158)</f>
        <v>0</v>
      </c>
      <c r="BG158" s="65">
        <v>0</v>
      </c>
      <c r="BH158" s="65">
        <v>0</v>
      </c>
      <c r="BI158" s="65">
        <v>0</v>
      </c>
      <c r="BJ158" s="65">
        <v>0</v>
      </c>
      <c r="BK158" s="65">
        <v>0</v>
      </c>
      <c r="BL158" s="65">
        <f t="shared" ref="BL158:BL228" si="331">SUM(BM158)</f>
        <v>0</v>
      </c>
      <c r="BM158" s="65">
        <v>0</v>
      </c>
      <c r="BN158" s="65">
        <v>0</v>
      </c>
      <c r="BO158" s="65">
        <f>SUM(BP158:BZ158)</f>
        <v>0</v>
      </c>
      <c r="BP158" s="65">
        <v>0</v>
      </c>
      <c r="BQ158" s="65">
        <v>0</v>
      </c>
      <c r="BR158" s="65">
        <v>0</v>
      </c>
      <c r="BS158" s="65">
        <v>0</v>
      </c>
      <c r="BT158" s="65">
        <v>0</v>
      </c>
      <c r="BU158" s="65">
        <v>0</v>
      </c>
      <c r="BV158" s="65">
        <v>0</v>
      </c>
      <c r="BW158" s="65">
        <v>0</v>
      </c>
      <c r="BX158" s="65">
        <v>0</v>
      </c>
      <c r="BY158" s="65">
        <v>0</v>
      </c>
      <c r="BZ158" s="65">
        <v>0</v>
      </c>
      <c r="CA158" s="65">
        <f>SUM(CB158+CN158)</f>
        <v>0</v>
      </c>
      <c r="CB158" s="65">
        <f>SUM(CC158+CF158+CK158)</f>
        <v>0</v>
      </c>
      <c r="CC158" s="65">
        <f t="shared" ref="CC158:CC228" si="332">SUM(CD158:CE158)</f>
        <v>0</v>
      </c>
      <c r="CD158" s="65">
        <v>0</v>
      </c>
      <c r="CE158" s="65">
        <v>0</v>
      </c>
      <c r="CF158" s="65">
        <f>SUM(CG158:CJ158)</f>
        <v>0</v>
      </c>
      <c r="CG158" s="65">
        <v>0</v>
      </c>
      <c r="CH158" s="65">
        <v>0</v>
      </c>
      <c r="CI158" s="65">
        <v>0</v>
      </c>
      <c r="CJ158" s="65">
        <v>0</v>
      </c>
      <c r="CK158" s="65">
        <f>SUM(CL158:CM158)</f>
        <v>0</v>
      </c>
      <c r="CL158" s="65">
        <v>0</v>
      </c>
      <c r="CM158" s="65">
        <v>0</v>
      </c>
      <c r="CN158" s="65">
        <v>0</v>
      </c>
      <c r="CO158" s="65"/>
      <c r="CP158" s="65"/>
      <c r="CQ158" s="65"/>
      <c r="CR158" s="65"/>
      <c r="CS158" s="68"/>
      <c r="GP158" s="68"/>
    </row>
    <row r="159" spans="1:198" ht="15.6" x14ac:dyDescent="0.3">
      <c r="A159" s="90" t="s">
        <v>1</v>
      </c>
      <c r="B159" s="19" t="s">
        <v>64</v>
      </c>
      <c r="C159" s="20" t="s">
        <v>215</v>
      </c>
      <c r="D159" s="18">
        <f t="shared" si="326"/>
        <v>114980</v>
      </c>
      <c r="E159" s="18">
        <f>SUM(F159+BA159)</f>
        <v>114980</v>
      </c>
      <c r="F159" s="18">
        <f>SUM(G159+H159+I159+P159+S159+T159+U159+AE159+AD159)</f>
        <v>114980</v>
      </c>
      <c r="G159" s="18">
        <v>0</v>
      </c>
      <c r="H159" s="18">
        <v>0</v>
      </c>
      <c r="I159" s="18">
        <f t="shared" si="327"/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f t="shared" si="328"/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f t="shared" si="329"/>
        <v>0</v>
      </c>
      <c r="V159" s="18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  <c r="AE159" s="18">
        <f>SUM(AF159:AZ159)</f>
        <v>114980</v>
      </c>
      <c r="AF159" s="18">
        <v>0</v>
      </c>
      <c r="AG159" s="18">
        <v>0</v>
      </c>
      <c r="AH159" s="18">
        <v>0</v>
      </c>
      <c r="AI159" s="18">
        <v>0</v>
      </c>
      <c r="AJ159" s="18">
        <v>0</v>
      </c>
      <c r="AK159" s="18">
        <v>0</v>
      </c>
      <c r="AL159" s="18">
        <v>0</v>
      </c>
      <c r="AM159" s="18">
        <v>0</v>
      </c>
      <c r="AN159" s="18">
        <v>0</v>
      </c>
      <c r="AO159" s="18">
        <v>0</v>
      </c>
      <c r="AP159" s="18">
        <v>0</v>
      </c>
      <c r="AQ159" s="18">
        <v>0</v>
      </c>
      <c r="AR159" s="18">
        <v>0</v>
      </c>
      <c r="AS159" s="18">
        <v>0</v>
      </c>
      <c r="AT159" s="18">
        <v>0</v>
      </c>
      <c r="AU159" s="18">
        <v>0</v>
      </c>
      <c r="AV159" s="18">
        <v>0</v>
      </c>
      <c r="AW159" s="18">
        <v>0</v>
      </c>
      <c r="AX159" s="18">
        <v>0</v>
      </c>
      <c r="AY159" s="18">
        <v>0</v>
      </c>
      <c r="AZ159" s="21">
        <f>229961-114981</f>
        <v>114980</v>
      </c>
      <c r="BA159" s="18">
        <f>SUM(BB159+BF159+BJ159+BL159+BO159)</f>
        <v>0</v>
      </c>
      <c r="BB159" s="18">
        <f>SUM(BC159:BE159)</f>
        <v>0</v>
      </c>
      <c r="BC159" s="18">
        <v>0</v>
      </c>
      <c r="BD159" s="18">
        <v>0</v>
      </c>
      <c r="BE159" s="18">
        <v>0</v>
      </c>
      <c r="BF159" s="18">
        <f t="shared" si="330"/>
        <v>0</v>
      </c>
      <c r="BG159" s="18">
        <v>0</v>
      </c>
      <c r="BH159" s="18">
        <v>0</v>
      </c>
      <c r="BI159" s="18">
        <v>0</v>
      </c>
      <c r="BJ159" s="18">
        <v>0</v>
      </c>
      <c r="BK159" s="18">
        <v>0</v>
      </c>
      <c r="BL159" s="18">
        <f t="shared" si="331"/>
        <v>0</v>
      </c>
      <c r="BM159" s="18">
        <v>0</v>
      </c>
      <c r="BN159" s="18">
        <v>0</v>
      </c>
      <c r="BO159" s="18">
        <f>SUM(BP159:BZ159)</f>
        <v>0</v>
      </c>
      <c r="BP159" s="18">
        <v>0</v>
      </c>
      <c r="BQ159" s="18">
        <v>0</v>
      </c>
      <c r="BR159" s="18">
        <v>0</v>
      </c>
      <c r="BS159" s="18">
        <v>0</v>
      </c>
      <c r="BT159" s="18">
        <v>0</v>
      </c>
      <c r="BU159" s="18">
        <v>0</v>
      </c>
      <c r="BV159" s="18">
        <v>0</v>
      </c>
      <c r="BW159" s="18">
        <v>0</v>
      </c>
      <c r="BX159" s="18">
        <v>0</v>
      </c>
      <c r="BY159" s="18">
        <v>0</v>
      </c>
      <c r="BZ159" s="18">
        <v>0</v>
      </c>
      <c r="CA159" s="18">
        <f>SUM(CB159+CN159)</f>
        <v>0</v>
      </c>
      <c r="CB159" s="18">
        <f>SUM(CC159+CF159+CK159)</f>
        <v>0</v>
      </c>
      <c r="CC159" s="18">
        <f t="shared" si="332"/>
        <v>0</v>
      </c>
      <c r="CD159" s="18">
        <v>0</v>
      </c>
      <c r="CE159" s="18">
        <v>0</v>
      </c>
      <c r="CF159" s="18">
        <f>SUM(CG159:CJ159)</f>
        <v>0</v>
      </c>
      <c r="CG159" s="18">
        <v>0</v>
      </c>
      <c r="CH159" s="18">
        <v>0</v>
      </c>
      <c r="CI159" s="18">
        <v>0</v>
      </c>
      <c r="CJ159" s="18">
        <v>0</v>
      </c>
      <c r="CK159" s="18">
        <f>SUM(CL159:CM159)</f>
        <v>0</v>
      </c>
      <c r="CL159" s="18">
        <v>0</v>
      </c>
      <c r="CM159" s="18">
        <v>0</v>
      </c>
      <c r="CN159" s="18">
        <v>0</v>
      </c>
      <c r="CO159" s="65"/>
      <c r="CP159" s="65"/>
      <c r="CQ159" s="65"/>
      <c r="CR159" s="65"/>
      <c r="CS159" s="46"/>
    </row>
    <row r="160" spans="1:198" ht="31.2" x14ac:dyDescent="0.3">
      <c r="A160" s="89" t="s">
        <v>216</v>
      </c>
      <c r="B160" s="15" t="s">
        <v>1</v>
      </c>
      <c r="C160" s="16" t="s">
        <v>602</v>
      </c>
      <c r="D160" s="17">
        <f t="shared" ref="D160:AS160" si="333">SUM(D161:D165)</f>
        <v>12915433</v>
      </c>
      <c r="E160" s="17">
        <f t="shared" si="333"/>
        <v>12819058</v>
      </c>
      <c r="F160" s="17">
        <f t="shared" si="333"/>
        <v>12367232</v>
      </c>
      <c r="G160" s="17">
        <f t="shared" si="333"/>
        <v>8686769</v>
      </c>
      <c r="H160" s="17">
        <f t="shared" si="333"/>
        <v>2023543</v>
      </c>
      <c r="I160" s="17">
        <f t="shared" si="333"/>
        <v>634556</v>
      </c>
      <c r="J160" s="17">
        <f t="shared" si="333"/>
        <v>17702</v>
      </c>
      <c r="K160" s="17">
        <f t="shared" si="333"/>
        <v>0</v>
      </c>
      <c r="L160" s="17">
        <f t="shared" si="333"/>
        <v>0</v>
      </c>
      <c r="M160" s="17">
        <f t="shared" si="333"/>
        <v>0</v>
      </c>
      <c r="N160" s="17">
        <f t="shared" si="333"/>
        <v>467687</v>
      </c>
      <c r="O160" s="17">
        <f t="shared" si="333"/>
        <v>149167</v>
      </c>
      <c r="P160" s="17">
        <f t="shared" si="333"/>
        <v>0</v>
      </c>
      <c r="Q160" s="17">
        <f t="shared" si="333"/>
        <v>0</v>
      </c>
      <c r="R160" s="17">
        <f t="shared" si="333"/>
        <v>0</v>
      </c>
      <c r="S160" s="17">
        <f t="shared" si="333"/>
        <v>0</v>
      </c>
      <c r="T160" s="17">
        <f t="shared" si="333"/>
        <v>34529</v>
      </c>
      <c r="U160" s="17">
        <f t="shared" si="333"/>
        <v>465527</v>
      </c>
      <c r="V160" s="17">
        <f t="shared" si="333"/>
        <v>5000</v>
      </c>
      <c r="W160" s="17">
        <f t="shared" si="333"/>
        <v>274973</v>
      </c>
      <c r="X160" s="17">
        <f t="shared" si="333"/>
        <v>152823</v>
      </c>
      <c r="Y160" s="17">
        <f t="shared" si="333"/>
        <v>32731</v>
      </c>
      <c r="Z160" s="17">
        <f t="shared" si="333"/>
        <v>0</v>
      </c>
      <c r="AA160" s="17">
        <f t="shared" si="333"/>
        <v>0</v>
      </c>
      <c r="AB160" s="17">
        <f t="shared" si="333"/>
        <v>0</v>
      </c>
      <c r="AC160" s="17">
        <f t="shared" si="333"/>
        <v>0</v>
      </c>
      <c r="AD160" s="17">
        <f t="shared" si="333"/>
        <v>0</v>
      </c>
      <c r="AE160" s="17">
        <f t="shared" si="333"/>
        <v>522308</v>
      </c>
      <c r="AF160" s="17">
        <f t="shared" si="333"/>
        <v>0</v>
      </c>
      <c r="AG160" s="17">
        <f t="shared" si="333"/>
        <v>0</v>
      </c>
      <c r="AH160" s="17">
        <f t="shared" si="333"/>
        <v>0</v>
      </c>
      <c r="AI160" s="17">
        <f t="shared" si="333"/>
        <v>0</v>
      </c>
      <c r="AJ160" s="17">
        <f t="shared" si="333"/>
        <v>0</v>
      </c>
      <c r="AK160" s="17">
        <f t="shared" si="333"/>
        <v>0</v>
      </c>
      <c r="AL160" s="17">
        <f t="shared" si="333"/>
        <v>0</v>
      </c>
      <c r="AM160" s="17">
        <f t="shared" si="333"/>
        <v>215</v>
      </c>
      <c r="AN160" s="17">
        <f t="shared" si="333"/>
        <v>1207</v>
      </c>
      <c r="AO160" s="17">
        <f t="shared" si="333"/>
        <v>0</v>
      </c>
      <c r="AP160" s="17">
        <f t="shared" si="333"/>
        <v>0</v>
      </c>
      <c r="AQ160" s="17">
        <f t="shared" si="333"/>
        <v>0</v>
      </c>
      <c r="AR160" s="17">
        <f t="shared" si="333"/>
        <v>54404</v>
      </c>
      <c r="AS160" s="17">
        <f t="shared" si="333"/>
        <v>24000</v>
      </c>
      <c r="AT160" s="17"/>
      <c r="AU160" s="17"/>
      <c r="AV160" s="17">
        <f>SUM(AV161:AV165)</f>
        <v>0</v>
      </c>
      <c r="AW160" s="17">
        <f>SUM(AW161:AW165)</f>
        <v>0</v>
      </c>
      <c r="AX160" s="17">
        <f>SUM(AX161:AX165)</f>
        <v>0</v>
      </c>
      <c r="AY160" s="17"/>
      <c r="AZ160" s="17">
        <f t="shared" ref="AZ160:CM160" si="334">SUM(AZ161:AZ165)</f>
        <v>442482</v>
      </c>
      <c r="BA160" s="17">
        <f t="shared" si="334"/>
        <v>451826</v>
      </c>
      <c r="BB160" s="17">
        <f t="shared" si="334"/>
        <v>0</v>
      </c>
      <c r="BC160" s="17">
        <f t="shared" si="334"/>
        <v>0</v>
      </c>
      <c r="BD160" s="17">
        <f t="shared" si="334"/>
        <v>0</v>
      </c>
      <c r="BE160" s="17">
        <f t="shared" si="334"/>
        <v>0</v>
      </c>
      <c r="BF160" s="17">
        <f t="shared" si="334"/>
        <v>0</v>
      </c>
      <c r="BG160" s="17">
        <f t="shared" si="334"/>
        <v>0</v>
      </c>
      <c r="BH160" s="17">
        <f t="shared" ref="BH160" si="335">SUM(BH161:BH165)</f>
        <v>0</v>
      </c>
      <c r="BI160" s="17">
        <f t="shared" si="334"/>
        <v>0</v>
      </c>
      <c r="BJ160" s="17">
        <f t="shared" si="334"/>
        <v>0</v>
      </c>
      <c r="BK160" s="17">
        <f t="shared" ref="BK160" si="336">SUM(BK161:BK165)</f>
        <v>0</v>
      </c>
      <c r="BL160" s="17">
        <f t="shared" si="334"/>
        <v>0</v>
      </c>
      <c r="BM160" s="17">
        <f t="shared" si="334"/>
        <v>0</v>
      </c>
      <c r="BN160" s="17">
        <f t="shared" si="334"/>
        <v>0</v>
      </c>
      <c r="BO160" s="17">
        <f t="shared" si="334"/>
        <v>451826</v>
      </c>
      <c r="BP160" s="17">
        <f t="shared" si="334"/>
        <v>0</v>
      </c>
      <c r="BQ160" s="17">
        <f t="shared" si="334"/>
        <v>0</v>
      </c>
      <c r="BR160" s="17">
        <f t="shared" si="334"/>
        <v>451826</v>
      </c>
      <c r="BS160" s="17">
        <f t="shared" si="334"/>
        <v>0</v>
      </c>
      <c r="BT160" s="17">
        <f t="shared" si="334"/>
        <v>0</v>
      </c>
      <c r="BU160" s="17">
        <f t="shared" si="334"/>
        <v>0</v>
      </c>
      <c r="BV160" s="17">
        <f t="shared" si="334"/>
        <v>0</v>
      </c>
      <c r="BW160" s="17">
        <f t="shared" si="334"/>
        <v>0</v>
      </c>
      <c r="BX160" s="17">
        <f t="shared" si="334"/>
        <v>0</v>
      </c>
      <c r="BY160" s="17">
        <f t="shared" si="334"/>
        <v>0</v>
      </c>
      <c r="BZ160" s="17">
        <f t="shared" si="334"/>
        <v>0</v>
      </c>
      <c r="CA160" s="17">
        <f t="shared" si="334"/>
        <v>96375</v>
      </c>
      <c r="CB160" s="17">
        <f t="shared" si="334"/>
        <v>96375</v>
      </c>
      <c r="CC160" s="17">
        <f t="shared" si="334"/>
        <v>96375</v>
      </c>
      <c r="CD160" s="17">
        <f t="shared" si="334"/>
        <v>0</v>
      </c>
      <c r="CE160" s="17">
        <f t="shared" si="334"/>
        <v>96375</v>
      </c>
      <c r="CF160" s="17">
        <f t="shared" si="334"/>
        <v>0</v>
      </c>
      <c r="CG160" s="17">
        <f t="shared" si="334"/>
        <v>0</v>
      </c>
      <c r="CH160" s="17">
        <f t="shared" si="334"/>
        <v>0</v>
      </c>
      <c r="CI160" s="17">
        <f t="shared" si="334"/>
        <v>0</v>
      </c>
      <c r="CJ160" s="17">
        <f t="shared" si="334"/>
        <v>0</v>
      </c>
      <c r="CK160" s="17">
        <f t="shared" si="334"/>
        <v>0</v>
      </c>
      <c r="CL160" s="17">
        <f t="shared" si="334"/>
        <v>0</v>
      </c>
      <c r="CM160" s="17">
        <f t="shared" si="334"/>
        <v>0</v>
      </c>
      <c r="CN160" s="17">
        <f>SUM(CN161:CN165)</f>
        <v>0</v>
      </c>
      <c r="CO160" s="64"/>
      <c r="CP160" s="64"/>
      <c r="CQ160" s="64"/>
      <c r="CR160" s="64"/>
      <c r="CS160" s="51"/>
    </row>
    <row r="161" spans="1:198" s="68" customFormat="1" ht="15.6" x14ac:dyDescent="0.3">
      <c r="A161" s="92" t="s">
        <v>1</v>
      </c>
      <c r="B161" s="62" t="s">
        <v>52</v>
      </c>
      <c r="C161" s="63" t="s">
        <v>481</v>
      </c>
      <c r="D161" s="65">
        <f t="shared" ref="D161:D165" si="337">SUM(E161+CA161)</f>
        <v>4647779</v>
      </c>
      <c r="E161" s="65">
        <f>SUM(F161+BA161)</f>
        <v>4647779</v>
      </c>
      <c r="F161" s="65">
        <f t="shared" ref="F161:F165" si="338">SUM(G161+H161+I161+P161+S161+T161+U161+AE161+AD161)</f>
        <v>4195953</v>
      </c>
      <c r="G161" s="66">
        <v>3059672</v>
      </c>
      <c r="H161" s="66">
        <f>733911-26376</f>
        <v>707535</v>
      </c>
      <c r="I161" s="65">
        <f t="shared" si="327"/>
        <v>120187</v>
      </c>
      <c r="J161" s="66">
        <v>0</v>
      </c>
      <c r="K161" s="66">
        <v>0</v>
      </c>
      <c r="L161" s="66">
        <v>0</v>
      </c>
      <c r="M161" s="66">
        <v>0</v>
      </c>
      <c r="N161" s="66">
        <f>120589-7369</f>
        <v>113220</v>
      </c>
      <c r="O161" s="66">
        <f>13935-6968</f>
        <v>6967</v>
      </c>
      <c r="P161" s="65">
        <f t="shared" si="328"/>
        <v>0</v>
      </c>
      <c r="Q161" s="66"/>
      <c r="R161" s="66"/>
      <c r="S161" s="66"/>
      <c r="T161" s="66">
        <f>40833-27293</f>
        <v>13540</v>
      </c>
      <c r="U161" s="65">
        <f t="shared" ref="U161:U165" si="339">SUM(V161:AC161)</f>
        <v>236184</v>
      </c>
      <c r="V161" s="66">
        <v>5000</v>
      </c>
      <c r="W161" s="66">
        <f>93686+38287</f>
        <v>131973</v>
      </c>
      <c r="X161" s="66">
        <f>33577+37593</f>
        <v>71170</v>
      </c>
      <c r="Y161" s="66">
        <f>23531+4510</f>
        <v>28041</v>
      </c>
      <c r="Z161" s="66">
        <v>0</v>
      </c>
      <c r="AA161" s="66">
        <v>0</v>
      </c>
      <c r="AB161" s="66">
        <v>0</v>
      </c>
      <c r="AC161" s="66">
        <v>0</v>
      </c>
      <c r="AD161" s="66">
        <v>0</v>
      </c>
      <c r="AE161" s="65">
        <f>SUM(AF161:AZ161)</f>
        <v>58835</v>
      </c>
      <c r="AF161" s="65">
        <v>0</v>
      </c>
      <c r="AG161" s="65">
        <v>0</v>
      </c>
      <c r="AH161" s="66">
        <v>0</v>
      </c>
      <c r="AI161" s="66">
        <v>0</v>
      </c>
      <c r="AJ161" s="66">
        <v>0</v>
      </c>
      <c r="AK161" s="66">
        <v>0</v>
      </c>
      <c r="AL161" s="66">
        <v>0</v>
      </c>
      <c r="AM161" s="66">
        <v>0</v>
      </c>
      <c r="AN161" s="66">
        <v>0</v>
      </c>
      <c r="AO161" s="66">
        <v>0</v>
      </c>
      <c r="AP161" s="66">
        <v>0</v>
      </c>
      <c r="AQ161" s="66">
        <v>0</v>
      </c>
      <c r="AR161" s="66">
        <f>60425-26721</f>
        <v>33704</v>
      </c>
      <c r="AS161" s="66">
        <v>24000</v>
      </c>
      <c r="AT161" s="66">
        <v>0</v>
      </c>
      <c r="AU161" s="66">
        <v>0</v>
      </c>
      <c r="AV161" s="66">
        <v>0</v>
      </c>
      <c r="AW161" s="66">
        <v>0</v>
      </c>
      <c r="AX161" s="66">
        <v>0</v>
      </c>
      <c r="AY161" s="66">
        <v>0</v>
      </c>
      <c r="AZ161" s="66">
        <f>2262-1131</f>
        <v>1131</v>
      </c>
      <c r="BA161" s="65">
        <f>SUM(BB161+BF161+BJ161+BL161+BO161)</f>
        <v>451826</v>
      </c>
      <c r="BB161" s="65">
        <f t="shared" ref="BB161:BB165" si="340">SUM(BC161:BE161)</f>
        <v>0</v>
      </c>
      <c r="BC161" s="65">
        <v>0</v>
      </c>
      <c r="BD161" s="65">
        <v>0</v>
      </c>
      <c r="BE161" s="65">
        <v>0</v>
      </c>
      <c r="BF161" s="65">
        <f t="shared" ref="BF161:BF165" si="341">SUM(BG161:BI161)</f>
        <v>0</v>
      </c>
      <c r="BG161" s="65">
        <v>0</v>
      </c>
      <c r="BH161" s="65">
        <v>0</v>
      </c>
      <c r="BI161" s="65">
        <v>0</v>
      </c>
      <c r="BJ161" s="65">
        <v>0</v>
      </c>
      <c r="BK161" s="65">
        <v>0</v>
      </c>
      <c r="BL161" s="65">
        <f t="shared" si="331"/>
        <v>0</v>
      </c>
      <c r="BM161" s="65">
        <v>0</v>
      </c>
      <c r="BN161" s="65">
        <v>0</v>
      </c>
      <c r="BO161" s="65">
        <f t="shared" ref="BO161:BO165" si="342">SUM(BP161:BZ161)</f>
        <v>451826</v>
      </c>
      <c r="BP161" s="65">
        <v>0</v>
      </c>
      <c r="BQ161" s="65">
        <v>0</v>
      </c>
      <c r="BR161" s="66">
        <f>507504-55678</f>
        <v>451826</v>
      </c>
      <c r="BS161" s="65">
        <v>0</v>
      </c>
      <c r="BT161" s="65">
        <v>0</v>
      </c>
      <c r="BU161" s="65">
        <v>0</v>
      </c>
      <c r="BV161" s="65">
        <v>0</v>
      </c>
      <c r="BW161" s="65">
        <v>0</v>
      </c>
      <c r="BX161" s="65">
        <v>0</v>
      </c>
      <c r="BY161" s="65">
        <v>0</v>
      </c>
      <c r="BZ161" s="65">
        <v>0</v>
      </c>
      <c r="CA161" s="65">
        <f>SUM(CB161+CN161)</f>
        <v>0</v>
      </c>
      <c r="CB161" s="65">
        <f>SUM(CC161+CF161+CK161)</f>
        <v>0</v>
      </c>
      <c r="CC161" s="65">
        <f t="shared" si="332"/>
        <v>0</v>
      </c>
      <c r="CD161" s="65">
        <v>0</v>
      </c>
      <c r="CE161" s="66"/>
      <c r="CF161" s="65">
        <f>SUM(CG161:CJ161)</f>
        <v>0</v>
      </c>
      <c r="CG161" s="65">
        <v>0</v>
      </c>
      <c r="CH161" s="65">
        <v>0</v>
      </c>
      <c r="CI161" s="65">
        <v>0</v>
      </c>
      <c r="CJ161" s="65">
        <v>0</v>
      </c>
      <c r="CK161" s="65">
        <f>SUM(CL161:CM161)</f>
        <v>0</v>
      </c>
      <c r="CL161" s="65">
        <v>0</v>
      </c>
      <c r="CM161" s="65">
        <v>0</v>
      </c>
      <c r="CN161" s="65">
        <v>0</v>
      </c>
      <c r="CO161" s="65"/>
      <c r="CP161" s="65"/>
      <c r="CQ161" s="65"/>
      <c r="CR161" s="65"/>
      <c r="GP161" s="82"/>
    </row>
    <row r="162" spans="1:198" s="68" customFormat="1" ht="15.6" x14ac:dyDescent="0.3">
      <c r="A162" s="92" t="s">
        <v>1</v>
      </c>
      <c r="B162" s="62" t="s">
        <v>64</v>
      </c>
      <c r="C162" s="63" t="s">
        <v>217</v>
      </c>
      <c r="D162" s="65">
        <f t="shared" si="337"/>
        <v>4824875</v>
      </c>
      <c r="E162" s="65">
        <f>SUM(F162+BA162)</f>
        <v>4731403</v>
      </c>
      <c r="F162" s="65">
        <f t="shared" si="338"/>
        <v>4731403</v>
      </c>
      <c r="G162" s="66">
        <v>3172068</v>
      </c>
      <c r="H162" s="66">
        <v>739523</v>
      </c>
      <c r="I162" s="65">
        <f>SUM(J162:O162)</f>
        <v>495332</v>
      </c>
      <c r="J162" s="66">
        <v>9000</v>
      </c>
      <c r="K162" s="66">
        <f>70000-70000</f>
        <v>0</v>
      </c>
      <c r="L162" s="66">
        <v>0</v>
      </c>
      <c r="M162" s="66">
        <v>0</v>
      </c>
      <c r="N162" s="66">
        <f>355046-579</f>
        <v>354467</v>
      </c>
      <c r="O162" s="66">
        <f>163730-31865</f>
        <v>131865</v>
      </c>
      <c r="P162" s="65">
        <f>SUM(Q162:R162)</f>
        <v>0</v>
      </c>
      <c r="Q162" s="66"/>
      <c r="R162" s="66"/>
      <c r="S162" s="66"/>
      <c r="T162" s="66">
        <f>17015-1500</f>
        <v>15515</v>
      </c>
      <c r="U162" s="65">
        <f t="shared" si="339"/>
        <v>229343</v>
      </c>
      <c r="V162" s="66">
        <v>0</v>
      </c>
      <c r="W162" s="66">
        <f>89093+53907</f>
        <v>143000</v>
      </c>
      <c r="X162" s="66">
        <f>30470+51183</f>
        <v>81653</v>
      </c>
      <c r="Y162" s="66">
        <f>3658+1032</f>
        <v>4690</v>
      </c>
      <c r="Z162" s="66">
        <v>0</v>
      </c>
      <c r="AA162" s="66">
        <v>0</v>
      </c>
      <c r="AB162" s="66">
        <v>0</v>
      </c>
      <c r="AC162" s="66">
        <v>0</v>
      </c>
      <c r="AD162" s="66">
        <v>0</v>
      </c>
      <c r="AE162" s="65">
        <f>SUM(AF162:AZ162)</f>
        <v>79622</v>
      </c>
      <c r="AF162" s="65">
        <v>0</v>
      </c>
      <c r="AG162" s="65">
        <v>0</v>
      </c>
      <c r="AH162" s="66">
        <v>0</v>
      </c>
      <c r="AI162" s="66"/>
      <c r="AJ162" s="66">
        <v>0</v>
      </c>
      <c r="AK162" s="66">
        <v>0</v>
      </c>
      <c r="AL162" s="66">
        <v>0</v>
      </c>
      <c r="AM162" s="66">
        <f>430-215</f>
        <v>215</v>
      </c>
      <c r="AN162" s="66">
        <f>2414-1207</f>
        <v>1207</v>
      </c>
      <c r="AO162" s="66">
        <v>0</v>
      </c>
      <c r="AP162" s="66">
        <v>0</v>
      </c>
      <c r="AQ162" s="66">
        <v>0</v>
      </c>
      <c r="AR162" s="66">
        <f>65023-44323</f>
        <v>20700</v>
      </c>
      <c r="AS162" s="66">
        <v>0</v>
      </c>
      <c r="AT162" s="66">
        <v>0</v>
      </c>
      <c r="AU162" s="66">
        <v>0</v>
      </c>
      <c r="AV162" s="66">
        <v>0</v>
      </c>
      <c r="AW162" s="66">
        <v>0</v>
      </c>
      <c r="AX162" s="66">
        <v>0</v>
      </c>
      <c r="AY162" s="66">
        <v>0</v>
      </c>
      <c r="AZ162" s="66">
        <f>115000-57500</f>
        <v>57500</v>
      </c>
      <c r="BA162" s="65">
        <f>SUM(BB162+BF162+BJ162+BL162+BO162)</f>
        <v>0</v>
      </c>
      <c r="BB162" s="65">
        <f t="shared" si="340"/>
        <v>0</v>
      </c>
      <c r="BC162" s="65">
        <v>0</v>
      </c>
      <c r="BD162" s="65">
        <v>0</v>
      </c>
      <c r="BE162" s="65">
        <v>0</v>
      </c>
      <c r="BF162" s="65">
        <f t="shared" si="341"/>
        <v>0</v>
      </c>
      <c r="BG162" s="65">
        <v>0</v>
      </c>
      <c r="BH162" s="65">
        <v>0</v>
      </c>
      <c r="BI162" s="65">
        <v>0</v>
      </c>
      <c r="BJ162" s="65">
        <v>0</v>
      </c>
      <c r="BK162" s="65">
        <v>0</v>
      </c>
      <c r="BL162" s="65">
        <f>SUM(BM162)</f>
        <v>0</v>
      </c>
      <c r="BM162" s="65">
        <v>0</v>
      </c>
      <c r="BN162" s="65">
        <v>0</v>
      </c>
      <c r="BO162" s="65">
        <f t="shared" si="342"/>
        <v>0</v>
      </c>
      <c r="BP162" s="65">
        <v>0</v>
      </c>
      <c r="BQ162" s="65">
        <v>0</v>
      </c>
      <c r="BR162" s="65">
        <v>0</v>
      </c>
      <c r="BS162" s="65">
        <v>0</v>
      </c>
      <c r="BT162" s="65">
        <v>0</v>
      </c>
      <c r="BU162" s="65">
        <v>0</v>
      </c>
      <c r="BV162" s="65">
        <v>0</v>
      </c>
      <c r="BW162" s="65">
        <v>0</v>
      </c>
      <c r="BX162" s="65">
        <v>0</v>
      </c>
      <c r="BY162" s="65">
        <v>0</v>
      </c>
      <c r="BZ162" s="65">
        <v>0</v>
      </c>
      <c r="CA162" s="65">
        <f>SUM(CB162+CN162)</f>
        <v>93472</v>
      </c>
      <c r="CB162" s="65">
        <f>SUM(CC162+CF162+CK162)</f>
        <v>93472</v>
      </c>
      <c r="CC162" s="65">
        <f>SUM(CD162:CE162)</f>
        <v>93472</v>
      </c>
      <c r="CD162" s="65">
        <v>0</v>
      </c>
      <c r="CE162" s="66">
        <f>468381-374909</f>
        <v>93472</v>
      </c>
      <c r="CF162" s="65">
        <f>SUM(CG162:CJ162)</f>
        <v>0</v>
      </c>
      <c r="CG162" s="65">
        <v>0</v>
      </c>
      <c r="CH162" s="65">
        <v>0</v>
      </c>
      <c r="CI162" s="65">
        <v>0</v>
      </c>
      <c r="CJ162" s="65">
        <v>0</v>
      </c>
      <c r="CK162" s="65">
        <f>SUM(CL162:CM162)</f>
        <v>0</v>
      </c>
      <c r="CL162" s="65">
        <v>0</v>
      </c>
      <c r="CM162" s="65">
        <v>0</v>
      </c>
      <c r="CN162" s="65">
        <v>0</v>
      </c>
      <c r="CO162" s="65"/>
      <c r="CP162" s="65"/>
      <c r="CQ162" s="65"/>
      <c r="CR162" s="65"/>
      <c r="GP162" s="44"/>
    </row>
    <row r="163" spans="1:198" s="68" customFormat="1" ht="15.6" x14ac:dyDescent="0.3">
      <c r="A163" s="92" t="s">
        <v>1</v>
      </c>
      <c r="B163" s="62" t="s">
        <v>64</v>
      </c>
      <c r="C163" s="63" t="s">
        <v>218</v>
      </c>
      <c r="D163" s="65">
        <f t="shared" si="337"/>
        <v>2899636</v>
      </c>
      <c r="E163" s="65">
        <f>SUM(F163+BA163)</f>
        <v>2899636</v>
      </c>
      <c r="F163" s="65">
        <f t="shared" si="338"/>
        <v>2899636</v>
      </c>
      <c r="G163" s="66">
        <v>2244413</v>
      </c>
      <c r="H163" s="66">
        <v>523830</v>
      </c>
      <c r="I163" s="65">
        <f t="shared" si="327"/>
        <v>15919</v>
      </c>
      <c r="J163" s="66">
        <v>8702</v>
      </c>
      <c r="K163" s="66">
        <v>0</v>
      </c>
      <c r="L163" s="66">
        <v>0</v>
      </c>
      <c r="M163" s="66">
        <v>0</v>
      </c>
      <c r="N163" s="66">
        <v>0</v>
      </c>
      <c r="O163" s="66">
        <f>14434-7217</f>
        <v>7217</v>
      </c>
      <c r="P163" s="65">
        <f t="shared" si="328"/>
        <v>0</v>
      </c>
      <c r="Q163" s="66"/>
      <c r="R163" s="66"/>
      <c r="S163" s="66"/>
      <c r="T163" s="66">
        <v>5474</v>
      </c>
      <c r="U163" s="65">
        <f t="shared" si="339"/>
        <v>0</v>
      </c>
      <c r="V163" s="66">
        <v>0</v>
      </c>
      <c r="W163" s="66">
        <v>0</v>
      </c>
      <c r="X163" s="66">
        <v>0</v>
      </c>
      <c r="Y163" s="66">
        <v>0</v>
      </c>
      <c r="Z163" s="66">
        <v>0</v>
      </c>
      <c r="AA163" s="66">
        <v>0</v>
      </c>
      <c r="AB163" s="66">
        <v>0</v>
      </c>
      <c r="AC163" s="66">
        <v>0</v>
      </c>
      <c r="AD163" s="66">
        <v>0</v>
      </c>
      <c r="AE163" s="65">
        <f>SUM(AF163:AZ163)</f>
        <v>110000</v>
      </c>
      <c r="AF163" s="65">
        <v>0</v>
      </c>
      <c r="AG163" s="65">
        <v>0</v>
      </c>
      <c r="AH163" s="66"/>
      <c r="AI163" s="66">
        <v>0</v>
      </c>
      <c r="AJ163" s="66">
        <v>0</v>
      </c>
      <c r="AK163" s="66">
        <v>0</v>
      </c>
      <c r="AL163" s="66">
        <v>0</v>
      </c>
      <c r="AM163" s="66">
        <v>0</v>
      </c>
      <c r="AN163" s="66">
        <v>0</v>
      </c>
      <c r="AO163" s="66">
        <v>0</v>
      </c>
      <c r="AP163" s="66">
        <v>0</v>
      </c>
      <c r="AQ163" s="66">
        <v>0</v>
      </c>
      <c r="AR163" s="66">
        <v>0</v>
      </c>
      <c r="AS163" s="66">
        <v>0</v>
      </c>
      <c r="AT163" s="66">
        <v>0</v>
      </c>
      <c r="AU163" s="66">
        <v>0</v>
      </c>
      <c r="AV163" s="66">
        <v>0</v>
      </c>
      <c r="AW163" s="66">
        <v>0</v>
      </c>
      <c r="AX163" s="66">
        <v>0</v>
      </c>
      <c r="AY163" s="66">
        <v>0</v>
      </c>
      <c r="AZ163" s="66">
        <f>220000-110000</f>
        <v>110000</v>
      </c>
      <c r="BA163" s="65">
        <f>SUM(BB163+BF163+BJ163+BL163+BO163)</f>
        <v>0</v>
      </c>
      <c r="BB163" s="65">
        <f t="shared" si="340"/>
        <v>0</v>
      </c>
      <c r="BC163" s="65">
        <v>0</v>
      </c>
      <c r="BD163" s="65">
        <v>0</v>
      </c>
      <c r="BE163" s="65">
        <v>0</v>
      </c>
      <c r="BF163" s="65">
        <f t="shared" si="341"/>
        <v>0</v>
      </c>
      <c r="BG163" s="65">
        <v>0</v>
      </c>
      <c r="BH163" s="65">
        <v>0</v>
      </c>
      <c r="BI163" s="65">
        <v>0</v>
      </c>
      <c r="BJ163" s="65">
        <v>0</v>
      </c>
      <c r="BK163" s="65">
        <v>0</v>
      </c>
      <c r="BL163" s="65">
        <f t="shared" si="331"/>
        <v>0</v>
      </c>
      <c r="BM163" s="65">
        <v>0</v>
      </c>
      <c r="BN163" s="65">
        <v>0</v>
      </c>
      <c r="BO163" s="65">
        <f t="shared" si="342"/>
        <v>0</v>
      </c>
      <c r="BP163" s="65">
        <v>0</v>
      </c>
      <c r="BQ163" s="65">
        <v>0</v>
      </c>
      <c r="BR163" s="65">
        <v>0</v>
      </c>
      <c r="BS163" s="65">
        <v>0</v>
      </c>
      <c r="BT163" s="65">
        <v>0</v>
      </c>
      <c r="BU163" s="65">
        <v>0</v>
      </c>
      <c r="BV163" s="65">
        <v>0</v>
      </c>
      <c r="BW163" s="65">
        <v>0</v>
      </c>
      <c r="BX163" s="65">
        <v>0</v>
      </c>
      <c r="BY163" s="65">
        <v>0</v>
      </c>
      <c r="BZ163" s="65">
        <v>0</v>
      </c>
      <c r="CA163" s="65">
        <f>SUM(CB163+CN163)</f>
        <v>0</v>
      </c>
      <c r="CB163" s="65">
        <f>SUM(CC163+CF163+CK163)</f>
        <v>0</v>
      </c>
      <c r="CC163" s="65">
        <f t="shared" si="332"/>
        <v>0</v>
      </c>
      <c r="CD163" s="65">
        <v>0</v>
      </c>
      <c r="CE163" s="66">
        <v>0</v>
      </c>
      <c r="CF163" s="65">
        <f>SUM(CG163:CJ163)</f>
        <v>0</v>
      </c>
      <c r="CG163" s="65">
        <v>0</v>
      </c>
      <c r="CH163" s="65">
        <v>0</v>
      </c>
      <c r="CI163" s="65">
        <v>0</v>
      </c>
      <c r="CJ163" s="65">
        <v>0</v>
      </c>
      <c r="CK163" s="65">
        <f>SUM(CL163:CM163)</f>
        <v>0</v>
      </c>
      <c r="CL163" s="65">
        <v>0</v>
      </c>
      <c r="CM163" s="65">
        <v>0</v>
      </c>
      <c r="CN163" s="65">
        <v>0</v>
      </c>
      <c r="CO163" s="65"/>
      <c r="CP163" s="65"/>
      <c r="CQ163" s="65"/>
      <c r="CR163" s="65"/>
      <c r="GP163" s="44"/>
    </row>
    <row r="164" spans="1:198" s="52" customFormat="1" ht="15.6" x14ac:dyDescent="0.3">
      <c r="A164" s="90" t="s">
        <v>1</v>
      </c>
      <c r="B164" s="19" t="s">
        <v>66</v>
      </c>
      <c r="C164" s="20" t="s">
        <v>433</v>
      </c>
      <c r="D164" s="18">
        <f t="shared" si="337"/>
        <v>269292</v>
      </c>
      <c r="E164" s="18">
        <f>SUM(F164+BA164)</f>
        <v>266389</v>
      </c>
      <c r="F164" s="18">
        <f t="shared" si="338"/>
        <v>266389</v>
      </c>
      <c r="G164" s="21">
        <v>210616</v>
      </c>
      <c r="H164" s="21">
        <v>52655</v>
      </c>
      <c r="I164" s="18">
        <f>SUM(J164:O164)</f>
        <v>3118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f>6237-3119</f>
        <v>3118</v>
      </c>
      <c r="P164" s="18">
        <f>SUM(Q164:R164)</f>
        <v>0</v>
      </c>
      <c r="Q164" s="21">
        <v>0</v>
      </c>
      <c r="R164" s="21">
        <v>0</v>
      </c>
      <c r="S164" s="21">
        <v>0</v>
      </c>
      <c r="T164" s="21">
        <v>0</v>
      </c>
      <c r="U164" s="18">
        <f t="shared" si="339"/>
        <v>0</v>
      </c>
      <c r="V164" s="21">
        <v>0</v>
      </c>
      <c r="W164" s="21">
        <v>0</v>
      </c>
      <c r="X164" s="21">
        <v>0</v>
      </c>
      <c r="Y164" s="21">
        <v>0</v>
      </c>
      <c r="Z164" s="21">
        <v>0</v>
      </c>
      <c r="AA164" s="21">
        <v>0</v>
      </c>
      <c r="AB164" s="21">
        <v>0</v>
      </c>
      <c r="AC164" s="21">
        <v>0</v>
      </c>
      <c r="AD164" s="21">
        <v>0</v>
      </c>
      <c r="AE164" s="18">
        <f>SUM(AF164:AZ164)</f>
        <v>0</v>
      </c>
      <c r="AF164" s="18">
        <v>0</v>
      </c>
      <c r="AG164" s="18">
        <v>0</v>
      </c>
      <c r="AH164" s="21">
        <v>0</v>
      </c>
      <c r="AI164" s="21">
        <v>0</v>
      </c>
      <c r="AJ164" s="21">
        <v>0</v>
      </c>
      <c r="AK164" s="21">
        <v>0</v>
      </c>
      <c r="AL164" s="21">
        <v>0</v>
      </c>
      <c r="AM164" s="21">
        <v>0</v>
      </c>
      <c r="AN164" s="21">
        <v>0</v>
      </c>
      <c r="AO164" s="21">
        <v>0</v>
      </c>
      <c r="AP164" s="21">
        <v>0</v>
      </c>
      <c r="AQ164" s="21">
        <v>0</v>
      </c>
      <c r="AR164" s="21">
        <v>0</v>
      </c>
      <c r="AS164" s="21">
        <v>0</v>
      </c>
      <c r="AT164" s="21">
        <v>0</v>
      </c>
      <c r="AU164" s="21">
        <v>0</v>
      </c>
      <c r="AV164" s="21">
        <v>0</v>
      </c>
      <c r="AW164" s="21">
        <v>0</v>
      </c>
      <c r="AX164" s="21">
        <v>0</v>
      </c>
      <c r="AY164" s="21">
        <v>0</v>
      </c>
      <c r="AZ164" s="21">
        <v>0</v>
      </c>
      <c r="BA164" s="18">
        <f>SUM(BB164+BF164+BJ164+BL164+BO164)</f>
        <v>0</v>
      </c>
      <c r="BB164" s="18">
        <f>SUM(BC164:BE164)</f>
        <v>0</v>
      </c>
      <c r="BC164" s="18">
        <v>0</v>
      </c>
      <c r="BD164" s="18">
        <v>0</v>
      </c>
      <c r="BE164" s="18">
        <v>0</v>
      </c>
      <c r="BF164" s="18">
        <f t="shared" si="341"/>
        <v>0</v>
      </c>
      <c r="BG164" s="18">
        <v>0</v>
      </c>
      <c r="BH164" s="18">
        <v>0</v>
      </c>
      <c r="BI164" s="18">
        <v>0</v>
      </c>
      <c r="BJ164" s="18">
        <v>0</v>
      </c>
      <c r="BK164" s="18">
        <v>0</v>
      </c>
      <c r="BL164" s="18">
        <f>SUM(BM164)</f>
        <v>0</v>
      </c>
      <c r="BM164" s="18">
        <v>0</v>
      </c>
      <c r="BN164" s="18">
        <v>0</v>
      </c>
      <c r="BO164" s="18">
        <f t="shared" si="342"/>
        <v>0</v>
      </c>
      <c r="BP164" s="18">
        <v>0</v>
      </c>
      <c r="BQ164" s="18">
        <v>0</v>
      </c>
      <c r="BR164" s="18">
        <v>0</v>
      </c>
      <c r="BS164" s="18">
        <v>0</v>
      </c>
      <c r="BT164" s="18">
        <v>0</v>
      </c>
      <c r="BU164" s="18">
        <v>0</v>
      </c>
      <c r="BV164" s="18">
        <v>0</v>
      </c>
      <c r="BW164" s="18">
        <v>0</v>
      </c>
      <c r="BX164" s="18">
        <v>0</v>
      </c>
      <c r="BY164" s="18">
        <v>0</v>
      </c>
      <c r="BZ164" s="18">
        <v>0</v>
      </c>
      <c r="CA164" s="18">
        <f>SUM(CB164+CN164)</f>
        <v>2903</v>
      </c>
      <c r="CB164" s="18">
        <f>SUM(CC164+CF164+CK164)</f>
        <v>2903</v>
      </c>
      <c r="CC164" s="18">
        <f>SUM(CD164:CE164)</f>
        <v>2903</v>
      </c>
      <c r="CD164" s="18">
        <v>0</v>
      </c>
      <c r="CE164" s="21">
        <f>14514-11611</f>
        <v>2903</v>
      </c>
      <c r="CF164" s="18">
        <f>SUM(CG164:CJ164)</f>
        <v>0</v>
      </c>
      <c r="CG164" s="18">
        <v>0</v>
      </c>
      <c r="CH164" s="18">
        <v>0</v>
      </c>
      <c r="CI164" s="18">
        <v>0</v>
      </c>
      <c r="CJ164" s="18">
        <v>0</v>
      </c>
      <c r="CK164" s="18">
        <f>SUM(CL164:CM164)</f>
        <v>0</v>
      </c>
      <c r="CL164" s="18">
        <v>0</v>
      </c>
      <c r="CM164" s="18">
        <v>0</v>
      </c>
      <c r="CN164" s="18">
        <v>0</v>
      </c>
      <c r="CO164" s="65"/>
      <c r="CP164" s="65"/>
      <c r="CQ164" s="65"/>
      <c r="CR164" s="65"/>
      <c r="CS164" s="46"/>
      <c r="GP164" s="68"/>
    </row>
    <row r="165" spans="1:198" s="52" customFormat="1" ht="31.2" x14ac:dyDescent="0.3">
      <c r="A165" s="90" t="s">
        <v>1</v>
      </c>
      <c r="B165" s="19" t="s">
        <v>66</v>
      </c>
      <c r="C165" s="20" t="s">
        <v>465</v>
      </c>
      <c r="D165" s="18">
        <f t="shared" si="337"/>
        <v>273851</v>
      </c>
      <c r="E165" s="18">
        <f>SUM(F165+BA165)</f>
        <v>273851</v>
      </c>
      <c r="F165" s="18">
        <f t="shared" si="338"/>
        <v>273851</v>
      </c>
      <c r="G165" s="21">
        <v>0</v>
      </c>
      <c r="H165" s="21">
        <v>0</v>
      </c>
      <c r="I165" s="18">
        <f t="shared" ref="I165" si="343">SUM(J165:O165)</f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18">
        <f t="shared" ref="P165" si="344">SUM(Q165:R165)</f>
        <v>0</v>
      </c>
      <c r="Q165" s="21">
        <v>0</v>
      </c>
      <c r="R165" s="21">
        <v>0</v>
      </c>
      <c r="S165" s="21">
        <v>0</v>
      </c>
      <c r="T165" s="21">
        <v>0</v>
      </c>
      <c r="U165" s="18">
        <f t="shared" si="339"/>
        <v>0</v>
      </c>
      <c r="V165" s="21">
        <v>0</v>
      </c>
      <c r="W165" s="21">
        <v>0</v>
      </c>
      <c r="X165" s="21">
        <v>0</v>
      </c>
      <c r="Y165" s="21">
        <v>0</v>
      </c>
      <c r="Z165" s="21">
        <v>0</v>
      </c>
      <c r="AA165" s="21">
        <v>0</v>
      </c>
      <c r="AB165" s="21">
        <v>0</v>
      </c>
      <c r="AC165" s="21">
        <v>0</v>
      </c>
      <c r="AD165" s="21">
        <v>0</v>
      </c>
      <c r="AE165" s="18">
        <f>SUM(AF165:AZ165)</f>
        <v>273851</v>
      </c>
      <c r="AF165" s="18">
        <v>0</v>
      </c>
      <c r="AG165" s="18">
        <v>0</v>
      </c>
      <c r="AH165" s="21">
        <v>0</v>
      </c>
      <c r="AI165" s="21">
        <v>0</v>
      </c>
      <c r="AJ165" s="21">
        <v>0</v>
      </c>
      <c r="AK165" s="21">
        <v>0</v>
      </c>
      <c r="AL165" s="21">
        <v>0</v>
      </c>
      <c r="AM165" s="21">
        <v>0</v>
      </c>
      <c r="AN165" s="21">
        <v>0</v>
      </c>
      <c r="AO165" s="21">
        <v>0</v>
      </c>
      <c r="AP165" s="21">
        <v>0</v>
      </c>
      <c r="AQ165" s="21">
        <v>0</v>
      </c>
      <c r="AR165" s="21">
        <v>0</v>
      </c>
      <c r="AS165" s="21">
        <v>0</v>
      </c>
      <c r="AT165" s="21">
        <v>0</v>
      </c>
      <c r="AU165" s="21">
        <v>0</v>
      </c>
      <c r="AV165" s="21">
        <v>0</v>
      </c>
      <c r="AW165" s="21">
        <v>0</v>
      </c>
      <c r="AX165" s="21">
        <v>0</v>
      </c>
      <c r="AY165" s="21">
        <v>0</v>
      </c>
      <c r="AZ165" s="21">
        <f>547703-273852</f>
        <v>273851</v>
      </c>
      <c r="BA165" s="18">
        <f>SUM(BB165+BF165+BJ165+BL165+BO165)</f>
        <v>0</v>
      </c>
      <c r="BB165" s="18">
        <f t="shared" si="340"/>
        <v>0</v>
      </c>
      <c r="BC165" s="18">
        <v>0</v>
      </c>
      <c r="BD165" s="18">
        <v>0</v>
      </c>
      <c r="BE165" s="18">
        <v>0</v>
      </c>
      <c r="BF165" s="18">
        <f t="shared" si="341"/>
        <v>0</v>
      </c>
      <c r="BG165" s="18">
        <v>0</v>
      </c>
      <c r="BH165" s="18">
        <v>0</v>
      </c>
      <c r="BI165" s="18">
        <v>0</v>
      </c>
      <c r="BJ165" s="18">
        <v>0</v>
      </c>
      <c r="BK165" s="18">
        <v>0</v>
      </c>
      <c r="BL165" s="18">
        <f t="shared" ref="BL165" si="345">SUM(BM165)</f>
        <v>0</v>
      </c>
      <c r="BM165" s="18">
        <v>0</v>
      </c>
      <c r="BN165" s="18">
        <v>0</v>
      </c>
      <c r="BO165" s="18">
        <f t="shared" si="342"/>
        <v>0</v>
      </c>
      <c r="BP165" s="18">
        <v>0</v>
      </c>
      <c r="BQ165" s="18">
        <v>0</v>
      </c>
      <c r="BR165" s="18">
        <v>0</v>
      </c>
      <c r="BS165" s="18">
        <v>0</v>
      </c>
      <c r="BT165" s="18">
        <v>0</v>
      </c>
      <c r="BU165" s="18">
        <v>0</v>
      </c>
      <c r="BV165" s="18">
        <v>0</v>
      </c>
      <c r="BW165" s="18">
        <v>0</v>
      </c>
      <c r="BX165" s="18">
        <v>0</v>
      </c>
      <c r="BY165" s="18">
        <v>0</v>
      </c>
      <c r="BZ165" s="18">
        <v>0</v>
      </c>
      <c r="CA165" s="18">
        <f>SUM(CB165+CN165)</f>
        <v>0</v>
      </c>
      <c r="CB165" s="18">
        <f>SUM(CC165+CF165+CK165)</f>
        <v>0</v>
      </c>
      <c r="CC165" s="18">
        <f t="shared" ref="CC165" si="346">SUM(CD165:CE165)</f>
        <v>0</v>
      </c>
      <c r="CD165" s="18">
        <v>0</v>
      </c>
      <c r="CE165" s="21">
        <v>0</v>
      </c>
      <c r="CF165" s="18">
        <f>SUM(CG165:CJ165)</f>
        <v>0</v>
      </c>
      <c r="CG165" s="18">
        <v>0</v>
      </c>
      <c r="CH165" s="18">
        <v>0</v>
      </c>
      <c r="CI165" s="18">
        <v>0</v>
      </c>
      <c r="CJ165" s="18">
        <v>0</v>
      </c>
      <c r="CK165" s="18">
        <f>SUM(CL165:CM165)</f>
        <v>0</v>
      </c>
      <c r="CL165" s="18">
        <v>0</v>
      </c>
      <c r="CM165" s="18">
        <v>0</v>
      </c>
      <c r="CN165" s="18">
        <v>0</v>
      </c>
      <c r="CO165" s="65"/>
      <c r="CP165" s="65"/>
      <c r="CQ165" s="65"/>
      <c r="CR165" s="65"/>
      <c r="CS165" s="46"/>
      <c r="GP165" s="68"/>
    </row>
    <row r="166" spans="1:198" ht="20.399999999999999" customHeight="1" x14ac:dyDescent="0.3">
      <c r="A166" s="91" t="s">
        <v>1</v>
      </c>
      <c r="B166" s="23" t="s">
        <v>1</v>
      </c>
      <c r="C166" s="24" t="s">
        <v>219</v>
      </c>
      <c r="D166" s="25">
        <f t="shared" ref="D166:F166" si="347">SUM(D167+D170+D173)</f>
        <v>43172852</v>
      </c>
      <c r="E166" s="25">
        <f t="shared" si="347"/>
        <v>43015772</v>
      </c>
      <c r="F166" s="25">
        <f t="shared" si="347"/>
        <v>43015772</v>
      </c>
      <c r="G166" s="25">
        <f>SUM(G167+G170+G173)</f>
        <v>28022069</v>
      </c>
      <c r="H166" s="25">
        <f t="shared" ref="H166:BU166" si="348">SUM(H167+H170+H173)</f>
        <v>6776312</v>
      </c>
      <c r="I166" s="25">
        <f t="shared" si="348"/>
        <v>598087</v>
      </c>
      <c r="J166" s="25">
        <f t="shared" si="348"/>
        <v>0</v>
      </c>
      <c r="K166" s="25">
        <f t="shared" si="348"/>
        <v>0</v>
      </c>
      <c r="L166" s="25">
        <f t="shared" si="348"/>
        <v>0</v>
      </c>
      <c r="M166" s="25">
        <f t="shared" si="348"/>
        <v>0</v>
      </c>
      <c r="N166" s="25">
        <f t="shared" si="348"/>
        <v>589087</v>
      </c>
      <c r="O166" s="25">
        <f t="shared" si="348"/>
        <v>9000</v>
      </c>
      <c r="P166" s="25">
        <f t="shared" si="348"/>
        <v>0</v>
      </c>
      <c r="Q166" s="25">
        <f t="shared" si="348"/>
        <v>0</v>
      </c>
      <c r="R166" s="25">
        <f t="shared" si="348"/>
        <v>0</v>
      </c>
      <c r="S166" s="25">
        <f t="shared" si="348"/>
        <v>0</v>
      </c>
      <c r="T166" s="25">
        <f t="shared" si="348"/>
        <v>148457</v>
      </c>
      <c r="U166" s="25">
        <f t="shared" si="348"/>
        <v>277266</v>
      </c>
      <c r="V166" s="25">
        <f t="shared" si="348"/>
        <v>1413</v>
      </c>
      <c r="W166" s="25">
        <f t="shared" si="348"/>
        <v>3292</v>
      </c>
      <c r="X166" s="25">
        <f t="shared" si="348"/>
        <v>195584</v>
      </c>
      <c r="Y166" s="25">
        <f t="shared" si="348"/>
        <v>309</v>
      </c>
      <c r="Z166" s="25">
        <f t="shared" si="348"/>
        <v>0</v>
      </c>
      <c r="AA166" s="25">
        <f t="shared" si="348"/>
        <v>76668</v>
      </c>
      <c r="AB166" s="25">
        <f t="shared" si="348"/>
        <v>0</v>
      </c>
      <c r="AC166" s="25">
        <f t="shared" si="348"/>
        <v>0</v>
      </c>
      <c r="AD166" s="25">
        <f t="shared" si="348"/>
        <v>0</v>
      </c>
      <c r="AE166" s="25">
        <f t="shared" si="348"/>
        <v>7193581</v>
      </c>
      <c r="AF166" s="25">
        <f t="shared" si="348"/>
        <v>0</v>
      </c>
      <c r="AG166" s="25">
        <f t="shared" si="348"/>
        <v>0</v>
      </c>
      <c r="AH166" s="25">
        <f t="shared" si="348"/>
        <v>0</v>
      </c>
      <c r="AI166" s="25">
        <f t="shared" si="348"/>
        <v>0</v>
      </c>
      <c r="AJ166" s="25">
        <f t="shared" si="348"/>
        <v>0</v>
      </c>
      <c r="AK166" s="25">
        <f t="shared" si="348"/>
        <v>0</v>
      </c>
      <c r="AL166" s="25">
        <f t="shared" si="348"/>
        <v>0</v>
      </c>
      <c r="AM166" s="25">
        <f t="shared" si="348"/>
        <v>0</v>
      </c>
      <c r="AN166" s="25">
        <f t="shared" si="348"/>
        <v>2050169</v>
      </c>
      <c r="AO166" s="25">
        <f t="shared" si="348"/>
        <v>0</v>
      </c>
      <c r="AP166" s="25">
        <f t="shared" si="348"/>
        <v>0</v>
      </c>
      <c r="AQ166" s="25">
        <f t="shared" si="348"/>
        <v>0</v>
      </c>
      <c r="AR166" s="25">
        <f t="shared" si="348"/>
        <v>47442</v>
      </c>
      <c r="AS166" s="25">
        <f t="shared" si="348"/>
        <v>0</v>
      </c>
      <c r="AT166" s="25">
        <f t="shared" si="348"/>
        <v>0</v>
      </c>
      <c r="AU166" s="25">
        <f t="shared" si="348"/>
        <v>0</v>
      </c>
      <c r="AV166" s="25">
        <f t="shared" si="348"/>
        <v>0</v>
      </c>
      <c r="AW166" s="25">
        <f t="shared" si="348"/>
        <v>0</v>
      </c>
      <c r="AX166" s="25">
        <f t="shared" si="348"/>
        <v>0</v>
      </c>
      <c r="AY166" s="25">
        <f t="shared" si="348"/>
        <v>0</v>
      </c>
      <c r="AZ166" s="25">
        <f t="shared" si="348"/>
        <v>5095970</v>
      </c>
      <c r="BA166" s="25">
        <f t="shared" si="348"/>
        <v>0</v>
      </c>
      <c r="BB166" s="25">
        <f t="shared" si="348"/>
        <v>0</v>
      </c>
      <c r="BC166" s="25">
        <f t="shared" si="348"/>
        <v>0</v>
      </c>
      <c r="BD166" s="25">
        <f t="shared" si="348"/>
        <v>0</v>
      </c>
      <c r="BE166" s="25">
        <f t="shared" si="348"/>
        <v>0</v>
      </c>
      <c r="BF166" s="25">
        <f t="shared" si="348"/>
        <v>0</v>
      </c>
      <c r="BG166" s="25">
        <f t="shared" si="348"/>
        <v>0</v>
      </c>
      <c r="BH166" s="25">
        <f t="shared" ref="BH166" si="349">SUM(BH167+BH170+BH173)</f>
        <v>0</v>
      </c>
      <c r="BI166" s="25">
        <f t="shared" si="348"/>
        <v>0</v>
      </c>
      <c r="BJ166" s="25">
        <f t="shared" si="348"/>
        <v>0</v>
      </c>
      <c r="BK166" s="25">
        <f t="shared" ref="BK166" si="350">SUM(BK167+BK170+BK173)</f>
        <v>0</v>
      </c>
      <c r="BL166" s="25">
        <f t="shared" si="348"/>
        <v>0</v>
      </c>
      <c r="BM166" s="25">
        <f t="shared" si="348"/>
        <v>0</v>
      </c>
      <c r="BN166" s="25">
        <f t="shared" si="348"/>
        <v>0</v>
      </c>
      <c r="BO166" s="25">
        <f t="shared" si="348"/>
        <v>0</v>
      </c>
      <c r="BP166" s="25">
        <f t="shared" si="348"/>
        <v>0</v>
      </c>
      <c r="BQ166" s="25">
        <f t="shared" si="348"/>
        <v>0</v>
      </c>
      <c r="BR166" s="25">
        <f t="shared" si="348"/>
        <v>0</v>
      </c>
      <c r="BS166" s="25">
        <f t="shared" si="348"/>
        <v>0</v>
      </c>
      <c r="BT166" s="25">
        <f t="shared" si="348"/>
        <v>0</v>
      </c>
      <c r="BU166" s="25">
        <f t="shared" si="348"/>
        <v>0</v>
      </c>
      <c r="BV166" s="25">
        <f t="shared" ref="BV166:CQ166" si="351">SUM(BV167+BV170+BV173)</f>
        <v>0</v>
      </c>
      <c r="BW166" s="25">
        <f t="shared" si="351"/>
        <v>0</v>
      </c>
      <c r="BX166" s="25">
        <f t="shared" si="351"/>
        <v>0</v>
      </c>
      <c r="BY166" s="25">
        <f t="shared" si="351"/>
        <v>0</v>
      </c>
      <c r="BZ166" s="25">
        <f t="shared" si="351"/>
        <v>0</v>
      </c>
      <c r="CA166" s="25">
        <f t="shared" si="351"/>
        <v>157080</v>
      </c>
      <c r="CB166" s="25">
        <f t="shared" si="351"/>
        <v>157080</v>
      </c>
      <c r="CC166" s="25">
        <f t="shared" si="351"/>
        <v>157080</v>
      </c>
      <c r="CD166" s="25">
        <f t="shared" si="351"/>
        <v>0</v>
      </c>
      <c r="CE166" s="25">
        <f t="shared" si="351"/>
        <v>157080</v>
      </c>
      <c r="CF166" s="25">
        <f t="shared" si="351"/>
        <v>0</v>
      </c>
      <c r="CG166" s="25">
        <f t="shared" si="351"/>
        <v>0</v>
      </c>
      <c r="CH166" s="25">
        <f t="shared" si="351"/>
        <v>0</v>
      </c>
      <c r="CI166" s="25">
        <f t="shared" si="351"/>
        <v>0</v>
      </c>
      <c r="CJ166" s="25">
        <f t="shared" si="351"/>
        <v>0</v>
      </c>
      <c r="CK166" s="25">
        <f t="shared" si="351"/>
        <v>0</v>
      </c>
      <c r="CL166" s="25">
        <f t="shared" si="351"/>
        <v>0</v>
      </c>
      <c r="CM166" s="25">
        <f t="shared" si="351"/>
        <v>0</v>
      </c>
      <c r="CN166" s="25">
        <f t="shared" si="351"/>
        <v>0</v>
      </c>
      <c r="CO166" s="25">
        <f t="shared" si="351"/>
        <v>0</v>
      </c>
      <c r="CP166" s="25">
        <f t="shared" si="351"/>
        <v>0</v>
      </c>
      <c r="CQ166" s="25">
        <f t="shared" si="351"/>
        <v>0</v>
      </c>
      <c r="CR166" s="25">
        <f t="shared" ref="CR166" si="352">SUM(CR167+CR170+CR173)</f>
        <v>0</v>
      </c>
      <c r="CS166" s="51"/>
      <c r="GP166" s="68"/>
    </row>
    <row r="167" spans="1:198" ht="15.6" x14ac:dyDescent="0.3">
      <c r="A167" s="89" t="s">
        <v>220</v>
      </c>
      <c r="B167" s="15" t="s">
        <v>1</v>
      </c>
      <c r="C167" s="16" t="s">
        <v>221</v>
      </c>
      <c r="D167" s="17">
        <f t="shared" ref="D167:AS167" si="353">SUM(D168:D169)</f>
        <v>33463599</v>
      </c>
      <c r="E167" s="17">
        <f t="shared" si="353"/>
        <v>33311187</v>
      </c>
      <c r="F167" s="17">
        <f t="shared" si="353"/>
        <v>33311187</v>
      </c>
      <c r="G167" s="17">
        <f t="shared" si="353"/>
        <v>21891484</v>
      </c>
      <c r="H167" s="17">
        <f t="shared" si="353"/>
        <v>5319449</v>
      </c>
      <c r="I167" s="17">
        <f t="shared" si="353"/>
        <v>566595</v>
      </c>
      <c r="J167" s="17">
        <f t="shared" si="353"/>
        <v>0</v>
      </c>
      <c r="K167" s="17">
        <f t="shared" si="353"/>
        <v>0</v>
      </c>
      <c r="L167" s="17">
        <f t="shared" si="353"/>
        <v>0</v>
      </c>
      <c r="M167" s="17">
        <f t="shared" si="353"/>
        <v>0</v>
      </c>
      <c r="N167" s="17">
        <f t="shared" si="353"/>
        <v>557595</v>
      </c>
      <c r="O167" s="17">
        <f t="shared" si="353"/>
        <v>9000</v>
      </c>
      <c r="P167" s="17">
        <f t="shared" si="353"/>
        <v>0</v>
      </c>
      <c r="Q167" s="17">
        <f t="shared" si="353"/>
        <v>0</v>
      </c>
      <c r="R167" s="17">
        <f t="shared" si="353"/>
        <v>0</v>
      </c>
      <c r="S167" s="17">
        <f t="shared" si="353"/>
        <v>0</v>
      </c>
      <c r="T167" s="17">
        <f t="shared" si="353"/>
        <v>121587</v>
      </c>
      <c r="U167" s="17">
        <f t="shared" si="353"/>
        <v>268660</v>
      </c>
      <c r="V167" s="17">
        <f t="shared" si="353"/>
        <v>0</v>
      </c>
      <c r="W167" s="17">
        <f t="shared" si="353"/>
        <v>0</v>
      </c>
      <c r="X167" s="17">
        <f t="shared" si="353"/>
        <v>191992</v>
      </c>
      <c r="Y167" s="17">
        <f t="shared" si="353"/>
        <v>0</v>
      </c>
      <c r="Z167" s="17">
        <f t="shared" si="353"/>
        <v>0</v>
      </c>
      <c r="AA167" s="17">
        <f t="shared" si="353"/>
        <v>76668</v>
      </c>
      <c r="AB167" s="17">
        <f t="shared" si="353"/>
        <v>0</v>
      </c>
      <c r="AC167" s="17">
        <f t="shared" si="353"/>
        <v>0</v>
      </c>
      <c r="AD167" s="17">
        <f t="shared" si="353"/>
        <v>0</v>
      </c>
      <c r="AE167" s="17">
        <f t="shared" si="353"/>
        <v>5143412</v>
      </c>
      <c r="AF167" s="17">
        <f t="shared" si="353"/>
        <v>0</v>
      </c>
      <c r="AG167" s="17">
        <f t="shared" si="353"/>
        <v>0</v>
      </c>
      <c r="AH167" s="17">
        <f t="shared" si="353"/>
        <v>0</v>
      </c>
      <c r="AI167" s="17">
        <f t="shared" si="353"/>
        <v>0</v>
      </c>
      <c r="AJ167" s="17">
        <f t="shared" si="353"/>
        <v>0</v>
      </c>
      <c r="AK167" s="17">
        <f t="shared" si="353"/>
        <v>0</v>
      </c>
      <c r="AL167" s="17">
        <f t="shared" si="353"/>
        <v>0</v>
      </c>
      <c r="AM167" s="17">
        <f t="shared" si="353"/>
        <v>0</v>
      </c>
      <c r="AN167" s="17">
        <f t="shared" si="353"/>
        <v>0</v>
      </c>
      <c r="AO167" s="17">
        <f t="shared" si="353"/>
        <v>0</v>
      </c>
      <c r="AP167" s="17">
        <f t="shared" si="353"/>
        <v>0</v>
      </c>
      <c r="AQ167" s="17">
        <f t="shared" si="353"/>
        <v>0</v>
      </c>
      <c r="AR167" s="17">
        <f t="shared" si="353"/>
        <v>47442</v>
      </c>
      <c r="AS167" s="17">
        <f t="shared" si="353"/>
        <v>0</v>
      </c>
      <c r="AT167" s="17"/>
      <c r="AU167" s="17"/>
      <c r="AV167" s="17">
        <f>SUM(AV168:AV169)</f>
        <v>0</v>
      </c>
      <c r="AW167" s="17">
        <f>SUM(AW168:AW169)</f>
        <v>0</v>
      </c>
      <c r="AX167" s="17">
        <f>SUM(AX168:AX169)</f>
        <v>0</v>
      </c>
      <c r="AY167" s="17"/>
      <c r="AZ167" s="17">
        <f t="shared" ref="AZ167:CM167" si="354">SUM(AZ168:AZ169)</f>
        <v>5095970</v>
      </c>
      <c r="BA167" s="17">
        <f t="shared" si="354"/>
        <v>0</v>
      </c>
      <c r="BB167" s="17">
        <f t="shared" si="354"/>
        <v>0</v>
      </c>
      <c r="BC167" s="17">
        <f t="shared" si="354"/>
        <v>0</v>
      </c>
      <c r="BD167" s="17">
        <f t="shared" si="354"/>
        <v>0</v>
      </c>
      <c r="BE167" s="17">
        <f t="shared" si="354"/>
        <v>0</v>
      </c>
      <c r="BF167" s="17">
        <f t="shared" si="354"/>
        <v>0</v>
      </c>
      <c r="BG167" s="17">
        <f t="shared" si="354"/>
        <v>0</v>
      </c>
      <c r="BH167" s="17">
        <f t="shared" ref="BH167" si="355">SUM(BH168:BH169)</f>
        <v>0</v>
      </c>
      <c r="BI167" s="17">
        <f t="shared" si="354"/>
        <v>0</v>
      </c>
      <c r="BJ167" s="17">
        <f t="shared" si="354"/>
        <v>0</v>
      </c>
      <c r="BK167" s="17">
        <f t="shared" ref="BK167" si="356">SUM(BK168:BK169)</f>
        <v>0</v>
      </c>
      <c r="BL167" s="17">
        <f t="shared" si="354"/>
        <v>0</v>
      </c>
      <c r="BM167" s="17">
        <f t="shared" si="354"/>
        <v>0</v>
      </c>
      <c r="BN167" s="17">
        <f t="shared" si="354"/>
        <v>0</v>
      </c>
      <c r="BO167" s="17">
        <f t="shared" si="354"/>
        <v>0</v>
      </c>
      <c r="BP167" s="17">
        <f t="shared" si="354"/>
        <v>0</v>
      </c>
      <c r="BQ167" s="17">
        <f t="shared" si="354"/>
        <v>0</v>
      </c>
      <c r="BR167" s="17">
        <f t="shared" si="354"/>
        <v>0</v>
      </c>
      <c r="BS167" s="17">
        <f t="shared" si="354"/>
        <v>0</v>
      </c>
      <c r="BT167" s="17">
        <f t="shared" si="354"/>
        <v>0</v>
      </c>
      <c r="BU167" s="17">
        <f t="shared" si="354"/>
        <v>0</v>
      </c>
      <c r="BV167" s="17">
        <f t="shared" si="354"/>
        <v>0</v>
      </c>
      <c r="BW167" s="17">
        <f t="shared" si="354"/>
        <v>0</v>
      </c>
      <c r="BX167" s="17">
        <f t="shared" si="354"/>
        <v>0</v>
      </c>
      <c r="BY167" s="17">
        <f t="shared" si="354"/>
        <v>0</v>
      </c>
      <c r="BZ167" s="17">
        <f t="shared" si="354"/>
        <v>0</v>
      </c>
      <c r="CA167" s="17">
        <f t="shared" si="354"/>
        <v>152412</v>
      </c>
      <c r="CB167" s="17">
        <f t="shared" si="354"/>
        <v>152412</v>
      </c>
      <c r="CC167" s="17">
        <f t="shared" si="354"/>
        <v>152412</v>
      </c>
      <c r="CD167" s="17">
        <f t="shared" si="354"/>
        <v>0</v>
      </c>
      <c r="CE167" s="17">
        <f t="shared" si="354"/>
        <v>152412</v>
      </c>
      <c r="CF167" s="17">
        <f t="shared" si="354"/>
        <v>0</v>
      </c>
      <c r="CG167" s="17">
        <f t="shared" si="354"/>
        <v>0</v>
      </c>
      <c r="CH167" s="17">
        <f t="shared" si="354"/>
        <v>0</v>
      </c>
      <c r="CI167" s="17">
        <f t="shared" si="354"/>
        <v>0</v>
      </c>
      <c r="CJ167" s="17">
        <f t="shared" ref="CJ167" si="357">SUM(CJ168:CJ169)</f>
        <v>0</v>
      </c>
      <c r="CK167" s="17">
        <f t="shared" si="354"/>
        <v>0</v>
      </c>
      <c r="CL167" s="17">
        <f t="shared" si="354"/>
        <v>0</v>
      </c>
      <c r="CM167" s="17">
        <f t="shared" si="354"/>
        <v>0</v>
      </c>
      <c r="CN167" s="17">
        <f t="shared" ref="CN167" si="358">SUM(CN168:CN169)</f>
        <v>0</v>
      </c>
      <c r="CO167" s="64"/>
      <c r="CP167" s="64"/>
      <c r="CQ167" s="64"/>
      <c r="CR167" s="64"/>
      <c r="CS167" s="51"/>
      <c r="GP167" s="52"/>
    </row>
    <row r="168" spans="1:198" s="82" customFormat="1" ht="31.2" x14ac:dyDescent="0.3">
      <c r="A168" s="92"/>
      <c r="B168" s="83" t="s">
        <v>74</v>
      </c>
      <c r="C168" s="84" t="s">
        <v>222</v>
      </c>
      <c r="D168" s="65">
        <f>SUM(E168+CA168)</f>
        <v>28367629</v>
      </c>
      <c r="E168" s="65">
        <f>SUM(F168+BA168)</f>
        <v>28215217</v>
      </c>
      <c r="F168" s="65">
        <f>SUM(G168+H168+I168+P168+S168+T168+U168+AE168+AD168)</f>
        <v>28215217</v>
      </c>
      <c r="G168" s="66">
        <f>22052896-161412</f>
        <v>21891484</v>
      </c>
      <c r="H168" s="66">
        <v>5319449</v>
      </c>
      <c r="I168" s="65">
        <f t="shared" ref="I168" si="359">SUM(J168:O168)</f>
        <v>566595</v>
      </c>
      <c r="J168" s="66">
        <v>0</v>
      </c>
      <c r="K168" s="66">
        <v>0</v>
      </c>
      <c r="L168" s="66">
        <v>0</v>
      </c>
      <c r="M168" s="66">
        <v>0</v>
      </c>
      <c r="N168" s="66">
        <f>610659-53064</f>
        <v>557595</v>
      </c>
      <c r="O168" s="66">
        <f>26260-17260</f>
        <v>9000</v>
      </c>
      <c r="P168" s="65">
        <f t="shared" ref="P168" si="360">SUM(Q168:R168)</f>
        <v>0</v>
      </c>
      <c r="Q168" s="65">
        <v>0</v>
      </c>
      <c r="R168" s="66">
        <f>28347-28347</f>
        <v>0</v>
      </c>
      <c r="S168" s="66">
        <v>0</v>
      </c>
      <c r="T168" s="66">
        <v>121587</v>
      </c>
      <c r="U168" s="65">
        <f t="shared" ref="U168" si="361">SUM(V168:AC168)</f>
        <v>268660</v>
      </c>
      <c r="V168" s="66"/>
      <c r="W168" s="66"/>
      <c r="X168" s="66">
        <f>84321+107671</f>
        <v>191992</v>
      </c>
      <c r="Y168" s="66">
        <v>0</v>
      </c>
      <c r="Z168" s="66">
        <v>0</v>
      </c>
      <c r="AA168" s="66">
        <f>80000-3332</f>
        <v>76668</v>
      </c>
      <c r="AB168" s="66">
        <v>0</v>
      </c>
      <c r="AC168" s="66">
        <v>0</v>
      </c>
      <c r="AD168" s="66">
        <v>0</v>
      </c>
      <c r="AE168" s="65">
        <f>SUM(AF168:AZ168)</f>
        <v>47442</v>
      </c>
      <c r="AF168" s="65">
        <v>0</v>
      </c>
      <c r="AG168" s="65">
        <v>0</v>
      </c>
      <c r="AH168" s="66">
        <v>0</v>
      </c>
      <c r="AI168" s="66">
        <v>0</v>
      </c>
      <c r="AJ168" s="66">
        <v>0</v>
      </c>
      <c r="AK168" s="66">
        <v>0</v>
      </c>
      <c r="AL168" s="66">
        <v>0</v>
      </c>
      <c r="AM168" s="66">
        <v>0</v>
      </c>
      <c r="AN168" s="66">
        <v>0</v>
      </c>
      <c r="AO168" s="66">
        <v>0</v>
      </c>
      <c r="AP168" s="66">
        <v>0</v>
      </c>
      <c r="AQ168" s="66">
        <v>0</v>
      </c>
      <c r="AR168" s="66">
        <f>49701-2259</f>
        <v>47442</v>
      </c>
      <c r="AS168" s="66">
        <v>0</v>
      </c>
      <c r="AT168" s="66">
        <v>0</v>
      </c>
      <c r="AU168" s="66">
        <v>0</v>
      </c>
      <c r="AV168" s="66">
        <v>0</v>
      </c>
      <c r="AW168" s="66">
        <v>0</v>
      </c>
      <c r="AX168" s="66">
        <v>0</v>
      </c>
      <c r="AY168" s="66">
        <v>0</v>
      </c>
      <c r="AZ168" s="66">
        <v>0</v>
      </c>
      <c r="BA168" s="65">
        <f>SUM(BB168+BF168+BJ168+BL168+BO168)</f>
        <v>0</v>
      </c>
      <c r="BB168" s="65">
        <f>SUM(BC168:BE168)</f>
        <v>0</v>
      </c>
      <c r="BC168" s="65">
        <v>0</v>
      </c>
      <c r="BD168" s="65">
        <v>0</v>
      </c>
      <c r="BE168" s="65">
        <v>0</v>
      </c>
      <c r="BF168" s="65">
        <f t="shared" ref="BF168:BF169" si="362">SUM(BG168:BI168)</f>
        <v>0</v>
      </c>
      <c r="BG168" s="65">
        <v>0</v>
      </c>
      <c r="BH168" s="65">
        <v>0</v>
      </c>
      <c r="BI168" s="65">
        <v>0</v>
      </c>
      <c r="BJ168" s="65">
        <v>0</v>
      </c>
      <c r="BK168" s="65">
        <v>0</v>
      </c>
      <c r="BL168" s="65">
        <f t="shared" ref="BL168" si="363">SUM(BM168)</f>
        <v>0</v>
      </c>
      <c r="BM168" s="65">
        <v>0</v>
      </c>
      <c r="BN168" s="65">
        <v>0</v>
      </c>
      <c r="BO168" s="65">
        <f>SUM(BP168:BZ168)</f>
        <v>0</v>
      </c>
      <c r="BP168" s="65">
        <v>0</v>
      </c>
      <c r="BQ168" s="65">
        <v>0</v>
      </c>
      <c r="BR168" s="65">
        <v>0</v>
      </c>
      <c r="BS168" s="65">
        <v>0</v>
      </c>
      <c r="BT168" s="65">
        <v>0</v>
      </c>
      <c r="BU168" s="65">
        <v>0</v>
      </c>
      <c r="BV168" s="65">
        <v>0</v>
      </c>
      <c r="BW168" s="65">
        <v>0</v>
      </c>
      <c r="BX168" s="65">
        <v>0</v>
      </c>
      <c r="BY168" s="65">
        <v>0</v>
      </c>
      <c r="BZ168" s="65">
        <v>0</v>
      </c>
      <c r="CA168" s="65">
        <f>SUM(CB168+CN168)</f>
        <v>152412</v>
      </c>
      <c r="CB168" s="65">
        <f>SUM(CC168+CF168+CK168)</f>
        <v>152412</v>
      </c>
      <c r="CC168" s="65">
        <f t="shared" ref="CC168" si="364">SUM(CD168:CE168)</f>
        <v>152412</v>
      </c>
      <c r="CD168" s="65">
        <v>0</v>
      </c>
      <c r="CE168" s="66">
        <f>0+152412</f>
        <v>152412</v>
      </c>
      <c r="CF168" s="65">
        <f>SUM(CG168:CJ168)</f>
        <v>0</v>
      </c>
      <c r="CG168" s="65">
        <v>0</v>
      </c>
      <c r="CH168" s="65">
        <v>0</v>
      </c>
      <c r="CI168" s="65">
        <v>0</v>
      </c>
      <c r="CJ168" s="65">
        <v>0</v>
      </c>
      <c r="CK168" s="65">
        <f>SUM(CL168:CM168)</f>
        <v>0</v>
      </c>
      <c r="CL168" s="65">
        <v>0</v>
      </c>
      <c r="CM168" s="65">
        <v>0</v>
      </c>
      <c r="CN168" s="65">
        <v>0</v>
      </c>
      <c r="CO168" s="65"/>
      <c r="CP168" s="65"/>
      <c r="CQ168" s="65"/>
      <c r="CR168" s="65"/>
      <c r="CS168" s="68"/>
      <c r="GP168" s="52"/>
    </row>
    <row r="169" spans="1:198" ht="31.2" x14ac:dyDescent="0.3">
      <c r="A169" s="90" t="s">
        <v>1</v>
      </c>
      <c r="B169" s="29" t="s">
        <v>74</v>
      </c>
      <c r="C169" s="28" t="s">
        <v>223</v>
      </c>
      <c r="D169" s="18">
        <f>SUM(E169+CA169)</f>
        <v>5095970</v>
      </c>
      <c r="E169" s="18">
        <f>SUM(F169+BA169)</f>
        <v>5095970</v>
      </c>
      <c r="F169" s="18">
        <f>SUM(G169+H169+I169+P169+S169+T169+U169+AE169+AD169)</f>
        <v>5095970</v>
      </c>
      <c r="G169" s="21"/>
      <c r="H169" s="21"/>
      <c r="I169" s="18">
        <f t="shared" si="327"/>
        <v>0</v>
      </c>
      <c r="J169" s="21">
        <v>0</v>
      </c>
      <c r="K169" s="21">
        <v>0</v>
      </c>
      <c r="L169" s="21">
        <v>0</v>
      </c>
      <c r="M169" s="21">
        <v>0</v>
      </c>
      <c r="N169" s="21"/>
      <c r="O169" s="21"/>
      <c r="P169" s="18">
        <f t="shared" si="328"/>
        <v>0</v>
      </c>
      <c r="Q169" s="18">
        <v>0</v>
      </c>
      <c r="R169" s="21">
        <v>0</v>
      </c>
      <c r="S169" s="21">
        <v>0</v>
      </c>
      <c r="T169" s="21">
        <v>0</v>
      </c>
      <c r="U169" s="18">
        <f t="shared" ref="U169" si="365">SUM(V169:AC169)</f>
        <v>0</v>
      </c>
      <c r="V169" s="21">
        <v>0</v>
      </c>
      <c r="W169" s="21">
        <v>0</v>
      </c>
      <c r="X169" s="21">
        <v>0</v>
      </c>
      <c r="Y169" s="21">
        <v>0</v>
      </c>
      <c r="Z169" s="21">
        <v>0</v>
      </c>
      <c r="AA169" s="21">
        <v>0</v>
      </c>
      <c r="AB169" s="21">
        <v>0</v>
      </c>
      <c r="AC169" s="21">
        <v>0</v>
      </c>
      <c r="AD169" s="21">
        <v>0</v>
      </c>
      <c r="AE169" s="18">
        <f>SUM(AF169:AZ169)</f>
        <v>5095970</v>
      </c>
      <c r="AF169" s="18">
        <v>0</v>
      </c>
      <c r="AG169" s="18">
        <v>0</v>
      </c>
      <c r="AH169" s="21">
        <v>0</v>
      </c>
      <c r="AI169" s="21">
        <v>0</v>
      </c>
      <c r="AJ169" s="21">
        <v>0</v>
      </c>
      <c r="AK169" s="21">
        <v>0</v>
      </c>
      <c r="AL169" s="21">
        <v>0</v>
      </c>
      <c r="AM169" s="21">
        <v>0</v>
      </c>
      <c r="AN169" s="21">
        <v>0</v>
      </c>
      <c r="AO169" s="21">
        <v>0</v>
      </c>
      <c r="AP169" s="21">
        <v>0</v>
      </c>
      <c r="AQ169" s="21">
        <v>0</v>
      </c>
      <c r="AR169" s="21">
        <v>0</v>
      </c>
      <c r="AS169" s="21">
        <v>0</v>
      </c>
      <c r="AT169" s="21">
        <v>0</v>
      </c>
      <c r="AU169" s="21">
        <v>0</v>
      </c>
      <c r="AV169" s="21">
        <v>0</v>
      </c>
      <c r="AW169" s="21">
        <v>0</v>
      </c>
      <c r="AX169" s="21">
        <v>0</v>
      </c>
      <c r="AY169" s="21">
        <v>0</v>
      </c>
      <c r="AZ169" s="21">
        <f>5405869-309899</f>
        <v>5095970</v>
      </c>
      <c r="BA169" s="18">
        <f>SUM(BB169+BF169+BJ169+BL169+BO169)</f>
        <v>0</v>
      </c>
      <c r="BB169" s="18">
        <f>SUM(BC169:BE169)</f>
        <v>0</v>
      </c>
      <c r="BC169" s="18">
        <v>0</v>
      </c>
      <c r="BD169" s="18">
        <v>0</v>
      </c>
      <c r="BE169" s="18">
        <v>0</v>
      </c>
      <c r="BF169" s="18">
        <f t="shared" si="362"/>
        <v>0</v>
      </c>
      <c r="BG169" s="18">
        <v>0</v>
      </c>
      <c r="BH169" s="18">
        <v>0</v>
      </c>
      <c r="BI169" s="18">
        <v>0</v>
      </c>
      <c r="BJ169" s="18">
        <v>0</v>
      </c>
      <c r="BK169" s="18">
        <v>0</v>
      </c>
      <c r="BL169" s="18">
        <f t="shared" si="331"/>
        <v>0</v>
      </c>
      <c r="BM169" s="18">
        <v>0</v>
      </c>
      <c r="BN169" s="18">
        <v>0</v>
      </c>
      <c r="BO169" s="18">
        <f>SUM(BP169:BZ169)</f>
        <v>0</v>
      </c>
      <c r="BP169" s="18">
        <v>0</v>
      </c>
      <c r="BQ169" s="18">
        <v>0</v>
      </c>
      <c r="BR169" s="18">
        <v>0</v>
      </c>
      <c r="BS169" s="18">
        <v>0</v>
      </c>
      <c r="BT169" s="18">
        <v>0</v>
      </c>
      <c r="BU169" s="18">
        <v>0</v>
      </c>
      <c r="BV169" s="18">
        <v>0</v>
      </c>
      <c r="BW169" s="18">
        <v>0</v>
      </c>
      <c r="BX169" s="18">
        <v>0</v>
      </c>
      <c r="BY169" s="18">
        <v>0</v>
      </c>
      <c r="BZ169" s="18">
        <v>0</v>
      </c>
      <c r="CA169" s="18">
        <f>SUM(CB169+CN169)</f>
        <v>0</v>
      </c>
      <c r="CB169" s="18">
        <f>SUM(CC169+CF169+CK169)</f>
        <v>0</v>
      </c>
      <c r="CC169" s="18">
        <f t="shared" si="332"/>
        <v>0</v>
      </c>
      <c r="CD169" s="18">
        <v>0</v>
      </c>
      <c r="CE169" s="18"/>
      <c r="CF169" s="18">
        <f>SUM(CG169:CJ169)</f>
        <v>0</v>
      </c>
      <c r="CG169" s="18">
        <v>0</v>
      </c>
      <c r="CH169" s="18">
        <v>0</v>
      </c>
      <c r="CI169" s="18">
        <v>0</v>
      </c>
      <c r="CJ169" s="18">
        <v>0</v>
      </c>
      <c r="CK169" s="18">
        <f>SUM(CL169:CM169)</f>
        <v>0</v>
      </c>
      <c r="CL169" s="18">
        <v>0</v>
      </c>
      <c r="CM169" s="18">
        <v>0</v>
      </c>
      <c r="CN169" s="18">
        <v>0</v>
      </c>
      <c r="CO169" s="65"/>
      <c r="CP169" s="65"/>
      <c r="CQ169" s="65"/>
      <c r="CR169" s="65"/>
      <c r="CS169" s="46"/>
    </row>
    <row r="170" spans="1:198" ht="15.6" x14ac:dyDescent="0.3">
      <c r="A170" s="89" t="s">
        <v>224</v>
      </c>
      <c r="B170" s="15" t="s">
        <v>1</v>
      </c>
      <c r="C170" s="16" t="s">
        <v>225</v>
      </c>
      <c r="D170" s="17">
        <f t="shared" ref="D170:AS170" si="366">SUM(D171:D172)</f>
        <v>9245784</v>
      </c>
      <c r="E170" s="17">
        <f t="shared" si="366"/>
        <v>9245784</v>
      </c>
      <c r="F170" s="17">
        <f t="shared" si="366"/>
        <v>9245784</v>
      </c>
      <c r="G170" s="17">
        <f t="shared" si="366"/>
        <v>5774770</v>
      </c>
      <c r="H170" s="17">
        <f t="shared" si="366"/>
        <v>1372508</v>
      </c>
      <c r="I170" s="17">
        <f t="shared" si="366"/>
        <v>31492</v>
      </c>
      <c r="J170" s="17">
        <f t="shared" si="366"/>
        <v>0</v>
      </c>
      <c r="K170" s="17">
        <f t="shared" si="366"/>
        <v>0</v>
      </c>
      <c r="L170" s="17">
        <f t="shared" si="366"/>
        <v>0</v>
      </c>
      <c r="M170" s="17">
        <f t="shared" si="366"/>
        <v>0</v>
      </c>
      <c r="N170" s="17">
        <f>N171+N172</f>
        <v>31492</v>
      </c>
      <c r="O170" s="17">
        <f>O171+O172</f>
        <v>0</v>
      </c>
      <c r="P170" s="17">
        <f t="shared" si="366"/>
        <v>0</v>
      </c>
      <c r="Q170" s="17">
        <f t="shared" si="366"/>
        <v>0</v>
      </c>
      <c r="R170" s="17">
        <f t="shared" si="366"/>
        <v>0</v>
      </c>
      <c r="S170" s="17">
        <f t="shared" si="366"/>
        <v>0</v>
      </c>
      <c r="T170" s="17">
        <f>T171+T172</f>
        <v>16845</v>
      </c>
      <c r="U170" s="17">
        <f t="shared" si="366"/>
        <v>0</v>
      </c>
      <c r="V170" s="17">
        <f t="shared" si="366"/>
        <v>0</v>
      </c>
      <c r="W170" s="17">
        <f t="shared" si="366"/>
        <v>0</v>
      </c>
      <c r="X170" s="17">
        <f t="shared" si="366"/>
        <v>0</v>
      </c>
      <c r="Y170" s="17">
        <f t="shared" si="366"/>
        <v>0</v>
      </c>
      <c r="Z170" s="17">
        <f t="shared" si="366"/>
        <v>0</v>
      </c>
      <c r="AA170" s="17">
        <f t="shared" si="366"/>
        <v>0</v>
      </c>
      <c r="AB170" s="17">
        <f t="shared" si="366"/>
        <v>0</v>
      </c>
      <c r="AC170" s="17">
        <f t="shared" si="366"/>
        <v>0</v>
      </c>
      <c r="AD170" s="17">
        <f t="shared" si="366"/>
        <v>0</v>
      </c>
      <c r="AE170" s="17">
        <f t="shared" si="366"/>
        <v>2050169</v>
      </c>
      <c r="AF170" s="17">
        <f t="shared" si="366"/>
        <v>0</v>
      </c>
      <c r="AG170" s="17">
        <f t="shared" si="366"/>
        <v>0</v>
      </c>
      <c r="AH170" s="17">
        <f t="shared" si="366"/>
        <v>0</v>
      </c>
      <c r="AI170" s="17">
        <f t="shared" si="366"/>
        <v>0</v>
      </c>
      <c r="AJ170" s="17">
        <f t="shared" si="366"/>
        <v>0</v>
      </c>
      <c r="AK170" s="17">
        <f t="shared" si="366"/>
        <v>0</v>
      </c>
      <c r="AL170" s="17">
        <f t="shared" si="366"/>
        <v>0</v>
      </c>
      <c r="AM170" s="17">
        <f t="shared" si="366"/>
        <v>0</v>
      </c>
      <c r="AN170" s="17">
        <f t="shared" si="366"/>
        <v>2050169</v>
      </c>
      <c r="AO170" s="17">
        <f t="shared" si="366"/>
        <v>0</v>
      </c>
      <c r="AP170" s="17">
        <f t="shared" si="366"/>
        <v>0</v>
      </c>
      <c r="AQ170" s="17">
        <f t="shared" si="366"/>
        <v>0</v>
      </c>
      <c r="AR170" s="17">
        <f t="shared" si="366"/>
        <v>0</v>
      </c>
      <c r="AS170" s="17">
        <f t="shared" si="366"/>
        <v>0</v>
      </c>
      <c r="AT170" s="17"/>
      <c r="AU170" s="17"/>
      <c r="AV170" s="17">
        <f>SUM(AV171:AV172)</f>
        <v>0</v>
      </c>
      <c r="AW170" s="17">
        <f>SUM(AW171:AW172)</f>
        <v>0</v>
      </c>
      <c r="AX170" s="17">
        <f>SUM(AX171:AX172)</f>
        <v>0</v>
      </c>
      <c r="AY170" s="17"/>
      <c r="AZ170" s="17">
        <f t="shared" ref="AZ170:CM170" si="367">SUM(AZ171:AZ172)</f>
        <v>0</v>
      </c>
      <c r="BA170" s="17">
        <f t="shared" si="367"/>
        <v>0</v>
      </c>
      <c r="BB170" s="17">
        <f t="shared" si="367"/>
        <v>0</v>
      </c>
      <c r="BC170" s="17">
        <f t="shared" si="367"/>
        <v>0</v>
      </c>
      <c r="BD170" s="17">
        <f t="shared" si="367"/>
        <v>0</v>
      </c>
      <c r="BE170" s="17">
        <f t="shared" si="367"/>
        <v>0</v>
      </c>
      <c r="BF170" s="17">
        <f t="shared" si="367"/>
        <v>0</v>
      </c>
      <c r="BG170" s="17">
        <f t="shared" si="367"/>
        <v>0</v>
      </c>
      <c r="BH170" s="17">
        <f t="shared" ref="BH170" si="368">SUM(BH171:BH172)</f>
        <v>0</v>
      </c>
      <c r="BI170" s="17">
        <f t="shared" si="367"/>
        <v>0</v>
      </c>
      <c r="BJ170" s="17">
        <f t="shared" si="367"/>
        <v>0</v>
      </c>
      <c r="BK170" s="17">
        <f t="shared" ref="BK170" si="369">SUM(BK171:BK172)</f>
        <v>0</v>
      </c>
      <c r="BL170" s="17">
        <f t="shared" si="367"/>
        <v>0</v>
      </c>
      <c r="BM170" s="17">
        <f t="shared" si="367"/>
        <v>0</v>
      </c>
      <c r="BN170" s="17">
        <f t="shared" si="367"/>
        <v>0</v>
      </c>
      <c r="BO170" s="17">
        <f t="shared" si="367"/>
        <v>0</v>
      </c>
      <c r="BP170" s="17">
        <f t="shared" si="367"/>
        <v>0</v>
      </c>
      <c r="BQ170" s="17">
        <f t="shared" si="367"/>
        <v>0</v>
      </c>
      <c r="BR170" s="17">
        <f t="shared" si="367"/>
        <v>0</v>
      </c>
      <c r="BS170" s="17">
        <f t="shared" si="367"/>
        <v>0</v>
      </c>
      <c r="BT170" s="17">
        <f t="shared" si="367"/>
        <v>0</v>
      </c>
      <c r="BU170" s="17">
        <f t="shared" si="367"/>
        <v>0</v>
      </c>
      <c r="BV170" s="17">
        <f t="shared" si="367"/>
        <v>0</v>
      </c>
      <c r="BW170" s="17">
        <f t="shared" si="367"/>
        <v>0</v>
      </c>
      <c r="BX170" s="17">
        <f t="shared" si="367"/>
        <v>0</v>
      </c>
      <c r="BY170" s="17">
        <f t="shared" si="367"/>
        <v>0</v>
      </c>
      <c r="BZ170" s="17">
        <f t="shared" si="367"/>
        <v>0</v>
      </c>
      <c r="CA170" s="17">
        <f t="shared" si="367"/>
        <v>0</v>
      </c>
      <c r="CB170" s="17">
        <f t="shared" si="367"/>
        <v>0</v>
      </c>
      <c r="CC170" s="17">
        <f t="shared" si="367"/>
        <v>0</v>
      </c>
      <c r="CD170" s="17">
        <f t="shared" si="367"/>
        <v>0</v>
      </c>
      <c r="CE170" s="17"/>
      <c r="CF170" s="17">
        <f t="shared" si="367"/>
        <v>0</v>
      </c>
      <c r="CG170" s="17">
        <f t="shared" si="367"/>
        <v>0</v>
      </c>
      <c r="CH170" s="17">
        <f t="shared" si="367"/>
        <v>0</v>
      </c>
      <c r="CI170" s="17">
        <f t="shared" si="367"/>
        <v>0</v>
      </c>
      <c r="CJ170" s="17">
        <f t="shared" ref="CJ170" si="370">SUM(CJ171:CJ172)</f>
        <v>0</v>
      </c>
      <c r="CK170" s="17">
        <f t="shared" si="367"/>
        <v>0</v>
      </c>
      <c r="CL170" s="17">
        <f t="shared" si="367"/>
        <v>0</v>
      </c>
      <c r="CM170" s="17">
        <f t="shared" si="367"/>
        <v>0</v>
      </c>
      <c r="CN170" s="17">
        <f t="shared" ref="CN170" si="371">SUM(CN171:CN172)</f>
        <v>0</v>
      </c>
      <c r="CO170" s="64"/>
      <c r="CP170" s="64"/>
      <c r="CQ170" s="64"/>
      <c r="CR170" s="64"/>
      <c r="CS170" s="51"/>
    </row>
    <row r="171" spans="1:198" s="52" customFormat="1" ht="15.6" x14ac:dyDescent="0.3">
      <c r="A171" s="90" t="s">
        <v>1</v>
      </c>
      <c r="B171" s="19" t="s">
        <v>50</v>
      </c>
      <c r="C171" s="20" t="s">
        <v>226</v>
      </c>
      <c r="D171" s="18">
        <f>SUM(E171+CA171)</f>
        <v>253462</v>
      </c>
      <c r="E171" s="18">
        <f>SUM(F171+BA171)</f>
        <v>253462</v>
      </c>
      <c r="F171" s="18">
        <f>SUM(G171+H171+I171+P171+S171+T171+U171+AE171+AD171)</f>
        <v>253462</v>
      </c>
      <c r="G171" s="21">
        <v>204768</v>
      </c>
      <c r="H171" s="21">
        <v>48694</v>
      </c>
      <c r="I171" s="18">
        <f t="shared" si="327"/>
        <v>0</v>
      </c>
      <c r="J171" s="21">
        <v>0</v>
      </c>
      <c r="K171" s="21">
        <v>0</v>
      </c>
      <c r="L171" s="21">
        <v>0</v>
      </c>
      <c r="M171" s="21">
        <v>0</v>
      </c>
      <c r="N171" s="21"/>
      <c r="O171" s="21"/>
      <c r="P171" s="18">
        <f t="shared" si="328"/>
        <v>0</v>
      </c>
      <c r="Q171" s="18">
        <v>0</v>
      </c>
      <c r="R171" s="21">
        <v>0</v>
      </c>
      <c r="S171" s="21">
        <v>0</v>
      </c>
      <c r="T171" s="21">
        <v>0</v>
      </c>
      <c r="U171" s="18">
        <f t="shared" ref="U171:U172" si="372">SUM(V171:AC171)</f>
        <v>0</v>
      </c>
      <c r="V171" s="21"/>
      <c r="W171" s="21">
        <v>0</v>
      </c>
      <c r="X171" s="21">
        <v>0</v>
      </c>
      <c r="Y171" s="21">
        <v>0</v>
      </c>
      <c r="Z171" s="21">
        <v>0</v>
      </c>
      <c r="AA171" s="21">
        <v>0</v>
      </c>
      <c r="AB171" s="21">
        <v>0</v>
      </c>
      <c r="AC171" s="21">
        <v>0</v>
      </c>
      <c r="AD171" s="21">
        <v>0</v>
      </c>
      <c r="AE171" s="18">
        <f>SUM(AF171:AZ171)</f>
        <v>0</v>
      </c>
      <c r="AF171" s="18">
        <v>0</v>
      </c>
      <c r="AG171" s="18">
        <v>0</v>
      </c>
      <c r="AH171" s="21">
        <v>0</v>
      </c>
      <c r="AI171" s="21">
        <v>0</v>
      </c>
      <c r="AJ171" s="21">
        <v>0</v>
      </c>
      <c r="AK171" s="21">
        <v>0</v>
      </c>
      <c r="AL171" s="21">
        <v>0</v>
      </c>
      <c r="AM171" s="21">
        <v>0</v>
      </c>
      <c r="AN171" s="21">
        <v>0</v>
      </c>
      <c r="AO171" s="21">
        <v>0</v>
      </c>
      <c r="AP171" s="21">
        <v>0</v>
      </c>
      <c r="AQ171" s="21">
        <v>0</v>
      </c>
      <c r="AR171" s="21">
        <v>0</v>
      </c>
      <c r="AS171" s="21">
        <v>0</v>
      </c>
      <c r="AT171" s="21">
        <v>0</v>
      </c>
      <c r="AU171" s="21">
        <v>0</v>
      </c>
      <c r="AV171" s="21">
        <v>0</v>
      </c>
      <c r="AW171" s="21">
        <v>0</v>
      </c>
      <c r="AX171" s="21">
        <v>0</v>
      </c>
      <c r="AY171" s="21">
        <v>0</v>
      </c>
      <c r="AZ171" s="21">
        <v>0</v>
      </c>
      <c r="BA171" s="18">
        <f>SUM(BB171+BF171+BJ171+BL171+BO171)</f>
        <v>0</v>
      </c>
      <c r="BB171" s="18">
        <f>SUM(BC171:BE171)</f>
        <v>0</v>
      </c>
      <c r="BC171" s="18">
        <v>0</v>
      </c>
      <c r="BD171" s="18">
        <v>0</v>
      </c>
      <c r="BE171" s="18">
        <v>0</v>
      </c>
      <c r="BF171" s="18">
        <f t="shared" ref="BF171:BF172" si="373">SUM(BG171:BI171)</f>
        <v>0</v>
      </c>
      <c r="BG171" s="18">
        <v>0</v>
      </c>
      <c r="BH171" s="18">
        <v>0</v>
      </c>
      <c r="BI171" s="18">
        <v>0</v>
      </c>
      <c r="BJ171" s="18">
        <v>0</v>
      </c>
      <c r="BK171" s="18">
        <v>0</v>
      </c>
      <c r="BL171" s="18">
        <f t="shared" si="331"/>
        <v>0</v>
      </c>
      <c r="BM171" s="18">
        <v>0</v>
      </c>
      <c r="BN171" s="18">
        <v>0</v>
      </c>
      <c r="BO171" s="18">
        <f>SUM(BP171:BZ171)</f>
        <v>0</v>
      </c>
      <c r="BP171" s="18">
        <v>0</v>
      </c>
      <c r="BQ171" s="18">
        <v>0</v>
      </c>
      <c r="BR171" s="18">
        <v>0</v>
      </c>
      <c r="BS171" s="18">
        <v>0</v>
      </c>
      <c r="BT171" s="18">
        <v>0</v>
      </c>
      <c r="BU171" s="18">
        <v>0</v>
      </c>
      <c r="BV171" s="18">
        <v>0</v>
      </c>
      <c r="BW171" s="18">
        <v>0</v>
      </c>
      <c r="BX171" s="18">
        <v>0</v>
      </c>
      <c r="BY171" s="18">
        <v>0</v>
      </c>
      <c r="BZ171" s="18">
        <v>0</v>
      </c>
      <c r="CA171" s="18">
        <f>SUM(CB171+CN171)</f>
        <v>0</v>
      </c>
      <c r="CB171" s="18">
        <f>SUM(CC171+CF171+CK171)</f>
        <v>0</v>
      </c>
      <c r="CC171" s="18">
        <f t="shared" si="332"/>
        <v>0</v>
      </c>
      <c r="CD171" s="18">
        <v>0</v>
      </c>
      <c r="CE171" s="21">
        <v>0</v>
      </c>
      <c r="CF171" s="18">
        <f>SUM(CG171:CJ171)</f>
        <v>0</v>
      </c>
      <c r="CG171" s="18">
        <v>0</v>
      </c>
      <c r="CH171" s="18">
        <v>0</v>
      </c>
      <c r="CI171" s="18">
        <v>0</v>
      </c>
      <c r="CJ171" s="18">
        <v>0</v>
      </c>
      <c r="CK171" s="18">
        <f>SUM(CL171:CM171)</f>
        <v>0</v>
      </c>
      <c r="CL171" s="18">
        <v>0</v>
      </c>
      <c r="CM171" s="18">
        <v>0</v>
      </c>
      <c r="CN171" s="18">
        <v>0</v>
      </c>
      <c r="CO171" s="65"/>
      <c r="CP171" s="65"/>
      <c r="CQ171" s="65"/>
      <c r="CR171" s="65"/>
      <c r="CS171" s="46"/>
      <c r="GP171" s="82"/>
    </row>
    <row r="172" spans="1:198" ht="31.2" x14ac:dyDescent="0.3">
      <c r="A172" s="90" t="s">
        <v>1</v>
      </c>
      <c r="B172" s="19" t="s">
        <v>74</v>
      </c>
      <c r="C172" s="20" t="s">
        <v>431</v>
      </c>
      <c r="D172" s="18">
        <f>SUM(E172+CA172)</f>
        <v>8992322</v>
      </c>
      <c r="E172" s="18">
        <f>SUM(F172+BA172)</f>
        <v>8992322</v>
      </c>
      <c r="F172" s="18">
        <f>SUM(G172+H172+I172+P172+S172+T172+U172+AE172+AD172)</f>
        <v>8992322</v>
      </c>
      <c r="G172" s="21">
        <v>5570002</v>
      </c>
      <c r="H172" s="21">
        <v>1323814</v>
      </c>
      <c r="I172" s="18">
        <f t="shared" si="327"/>
        <v>31492</v>
      </c>
      <c r="J172" s="21">
        <v>0</v>
      </c>
      <c r="K172" s="21">
        <v>0</v>
      </c>
      <c r="L172" s="21">
        <v>0</v>
      </c>
      <c r="M172" s="21">
        <v>0</v>
      </c>
      <c r="N172" s="21">
        <v>31492</v>
      </c>
      <c r="O172" s="21"/>
      <c r="P172" s="18">
        <f t="shared" si="328"/>
        <v>0</v>
      </c>
      <c r="Q172" s="18"/>
      <c r="R172" s="21">
        <v>0</v>
      </c>
      <c r="S172" s="21">
        <v>0</v>
      </c>
      <c r="T172" s="21">
        <v>16845</v>
      </c>
      <c r="U172" s="18">
        <f t="shared" si="372"/>
        <v>0</v>
      </c>
      <c r="V172" s="21"/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B172" s="21">
        <v>0</v>
      </c>
      <c r="AC172" s="21">
        <v>0</v>
      </c>
      <c r="AD172" s="21">
        <v>0</v>
      </c>
      <c r="AE172" s="18">
        <f>SUM(AF172:AZ172)</f>
        <v>2050169</v>
      </c>
      <c r="AF172" s="18">
        <v>0</v>
      </c>
      <c r="AG172" s="18">
        <v>0</v>
      </c>
      <c r="AH172" s="21">
        <v>0</v>
      </c>
      <c r="AI172" s="21">
        <v>0</v>
      </c>
      <c r="AJ172" s="21">
        <v>0</v>
      </c>
      <c r="AK172" s="21">
        <v>0</v>
      </c>
      <c r="AL172" s="21">
        <v>0</v>
      </c>
      <c r="AM172" s="21"/>
      <c r="AN172" s="21">
        <v>2050169</v>
      </c>
      <c r="AO172" s="21">
        <v>0</v>
      </c>
      <c r="AP172" s="21">
        <v>0</v>
      </c>
      <c r="AQ172" s="21">
        <v>0</v>
      </c>
      <c r="AR172" s="21">
        <v>0</v>
      </c>
      <c r="AS172" s="21">
        <v>0</v>
      </c>
      <c r="AT172" s="21">
        <v>0</v>
      </c>
      <c r="AU172" s="21">
        <v>0</v>
      </c>
      <c r="AV172" s="21">
        <v>0</v>
      </c>
      <c r="AW172" s="21">
        <v>0</v>
      </c>
      <c r="AX172" s="21">
        <v>0</v>
      </c>
      <c r="AY172" s="21">
        <v>0</v>
      </c>
      <c r="AZ172" s="21">
        <v>0</v>
      </c>
      <c r="BA172" s="18">
        <f>SUM(BB172+BF172+BJ172+BL172+BO172)</f>
        <v>0</v>
      </c>
      <c r="BB172" s="18">
        <f>SUM(BC172:BE172)</f>
        <v>0</v>
      </c>
      <c r="BC172" s="18">
        <v>0</v>
      </c>
      <c r="BD172" s="18">
        <v>0</v>
      </c>
      <c r="BE172" s="18">
        <v>0</v>
      </c>
      <c r="BF172" s="18">
        <f t="shared" si="373"/>
        <v>0</v>
      </c>
      <c r="BG172" s="18">
        <v>0</v>
      </c>
      <c r="BH172" s="18">
        <v>0</v>
      </c>
      <c r="BI172" s="18">
        <v>0</v>
      </c>
      <c r="BJ172" s="18">
        <v>0</v>
      </c>
      <c r="BK172" s="18">
        <v>0</v>
      </c>
      <c r="BL172" s="18">
        <f t="shared" si="331"/>
        <v>0</v>
      </c>
      <c r="BM172" s="18">
        <v>0</v>
      </c>
      <c r="BN172" s="18">
        <v>0</v>
      </c>
      <c r="BO172" s="18">
        <f>SUM(BP172:BZ172)</f>
        <v>0</v>
      </c>
      <c r="BP172" s="18">
        <v>0</v>
      </c>
      <c r="BQ172" s="18">
        <v>0</v>
      </c>
      <c r="BR172" s="18">
        <v>0</v>
      </c>
      <c r="BS172" s="18">
        <v>0</v>
      </c>
      <c r="BT172" s="18">
        <v>0</v>
      </c>
      <c r="BU172" s="18">
        <v>0</v>
      </c>
      <c r="BV172" s="18">
        <v>0</v>
      </c>
      <c r="BW172" s="18">
        <v>0</v>
      </c>
      <c r="BX172" s="18">
        <v>0</v>
      </c>
      <c r="BY172" s="18">
        <v>0</v>
      </c>
      <c r="BZ172" s="18">
        <v>0</v>
      </c>
      <c r="CA172" s="18">
        <f>SUM(CB172+CN172)</f>
        <v>0</v>
      </c>
      <c r="CB172" s="18">
        <f>SUM(CC172+CF172+CK172)</f>
        <v>0</v>
      </c>
      <c r="CC172" s="18">
        <f t="shared" si="332"/>
        <v>0</v>
      </c>
      <c r="CD172" s="18">
        <v>0</v>
      </c>
      <c r="CE172" s="21"/>
      <c r="CF172" s="18">
        <f>SUM(CG172:CJ172)</f>
        <v>0</v>
      </c>
      <c r="CG172" s="18">
        <v>0</v>
      </c>
      <c r="CH172" s="18"/>
      <c r="CI172" s="18">
        <v>0</v>
      </c>
      <c r="CJ172" s="18">
        <v>0</v>
      </c>
      <c r="CK172" s="18">
        <f>SUM(CL172:CM172)</f>
        <v>0</v>
      </c>
      <c r="CL172" s="18"/>
      <c r="CM172" s="18">
        <v>0</v>
      </c>
      <c r="CN172" s="18">
        <v>0</v>
      </c>
      <c r="CO172" s="65"/>
      <c r="CP172" s="65"/>
      <c r="CQ172" s="65"/>
      <c r="CR172" s="65"/>
      <c r="CS172" s="46"/>
    </row>
    <row r="173" spans="1:198" s="52" customFormat="1" ht="15.6" x14ac:dyDescent="0.3">
      <c r="A173" s="89" t="s">
        <v>510</v>
      </c>
      <c r="B173" s="15" t="s">
        <v>1</v>
      </c>
      <c r="C173" s="16" t="s">
        <v>511</v>
      </c>
      <c r="D173" s="17">
        <f>D174</f>
        <v>463469</v>
      </c>
      <c r="E173" s="17">
        <f t="shared" ref="E173" si="374">E174</f>
        <v>458801</v>
      </c>
      <c r="F173" s="17">
        <f t="shared" ref="F173" si="375">F174</f>
        <v>458801</v>
      </c>
      <c r="G173" s="50">
        <f t="shared" ref="G173" si="376">G174</f>
        <v>355815</v>
      </c>
      <c r="H173" s="50">
        <f t="shared" ref="H173" si="377">H174</f>
        <v>84355</v>
      </c>
      <c r="I173" s="17">
        <f t="shared" ref="I173" si="378">I174</f>
        <v>0</v>
      </c>
      <c r="J173" s="50">
        <f t="shared" ref="J173" si="379">J174</f>
        <v>0</v>
      </c>
      <c r="K173" s="50">
        <f t="shared" ref="K173" si="380">K174</f>
        <v>0</v>
      </c>
      <c r="L173" s="50">
        <f t="shared" ref="L173" si="381">L174</f>
        <v>0</v>
      </c>
      <c r="M173" s="50">
        <f t="shared" ref="M173" si="382">M174</f>
        <v>0</v>
      </c>
      <c r="N173" s="50">
        <f t="shared" ref="N173" si="383">N174</f>
        <v>0</v>
      </c>
      <c r="O173" s="50">
        <f t="shared" ref="O173" si="384">O174</f>
        <v>0</v>
      </c>
      <c r="P173" s="17">
        <f t="shared" ref="P173" si="385">P174</f>
        <v>0</v>
      </c>
      <c r="Q173" s="17">
        <f t="shared" ref="Q173" si="386">Q174</f>
        <v>0</v>
      </c>
      <c r="R173" s="50">
        <f t="shared" ref="R173" si="387">R174</f>
        <v>0</v>
      </c>
      <c r="S173" s="50">
        <f t="shared" ref="S173" si="388">S174</f>
        <v>0</v>
      </c>
      <c r="T173" s="50">
        <f t="shared" ref="T173" si="389">T174</f>
        <v>10025</v>
      </c>
      <c r="U173" s="17">
        <f t="shared" ref="U173" si="390">U174</f>
        <v>8606</v>
      </c>
      <c r="V173" s="50">
        <f>V174</f>
        <v>1413</v>
      </c>
      <c r="W173" s="50">
        <f>W174</f>
        <v>3292</v>
      </c>
      <c r="X173" s="50">
        <f>X174</f>
        <v>3592</v>
      </c>
      <c r="Y173" s="50">
        <f>Y174</f>
        <v>309</v>
      </c>
      <c r="Z173" s="50">
        <f t="shared" ref="Z173" si="391">Z174</f>
        <v>0</v>
      </c>
      <c r="AA173" s="50">
        <f t="shared" ref="AA173" si="392">AA174</f>
        <v>0</v>
      </c>
      <c r="AB173" s="50">
        <f t="shared" ref="AB173" si="393">AB174</f>
        <v>0</v>
      </c>
      <c r="AC173" s="50">
        <f t="shared" ref="AC173" si="394">AC174</f>
        <v>0</v>
      </c>
      <c r="AD173" s="50">
        <f t="shared" ref="AD173" si="395">AD174</f>
        <v>0</v>
      </c>
      <c r="AE173" s="17">
        <f t="shared" ref="AE173" si="396">AE174</f>
        <v>0</v>
      </c>
      <c r="AF173" s="17">
        <f t="shared" ref="AF173" si="397">AF174</f>
        <v>0</v>
      </c>
      <c r="AG173" s="17">
        <f t="shared" ref="AG173" si="398">AG174</f>
        <v>0</v>
      </c>
      <c r="AH173" s="50">
        <f t="shared" ref="AH173" si="399">AH174</f>
        <v>0</v>
      </c>
      <c r="AI173" s="50">
        <f t="shared" ref="AI173" si="400">AI174</f>
        <v>0</v>
      </c>
      <c r="AJ173" s="50">
        <f t="shared" ref="AJ173" si="401">AJ174</f>
        <v>0</v>
      </c>
      <c r="AK173" s="50">
        <f t="shared" ref="AK173" si="402">AK174</f>
        <v>0</v>
      </c>
      <c r="AL173" s="50">
        <f t="shared" ref="AL173" si="403">AL174</f>
        <v>0</v>
      </c>
      <c r="AM173" s="50">
        <f t="shared" ref="AM173" si="404">AM174</f>
        <v>0</v>
      </c>
      <c r="AN173" s="50">
        <f t="shared" ref="AN173" si="405">AN174</f>
        <v>0</v>
      </c>
      <c r="AO173" s="50">
        <f t="shared" ref="AO173" si="406">AO174</f>
        <v>0</v>
      </c>
      <c r="AP173" s="50">
        <f t="shared" ref="AP173" si="407">AP174</f>
        <v>0</v>
      </c>
      <c r="AQ173" s="50">
        <f t="shared" ref="AQ173" si="408">AQ174</f>
        <v>0</v>
      </c>
      <c r="AR173" s="50">
        <f t="shared" ref="AR173" si="409">AR174</f>
        <v>0</v>
      </c>
      <c r="AS173" s="50">
        <f t="shared" ref="AS173" si="410">AS174</f>
        <v>0</v>
      </c>
      <c r="AT173" s="50">
        <f t="shared" ref="AT173" si="411">AT174</f>
        <v>0</v>
      </c>
      <c r="AU173" s="50">
        <f t="shared" ref="AU173" si="412">AU174</f>
        <v>0</v>
      </c>
      <c r="AV173" s="50">
        <f t="shared" ref="AV173" si="413">AV174</f>
        <v>0</v>
      </c>
      <c r="AW173" s="50">
        <f t="shared" ref="AW173" si="414">AW174</f>
        <v>0</v>
      </c>
      <c r="AX173" s="50">
        <f t="shared" ref="AX173" si="415">AX174</f>
        <v>0</v>
      </c>
      <c r="AY173" s="50">
        <f t="shared" ref="AY173" si="416">AY174</f>
        <v>0</v>
      </c>
      <c r="AZ173" s="50">
        <f t="shared" ref="AZ173" si="417">AZ174</f>
        <v>0</v>
      </c>
      <c r="BA173" s="17">
        <f t="shared" ref="BA173" si="418">BA174</f>
        <v>0</v>
      </c>
      <c r="BB173" s="17">
        <f t="shared" ref="BB173" si="419">BB174</f>
        <v>0</v>
      </c>
      <c r="BC173" s="17">
        <f t="shared" ref="BC173" si="420">BC174</f>
        <v>0</v>
      </c>
      <c r="BD173" s="17">
        <f t="shared" ref="BD173" si="421">BD174</f>
        <v>0</v>
      </c>
      <c r="BE173" s="17">
        <f t="shared" ref="BE173" si="422">BE174</f>
        <v>0</v>
      </c>
      <c r="BF173" s="17">
        <f t="shared" ref="BF173" si="423">BF174</f>
        <v>0</v>
      </c>
      <c r="BG173" s="17">
        <f t="shared" ref="BG173" si="424">BG174</f>
        <v>0</v>
      </c>
      <c r="BH173" s="17">
        <f t="shared" ref="BH173:BI173" si="425">BH174</f>
        <v>0</v>
      </c>
      <c r="BI173" s="17">
        <f t="shared" si="425"/>
        <v>0</v>
      </c>
      <c r="BJ173" s="17">
        <f t="shared" ref="BJ173" si="426">BJ174</f>
        <v>0</v>
      </c>
      <c r="BK173" s="17">
        <f t="shared" ref="BK173:BM173" si="427">BK174</f>
        <v>0</v>
      </c>
      <c r="BL173" s="17">
        <f t="shared" ref="BL173" si="428">BL174</f>
        <v>0</v>
      </c>
      <c r="BM173" s="17">
        <f t="shared" si="427"/>
        <v>0</v>
      </c>
      <c r="BN173" s="17">
        <f t="shared" ref="BN173" si="429">BN174</f>
        <v>0</v>
      </c>
      <c r="BO173" s="17">
        <f t="shared" ref="BO173" si="430">BO174</f>
        <v>0</v>
      </c>
      <c r="BP173" s="17">
        <f t="shared" ref="BP173" si="431">BP174</f>
        <v>0</v>
      </c>
      <c r="BQ173" s="17">
        <f t="shared" ref="BQ173" si="432">BQ174</f>
        <v>0</v>
      </c>
      <c r="BR173" s="17">
        <f t="shared" ref="BR173" si="433">BR174</f>
        <v>0</v>
      </c>
      <c r="BS173" s="17">
        <f t="shared" ref="BS173" si="434">BS174</f>
        <v>0</v>
      </c>
      <c r="BT173" s="17">
        <f t="shared" ref="BT173" si="435">BT174</f>
        <v>0</v>
      </c>
      <c r="BU173" s="17">
        <f t="shared" ref="BU173" si="436">BU174</f>
        <v>0</v>
      </c>
      <c r="BV173" s="17">
        <f t="shared" ref="BV173" si="437">BV174</f>
        <v>0</v>
      </c>
      <c r="BW173" s="17">
        <f t="shared" ref="BW173" si="438">BW174</f>
        <v>0</v>
      </c>
      <c r="BX173" s="17">
        <f t="shared" ref="BX173" si="439">BX174</f>
        <v>0</v>
      </c>
      <c r="BY173" s="17">
        <f t="shared" ref="BY173" si="440">BY174</f>
        <v>0</v>
      </c>
      <c r="BZ173" s="17">
        <f t="shared" ref="BZ173" si="441">BZ174</f>
        <v>0</v>
      </c>
      <c r="CA173" s="17">
        <f t="shared" ref="CA173" si="442">CA174</f>
        <v>4668</v>
      </c>
      <c r="CB173" s="17">
        <f t="shared" ref="CB173" si="443">CB174</f>
        <v>4668</v>
      </c>
      <c r="CC173" s="17">
        <f t="shared" ref="CC173" si="444">CC174</f>
        <v>4668</v>
      </c>
      <c r="CD173" s="17">
        <f t="shared" ref="CD173" si="445">CD174</f>
        <v>0</v>
      </c>
      <c r="CE173" s="17">
        <f t="shared" ref="CE173" si="446">CE174</f>
        <v>4668</v>
      </c>
      <c r="CF173" s="17">
        <f t="shared" ref="CF173" si="447">CF174</f>
        <v>0</v>
      </c>
      <c r="CG173" s="17">
        <f t="shared" ref="CG173" si="448">CG174</f>
        <v>0</v>
      </c>
      <c r="CH173" s="17">
        <f t="shared" ref="CH173" si="449">CH174</f>
        <v>0</v>
      </c>
      <c r="CI173" s="17">
        <f t="shared" ref="CI173" si="450">CI174</f>
        <v>0</v>
      </c>
      <c r="CJ173" s="17">
        <f t="shared" ref="CJ173" si="451">CJ174</f>
        <v>0</v>
      </c>
      <c r="CK173" s="17">
        <f t="shared" ref="CK173" si="452">CK174</f>
        <v>0</v>
      </c>
      <c r="CL173" s="17">
        <f t="shared" ref="CL173" si="453">CL174</f>
        <v>0</v>
      </c>
      <c r="CM173" s="17">
        <f t="shared" ref="CM173" si="454">CM174</f>
        <v>0</v>
      </c>
      <c r="CN173" s="17">
        <f t="shared" ref="CN173" si="455">CN174</f>
        <v>0</v>
      </c>
      <c r="CO173" s="64"/>
      <c r="CP173" s="64"/>
      <c r="CQ173" s="64"/>
      <c r="CR173" s="64"/>
      <c r="CS173" s="51"/>
      <c r="GP173" s="44"/>
    </row>
    <row r="174" spans="1:198" s="52" customFormat="1" ht="31.2" x14ac:dyDescent="0.3">
      <c r="A174" s="90"/>
      <c r="B174" s="29" t="s">
        <v>58</v>
      </c>
      <c r="C174" s="28" t="s">
        <v>601</v>
      </c>
      <c r="D174" s="18">
        <f>SUM(E174+CA174)</f>
        <v>463469</v>
      </c>
      <c r="E174" s="18">
        <f>SUM(F174+BA174)</f>
        <v>458801</v>
      </c>
      <c r="F174" s="18">
        <f>SUM(G174+H174+I174+P174+S174+T174+U174+AE174+AD174)</f>
        <v>458801</v>
      </c>
      <c r="G174" s="21">
        <v>355815</v>
      </c>
      <c r="H174" s="21">
        <v>84355</v>
      </c>
      <c r="I174" s="18">
        <f t="shared" ref="I174" si="456">SUM(J174:O174)</f>
        <v>0</v>
      </c>
      <c r="J174" s="21">
        <v>0</v>
      </c>
      <c r="K174" s="21">
        <v>0</v>
      </c>
      <c r="L174" s="21">
        <v>0</v>
      </c>
      <c r="M174" s="21">
        <v>0</v>
      </c>
      <c r="N174" s="21"/>
      <c r="O174" s="21">
        <f>1497-1497</f>
        <v>0</v>
      </c>
      <c r="P174" s="18">
        <f t="shared" ref="P174" si="457">SUM(Q174:R174)</f>
        <v>0</v>
      </c>
      <c r="Q174" s="18"/>
      <c r="R174" s="21">
        <v>0</v>
      </c>
      <c r="S174" s="21">
        <v>0</v>
      </c>
      <c r="T174" s="21">
        <v>10025</v>
      </c>
      <c r="U174" s="18">
        <f>SUM(V174:AC174)</f>
        <v>8606</v>
      </c>
      <c r="V174" s="21">
        <f>1300+113</f>
        <v>1413</v>
      </c>
      <c r="W174" s="21">
        <f>2365+927</f>
        <v>3292</v>
      </c>
      <c r="X174" s="21">
        <f>1652+1940</f>
        <v>3592</v>
      </c>
      <c r="Y174" s="21">
        <f>268+41</f>
        <v>309</v>
      </c>
      <c r="Z174" s="21">
        <v>0</v>
      </c>
      <c r="AA174" s="21">
        <v>0</v>
      </c>
      <c r="AB174" s="21">
        <v>0</v>
      </c>
      <c r="AC174" s="21">
        <v>0</v>
      </c>
      <c r="AD174" s="21">
        <v>0</v>
      </c>
      <c r="AE174" s="18">
        <f>SUM(AF174:AZ174)</f>
        <v>0</v>
      </c>
      <c r="AF174" s="18">
        <v>0</v>
      </c>
      <c r="AG174" s="18">
        <v>0</v>
      </c>
      <c r="AH174" s="21">
        <v>0</v>
      </c>
      <c r="AI174" s="21">
        <v>0</v>
      </c>
      <c r="AJ174" s="21">
        <v>0</v>
      </c>
      <c r="AK174" s="21">
        <v>0</v>
      </c>
      <c r="AL174" s="21">
        <v>0</v>
      </c>
      <c r="AM174" s="21">
        <v>0</v>
      </c>
      <c r="AN174" s="21"/>
      <c r="AO174" s="21">
        <v>0</v>
      </c>
      <c r="AP174" s="21">
        <v>0</v>
      </c>
      <c r="AQ174" s="21">
        <v>0</v>
      </c>
      <c r="AR174" s="21">
        <v>0</v>
      </c>
      <c r="AS174" s="21">
        <v>0</v>
      </c>
      <c r="AT174" s="21">
        <v>0</v>
      </c>
      <c r="AU174" s="21">
        <v>0</v>
      </c>
      <c r="AV174" s="21">
        <v>0</v>
      </c>
      <c r="AW174" s="21">
        <v>0</v>
      </c>
      <c r="AX174" s="21">
        <v>0</v>
      </c>
      <c r="AY174" s="21">
        <v>0</v>
      </c>
      <c r="AZ174" s="21">
        <v>0</v>
      </c>
      <c r="BA174" s="18">
        <f>SUM(BB174+BF174+BJ174+BL174+BO174)</f>
        <v>0</v>
      </c>
      <c r="BB174" s="18">
        <f>SUM(BC174:BE174)</f>
        <v>0</v>
      </c>
      <c r="BC174" s="18">
        <v>0</v>
      </c>
      <c r="BD174" s="18">
        <v>0</v>
      </c>
      <c r="BE174" s="18">
        <v>0</v>
      </c>
      <c r="BF174" s="18">
        <f>SUM(BG174:BI174)</f>
        <v>0</v>
      </c>
      <c r="BG174" s="18">
        <v>0</v>
      </c>
      <c r="BH174" s="18">
        <v>0</v>
      </c>
      <c r="BI174" s="18">
        <v>0</v>
      </c>
      <c r="BJ174" s="18">
        <v>0</v>
      </c>
      <c r="BK174" s="18">
        <v>0</v>
      </c>
      <c r="BL174" s="18">
        <f t="shared" ref="BL174" si="458">SUM(BM174)</f>
        <v>0</v>
      </c>
      <c r="BM174" s="18">
        <v>0</v>
      </c>
      <c r="BN174" s="18">
        <v>0</v>
      </c>
      <c r="BO174" s="18">
        <f>SUM(BP174:BZ174)</f>
        <v>0</v>
      </c>
      <c r="BP174" s="18">
        <v>0</v>
      </c>
      <c r="BQ174" s="18">
        <v>0</v>
      </c>
      <c r="BR174" s="18">
        <v>0</v>
      </c>
      <c r="BS174" s="18">
        <v>0</v>
      </c>
      <c r="BT174" s="18">
        <v>0</v>
      </c>
      <c r="BU174" s="18">
        <v>0</v>
      </c>
      <c r="BV174" s="18">
        <v>0</v>
      </c>
      <c r="BW174" s="18">
        <v>0</v>
      </c>
      <c r="BX174" s="18">
        <v>0</v>
      </c>
      <c r="BY174" s="18">
        <v>0</v>
      </c>
      <c r="BZ174" s="18">
        <v>0</v>
      </c>
      <c r="CA174" s="18">
        <f>SUM(CB174+CN174)</f>
        <v>4668</v>
      </c>
      <c r="CB174" s="18">
        <f>SUM(CC174+CF174+CK174)</f>
        <v>4668</v>
      </c>
      <c r="CC174" s="18">
        <f t="shared" ref="CC174" si="459">SUM(CD174:CE174)</f>
        <v>4668</v>
      </c>
      <c r="CD174" s="18">
        <v>0</v>
      </c>
      <c r="CE174" s="21">
        <f>23454-18786</f>
        <v>4668</v>
      </c>
      <c r="CF174" s="18">
        <f>SUM(CG174:CJ174)</f>
        <v>0</v>
      </c>
      <c r="CG174" s="18">
        <v>0</v>
      </c>
      <c r="CH174" s="18">
        <v>0</v>
      </c>
      <c r="CI174" s="18">
        <v>0</v>
      </c>
      <c r="CJ174" s="18">
        <v>0</v>
      </c>
      <c r="CK174" s="18">
        <f>SUM(CL174:CM174)</f>
        <v>0</v>
      </c>
      <c r="CL174" s="18"/>
      <c r="CM174" s="18">
        <v>0</v>
      </c>
      <c r="CN174" s="18">
        <v>0</v>
      </c>
      <c r="CO174" s="65"/>
      <c r="CP174" s="65"/>
      <c r="CQ174" s="65"/>
      <c r="CR174" s="65"/>
      <c r="CS174" s="46"/>
    </row>
    <row r="175" spans="1:198" ht="15.6" x14ac:dyDescent="0.3">
      <c r="A175" s="91" t="s">
        <v>227</v>
      </c>
      <c r="B175" s="23" t="s">
        <v>1</v>
      </c>
      <c r="C175" s="24" t="s">
        <v>228</v>
      </c>
      <c r="D175" s="25">
        <f>SUM(D176+D178+D181+D184+D186)</f>
        <v>990611867</v>
      </c>
      <c r="E175" s="25">
        <f t="shared" ref="E175:BU175" si="460">SUM(E176+E178+E181+E184+E186)</f>
        <v>990549448</v>
      </c>
      <c r="F175" s="25">
        <f t="shared" si="460"/>
        <v>988349948</v>
      </c>
      <c r="G175" s="25">
        <f t="shared" si="460"/>
        <v>575935100</v>
      </c>
      <c r="H175" s="25">
        <f t="shared" si="460"/>
        <v>135821950</v>
      </c>
      <c r="I175" s="25">
        <f t="shared" si="460"/>
        <v>139814277</v>
      </c>
      <c r="J175" s="25">
        <f t="shared" si="460"/>
        <v>104798133</v>
      </c>
      <c r="K175" s="25">
        <f t="shared" si="460"/>
        <v>126268</v>
      </c>
      <c r="L175" s="25">
        <f t="shared" si="460"/>
        <v>18297128</v>
      </c>
      <c r="M175" s="25">
        <f t="shared" si="460"/>
        <v>0</v>
      </c>
      <c r="N175" s="25">
        <f t="shared" si="460"/>
        <v>14609384</v>
      </c>
      <c r="O175" s="25">
        <f t="shared" si="460"/>
        <v>1983364</v>
      </c>
      <c r="P175" s="25">
        <f t="shared" si="460"/>
        <v>6694</v>
      </c>
      <c r="Q175" s="25">
        <f t="shared" si="460"/>
        <v>1310</v>
      </c>
      <c r="R175" s="25">
        <f t="shared" si="460"/>
        <v>5384</v>
      </c>
      <c r="S175" s="25">
        <f t="shared" si="460"/>
        <v>0</v>
      </c>
      <c r="T175" s="25">
        <f t="shared" si="460"/>
        <v>1664789</v>
      </c>
      <c r="U175" s="25">
        <f t="shared" si="460"/>
        <v>41122637</v>
      </c>
      <c r="V175" s="25">
        <f t="shared" si="460"/>
        <v>619979</v>
      </c>
      <c r="W175" s="25">
        <f t="shared" si="460"/>
        <v>17903042</v>
      </c>
      <c r="X175" s="25">
        <f t="shared" si="460"/>
        <v>14658943</v>
      </c>
      <c r="Y175" s="25">
        <f t="shared" si="460"/>
        <v>6850587</v>
      </c>
      <c r="Z175" s="25">
        <f t="shared" si="460"/>
        <v>676624</v>
      </c>
      <c r="AA175" s="25">
        <f t="shared" si="460"/>
        <v>0</v>
      </c>
      <c r="AB175" s="25">
        <f t="shared" si="460"/>
        <v>0</v>
      </c>
      <c r="AC175" s="25">
        <f t="shared" si="460"/>
        <v>413462</v>
      </c>
      <c r="AD175" s="25">
        <f t="shared" si="460"/>
        <v>0</v>
      </c>
      <c r="AE175" s="25">
        <f t="shared" si="460"/>
        <v>93984501</v>
      </c>
      <c r="AF175" s="25">
        <f t="shared" si="460"/>
        <v>0</v>
      </c>
      <c r="AG175" s="25">
        <f t="shared" si="460"/>
        <v>0</v>
      </c>
      <c r="AH175" s="25">
        <f t="shared" si="460"/>
        <v>0</v>
      </c>
      <c r="AI175" s="25">
        <f t="shared" si="460"/>
        <v>0</v>
      </c>
      <c r="AJ175" s="25">
        <f t="shared" si="460"/>
        <v>0</v>
      </c>
      <c r="AK175" s="25">
        <f t="shared" si="460"/>
        <v>0</v>
      </c>
      <c r="AL175" s="25">
        <f t="shared" si="460"/>
        <v>0</v>
      </c>
      <c r="AM175" s="25">
        <f t="shared" si="460"/>
        <v>0</v>
      </c>
      <c r="AN175" s="25">
        <f t="shared" si="460"/>
        <v>17794</v>
      </c>
      <c r="AO175" s="25">
        <f t="shared" si="460"/>
        <v>0</v>
      </c>
      <c r="AP175" s="25">
        <f t="shared" si="460"/>
        <v>0</v>
      </c>
      <c r="AQ175" s="25">
        <f t="shared" si="460"/>
        <v>0</v>
      </c>
      <c r="AR175" s="25">
        <f t="shared" si="460"/>
        <v>1686945</v>
      </c>
      <c r="AS175" s="25">
        <f t="shared" si="460"/>
        <v>151195</v>
      </c>
      <c r="AT175" s="25">
        <f t="shared" si="460"/>
        <v>0</v>
      </c>
      <c r="AU175" s="25">
        <f t="shared" si="460"/>
        <v>1922587</v>
      </c>
      <c r="AV175" s="25">
        <f t="shared" si="460"/>
        <v>6268746</v>
      </c>
      <c r="AW175" s="25">
        <f t="shared" si="460"/>
        <v>0</v>
      </c>
      <c r="AX175" s="25">
        <f t="shared" si="460"/>
        <v>31476</v>
      </c>
      <c r="AY175" s="25">
        <f t="shared" ref="AY175" si="461">SUM(AY176+AY178+AY181+AY184+AY186)</f>
        <v>27615240</v>
      </c>
      <c r="AZ175" s="25">
        <f t="shared" si="460"/>
        <v>56290518</v>
      </c>
      <c r="BA175" s="25">
        <f t="shared" si="460"/>
        <v>2199500</v>
      </c>
      <c r="BB175" s="25">
        <f t="shared" si="460"/>
        <v>0</v>
      </c>
      <c r="BC175" s="25">
        <f t="shared" si="460"/>
        <v>0</v>
      </c>
      <c r="BD175" s="25">
        <f t="shared" si="460"/>
        <v>0</v>
      </c>
      <c r="BE175" s="25">
        <f t="shared" si="460"/>
        <v>0</v>
      </c>
      <c r="BF175" s="25">
        <f t="shared" si="460"/>
        <v>0</v>
      </c>
      <c r="BG175" s="25">
        <f t="shared" si="460"/>
        <v>0</v>
      </c>
      <c r="BH175" s="25">
        <f t="shared" ref="BH175" si="462">SUM(BH176+BH178+BH181+BH184+BH186)</f>
        <v>0</v>
      </c>
      <c r="BI175" s="25">
        <f t="shared" si="460"/>
        <v>0</v>
      </c>
      <c r="BJ175" s="25">
        <f t="shared" si="460"/>
        <v>0</v>
      </c>
      <c r="BK175" s="25">
        <f t="shared" ref="BK175" si="463">SUM(BK176+BK178+BK181+BK184+BK186)</f>
        <v>0</v>
      </c>
      <c r="BL175" s="25">
        <f t="shared" si="460"/>
        <v>0</v>
      </c>
      <c r="BM175" s="25">
        <f t="shared" si="460"/>
        <v>0</v>
      </c>
      <c r="BN175" s="25">
        <f t="shared" ref="BN175" si="464">SUM(BN176+BN178+BN181+BN184+BN186)</f>
        <v>0</v>
      </c>
      <c r="BO175" s="25">
        <f t="shared" si="460"/>
        <v>2199500</v>
      </c>
      <c r="BP175" s="25">
        <f t="shared" si="460"/>
        <v>0</v>
      </c>
      <c r="BQ175" s="25">
        <f t="shared" si="460"/>
        <v>0</v>
      </c>
      <c r="BR175" s="25">
        <f t="shared" si="460"/>
        <v>0</v>
      </c>
      <c r="BS175" s="25">
        <f t="shared" si="460"/>
        <v>0</v>
      </c>
      <c r="BT175" s="25">
        <f t="shared" si="460"/>
        <v>0</v>
      </c>
      <c r="BU175" s="25">
        <f t="shared" si="460"/>
        <v>0</v>
      </c>
      <c r="BV175" s="25">
        <f t="shared" ref="BV175:CQ175" si="465">SUM(BV176+BV178+BV181+BV184+BV186)</f>
        <v>0</v>
      </c>
      <c r="BW175" s="25">
        <f t="shared" si="465"/>
        <v>0</v>
      </c>
      <c r="BX175" s="25">
        <f t="shared" si="465"/>
        <v>0</v>
      </c>
      <c r="BY175" s="25">
        <f t="shared" si="465"/>
        <v>0</v>
      </c>
      <c r="BZ175" s="25">
        <f t="shared" si="465"/>
        <v>2199500</v>
      </c>
      <c r="CA175" s="25">
        <f t="shared" si="465"/>
        <v>62419</v>
      </c>
      <c r="CB175" s="25">
        <f t="shared" si="465"/>
        <v>62419</v>
      </c>
      <c r="CC175" s="25">
        <f t="shared" si="465"/>
        <v>62419</v>
      </c>
      <c r="CD175" s="25">
        <f t="shared" si="465"/>
        <v>0</v>
      </c>
      <c r="CE175" s="25">
        <f t="shared" si="465"/>
        <v>62419</v>
      </c>
      <c r="CF175" s="25">
        <f t="shared" si="465"/>
        <v>0</v>
      </c>
      <c r="CG175" s="25">
        <f t="shared" ref="CG175:CH175" si="466">SUM(CG176+CG178+CG181+CG184+CG186)</f>
        <v>0</v>
      </c>
      <c r="CH175" s="25">
        <f t="shared" si="466"/>
        <v>0</v>
      </c>
      <c r="CI175" s="25">
        <f t="shared" si="465"/>
        <v>0</v>
      </c>
      <c r="CJ175" s="25">
        <f t="shared" ref="CJ175" si="467">SUM(CJ176+CJ178+CJ181+CJ184+CJ186)</f>
        <v>0</v>
      </c>
      <c r="CK175" s="25">
        <f t="shared" si="465"/>
        <v>0</v>
      </c>
      <c r="CL175" s="25">
        <f t="shared" ref="CL175" si="468">SUM(CL176+CL178+CL181+CL184+CL186)</f>
        <v>0</v>
      </c>
      <c r="CM175" s="25">
        <f t="shared" si="465"/>
        <v>0</v>
      </c>
      <c r="CN175" s="25">
        <f t="shared" si="465"/>
        <v>0</v>
      </c>
      <c r="CO175" s="25">
        <f t="shared" si="465"/>
        <v>0</v>
      </c>
      <c r="CP175" s="25">
        <f t="shared" si="465"/>
        <v>0</v>
      </c>
      <c r="CQ175" s="25">
        <f t="shared" si="465"/>
        <v>0</v>
      </c>
      <c r="CR175" s="25">
        <f t="shared" ref="CR175" si="469">SUM(CR176+CR178+CR181+CR184+CR186)</f>
        <v>0</v>
      </c>
      <c r="CS175" s="51"/>
    </row>
    <row r="176" spans="1:198" s="52" customFormat="1" ht="15.6" x14ac:dyDescent="0.3">
      <c r="A176" s="89" t="s">
        <v>229</v>
      </c>
      <c r="B176" s="15" t="s">
        <v>1</v>
      </c>
      <c r="C176" s="16" t="s">
        <v>230</v>
      </c>
      <c r="D176" s="17">
        <f>SUM(D177)</f>
        <v>763274161</v>
      </c>
      <c r="E176" s="17">
        <f t="shared" ref="E176:BU176" si="470">SUM(E177)</f>
        <v>763274161</v>
      </c>
      <c r="F176" s="17">
        <f t="shared" si="470"/>
        <v>761279718</v>
      </c>
      <c r="G176" s="17">
        <f t="shared" si="470"/>
        <v>435510458</v>
      </c>
      <c r="H176" s="17">
        <f t="shared" si="470"/>
        <v>102917553</v>
      </c>
      <c r="I176" s="17">
        <f t="shared" si="470"/>
        <v>95977803</v>
      </c>
      <c r="J176" s="17">
        <f t="shared" si="470"/>
        <v>69105370</v>
      </c>
      <c r="K176" s="17">
        <f t="shared" si="470"/>
        <v>0</v>
      </c>
      <c r="L176" s="17">
        <f t="shared" si="470"/>
        <v>17288812</v>
      </c>
      <c r="M176" s="17">
        <f t="shared" si="470"/>
        <v>0</v>
      </c>
      <c r="N176" s="17">
        <f t="shared" si="470"/>
        <v>7803292</v>
      </c>
      <c r="O176" s="17">
        <f t="shared" si="470"/>
        <v>1780329</v>
      </c>
      <c r="P176" s="17">
        <f t="shared" si="470"/>
        <v>0</v>
      </c>
      <c r="Q176" s="17">
        <f t="shared" si="470"/>
        <v>0</v>
      </c>
      <c r="R176" s="17">
        <f t="shared" si="470"/>
        <v>0</v>
      </c>
      <c r="S176" s="17">
        <f t="shared" si="470"/>
        <v>0</v>
      </c>
      <c r="T176" s="17">
        <f t="shared" si="470"/>
        <v>983348</v>
      </c>
      <c r="U176" s="17">
        <f t="shared" si="470"/>
        <v>37273112</v>
      </c>
      <c r="V176" s="17">
        <f t="shared" si="470"/>
        <v>591321</v>
      </c>
      <c r="W176" s="17">
        <f t="shared" si="470"/>
        <v>16149919</v>
      </c>
      <c r="X176" s="17">
        <f t="shared" si="470"/>
        <v>13202585</v>
      </c>
      <c r="Y176" s="17">
        <f t="shared" si="470"/>
        <v>6396232</v>
      </c>
      <c r="Z176" s="17">
        <f t="shared" si="470"/>
        <v>670424</v>
      </c>
      <c r="AA176" s="17">
        <f t="shared" si="470"/>
        <v>0</v>
      </c>
      <c r="AB176" s="17">
        <f t="shared" si="470"/>
        <v>0</v>
      </c>
      <c r="AC176" s="17">
        <f t="shared" si="470"/>
        <v>262631</v>
      </c>
      <c r="AD176" s="17">
        <f t="shared" si="470"/>
        <v>0</v>
      </c>
      <c r="AE176" s="17">
        <f t="shared" si="470"/>
        <v>88617444</v>
      </c>
      <c r="AF176" s="17">
        <f t="shared" si="470"/>
        <v>0</v>
      </c>
      <c r="AG176" s="17">
        <f t="shared" si="470"/>
        <v>0</v>
      </c>
      <c r="AH176" s="17">
        <f t="shared" si="470"/>
        <v>0</v>
      </c>
      <c r="AI176" s="17">
        <f t="shared" si="470"/>
        <v>0</v>
      </c>
      <c r="AJ176" s="17">
        <f t="shared" si="470"/>
        <v>0</v>
      </c>
      <c r="AK176" s="17">
        <f t="shared" si="470"/>
        <v>0</v>
      </c>
      <c r="AL176" s="17">
        <f t="shared" si="470"/>
        <v>0</v>
      </c>
      <c r="AM176" s="17">
        <f t="shared" si="470"/>
        <v>0</v>
      </c>
      <c r="AN176" s="17">
        <f t="shared" si="470"/>
        <v>0</v>
      </c>
      <c r="AO176" s="17">
        <f t="shared" si="470"/>
        <v>0</v>
      </c>
      <c r="AP176" s="17">
        <f t="shared" si="470"/>
        <v>0</v>
      </c>
      <c r="AQ176" s="17">
        <f t="shared" si="470"/>
        <v>0</v>
      </c>
      <c r="AR176" s="17">
        <f t="shared" si="470"/>
        <v>1181597</v>
      </c>
      <c r="AS176" s="17">
        <f t="shared" si="470"/>
        <v>98200</v>
      </c>
      <c r="AT176" s="17">
        <f t="shared" si="470"/>
        <v>0</v>
      </c>
      <c r="AU176" s="17">
        <f t="shared" si="470"/>
        <v>1031112</v>
      </c>
      <c r="AV176" s="17">
        <f t="shared" si="470"/>
        <v>6032889</v>
      </c>
      <c r="AW176" s="17">
        <f t="shared" si="470"/>
        <v>0</v>
      </c>
      <c r="AX176" s="17">
        <f t="shared" si="470"/>
        <v>0</v>
      </c>
      <c r="AY176" s="17">
        <f t="shared" si="470"/>
        <v>27615240</v>
      </c>
      <c r="AZ176" s="17">
        <f t="shared" si="470"/>
        <v>52658406</v>
      </c>
      <c r="BA176" s="17">
        <f t="shared" si="470"/>
        <v>1994443</v>
      </c>
      <c r="BB176" s="17">
        <f t="shared" si="470"/>
        <v>0</v>
      </c>
      <c r="BC176" s="17">
        <f t="shared" si="470"/>
        <v>0</v>
      </c>
      <c r="BD176" s="17">
        <f t="shared" si="470"/>
        <v>0</v>
      </c>
      <c r="BE176" s="17">
        <f t="shared" si="470"/>
        <v>0</v>
      </c>
      <c r="BF176" s="17">
        <f t="shared" si="470"/>
        <v>0</v>
      </c>
      <c r="BG176" s="17">
        <f t="shared" si="470"/>
        <v>0</v>
      </c>
      <c r="BH176" s="17">
        <f t="shared" si="470"/>
        <v>0</v>
      </c>
      <c r="BI176" s="17">
        <f t="shared" si="470"/>
        <v>0</v>
      </c>
      <c r="BJ176" s="17">
        <f t="shared" si="470"/>
        <v>0</v>
      </c>
      <c r="BK176" s="17">
        <f t="shared" si="470"/>
        <v>0</v>
      </c>
      <c r="BL176" s="17">
        <f t="shared" si="470"/>
        <v>0</v>
      </c>
      <c r="BM176" s="17">
        <f t="shared" si="470"/>
        <v>0</v>
      </c>
      <c r="BN176" s="17">
        <f t="shared" si="470"/>
        <v>0</v>
      </c>
      <c r="BO176" s="17">
        <f t="shared" si="470"/>
        <v>1994443</v>
      </c>
      <c r="BP176" s="17">
        <f t="shared" si="470"/>
        <v>0</v>
      </c>
      <c r="BQ176" s="17">
        <f t="shared" si="470"/>
        <v>0</v>
      </c>
      <c r="BR176" s="17">
        <f t="shared" si="470"/>
        <v>0</v>
      </c>
      <c r="BS176" s="17">
        <f t="shared" si="470"/>
        <v>0</v>
      </c>
      <c r="BT176" s="17">
        <f t="shared" si="470"/>
        <v>0</v>
      </c>
      <c r="BU176" s="17">
        <f t="shared" si="470"/>
        <v>0</v>
      </c>
      <c r="BV176" s="17">
        <f t="shared" ref="BV176:CN176" si="471">SUM(BV177)</f>
        <v>0</v>
      </c>
      <c r="BW176" s="17">
        <f t="shared" si="471"/>
        <v>0</v>
      </c>
      <c r="BX176" s="17">
        <f t="shared" si="471"/>
        <v>0</v>
      </c>
      <c r="BY176" s="17">
        <f t="shared" si="471"/>
        <v>0</v>
      </c>
      <c r="BZ176" s="17">
        <f t="shared" si="471"/>
        <v>1994443</v>
      </c>
      <c r="CA176" s="17">
        <f t="shared" si="471"/>
        <v>0</v>
      </c>
      <c r="CB176" s="17">
        <f t="shared" si="471"/>
        <v>0</v>
      </c>
      <c r="CC176" s="17">
        <f t="shared" si="471"/>
        <v>0</v>
      </c>
      <c r="CD176" s="17">
        <f t="shared" si="471"/>
        <v>0</v>
      </c>
      <c r="CE176" s="17">
        <f t="shared" si="471"/>
        <v>0</v>
      </c>
      <c r="CF176" s="17">
        <f t="shared" si="471"/>
        <v>0</v>
      </c>
      <c r="CG176" s="17">
        <f t="shared" si="471"/>
        <v>0</v>
      </c>
      <c r="CH176" s="17">
        <f t="shared" si="471"/>
        <v>0</v>
      </c>
      <c r="CI176" s="17">
        <f t="shared" si="471"/>
        <v>0</v>
      </c>
      <c r="CJ176" s="17">
        <f t="shared" si="471"/>
        <v>0</v>
      </c>
      <c r="CK176" s="17">
        <f t="shared" si="471"/>
        <v>0</v>
      </c>
      <c r="CL176" s="17">
        <f t="shared" si="471"/>
        <v>0</v>
      </c>
      <c r="CM176" s="17">
        <f t="shared" si="471"/>
        <v>0</v>
      </c>
      <c r="CN176" s="17">
        <f t="shared" si="471"/>
        <v>0</v>
      </c>
      <c r="CO176" s="64"/>
      <c r="CP176" s="64"/>
      <c r="CQ176" s="64"/>
      <c r="CR176" s="64"/>
      <c r="CS176" s="51"/>
    </row>
    <row r="177" spans="1:198" s="68" customFormat="1" ht="15.6" x14ac:dyDescent="0.3">
      <c r="A177" s="92" t="s">
        <v>1</v>
      </c>
      <c r="B177" s="62" t="s">
        <v>54</v>
      </c>
      <c r="C177" s="63" t="s">
        <v>230</v>
      </c>
      <c r="D177" s="65">
        <f>SUM(E177+CA177)</f>
        <v>763274161</v>
      </c>
      <c r="E177" s="65">
        <f>SUM(F177+BA177)</f>
        <v>763274161</v>
      </c>
      <c r="F177" s="65">
        <f>SUM(G177+H177+I177+P177+S177+T177+U177+AE177+AD177)</f>
        <v>761279718</v>
      </c>
      <c r="G177" s="66">
        <v>435510458</v>
      </c>
      <c r="H177" s="66">
        <v>102917553</v>
      </c>
      <c r="I177" s="65">
        <f t="shared" si="327"/>
        <v>95977803</v>
      </c>
      <c r="J177" s="66">
        <v>69105370</v>
      </c>
      <c r="K177" s="66">
        <f>571729-571729</f>
        <v>0</v>
      </c>
      <c r="L177" s="66">
        <v>17288812</v>
      </c>
      <c r="M177" s="66">
        <v>0</v>
      </c>
      <c r="N177" s="66">
        <f>8103292-300000</f>
        <v>7803292</v>
      </c>
      <c r="O177" s="66">
        <f>2026472-246143</f>
        <v>1780329</v>
      </c>
      <c r="P177" s="65">
        <f t="shared" si="328"/>
        <v>0</v>
      </c>
      <c r="Q177" s="65">
        <v>0</v>
      </c>
      <c r="R177" s="65"/>
      <c r="S177" s="65"/>
      <c r="T177" s="66">
        <v>983348</v>
      </c>
      <c r="U177" s="65">
        <f t="shared" ref="U177" si="472">SUM(V177:AC177)</f>
        <v>37273112</v>
      </c>
      <c r="V177" s="66">
        <f>592658-1337</f>
        <v>591321</v>
      </c>
      <c r="W177" s="66">
        <f>11918560+3987439+243920</f>
        <v>16149919</v>
      </c>
      <c r="X177" s="66">
        <f>6587823+6834722-219960</f>
        <v>13202585</v>
      </c>
      <c r="Y177" s="66">
        <f>5368371+1032819-4958</f>
        <v>6396232</v>
      </c>
      <c r="Z177" s="66">
        <v>670424</v>
      </c>
      <c r="AA177" s="66">
        <v>0</v>
      </c>
      <c r="AB177" s="66">
        <v>0</v>
      </c>
      <c r="AC177" s="66">
        <f>93403+169392-164</f>
        <v>262631</v>
      </c>
      <c r="AD177" s="66">
        <v>0</v>
      </c>
      <c r="AE177" s="65">
        <f>SUM(AF177:AZ177)</f>
        <v>88617444</v>
      </c>
      <c r="AF177" s="65">
        <v>0</v>
      </c>
      <c r="AG177" s="65">
        <v>0</v>
      </c>
      <c r="AH177" s="66"/>
      <c r="AI177" s="66"/>
      <c r="AJ177" s="66"/>
      <c r="AK177" s="66"/>
      <c r="AL177" s="66"/>
      <c r="AM177" s="66">
        <v>0</v>
      </c>
      <c r="AN177" s="66">
        <v>0</v>
      </c>
      <c r="AO177" s="66">
        <v>0</v>
      </c>
      <c r="AP177" s="66">
        <v>0</v>
      </c>
      <c r="AQ177" s="66">
        <v>0</v>
      </c>
      <c r="AR177" s="66">
        <f>1394873-213276</f>
        <v>1181597</v>
      </c>
      <c r="AS177" s="66">
        <v>98200</v>
      </c>
      <c r="AT177" s="66">
        <v>0</v>
      </c>
      <c r="AU177" s="66">
        <v>1031112</v>
      </c>
      <c r="AV177" s="66">
        <v>6032889</v>
      </c>
      <c r="AW177" s="66">
        <v>0</v>
      </c>
      <c r="AX177" s="66">
        <v>0</v>
      </c>
      <c r="AY177" s="66">
        <v>27615240</v>
      </c>
      <c r="AZ177" s="66">
        <f>48490137+2271219+1897050</f>
        <v>52658406</v>
      </c>
      <c r="BA177" s="65">
        <f>SUM(BB177+BF177+BJ177+BL177+BO177)</f>
        <v>1994443</v>
      </c>
      <c r="BB177" s="65">
        <f>SUM(BC177:BE177)</f>
        <v>0</v>
      </c>
      <c r="BC177" s="65">
        <v>0</v>
      </c>
      <c r="BD177" s="65">
        <v>0</v>
      </c>
      <c r="BE177" s="65">
        <v>0</v>
      </c>
      <c r="BF177" s="65">
        <f>SUM(BG177:BI177)</f>
        <v>0</v>
      </c>
      <c r="BG177" s="65">
        <v>0</v>
      </c>
      <c r="BH177" s="65">
        <v>0</v>
      </c>
      <c r="BI177" s="65">
        <v>0</v>
      </c>
      <c r="BJ177" s="65">
        <v>0</v>
      </c>
      <c r="BK177" s="65">
        <v>0</v>
      </c>
      <c r="BL177" s="65">
        <f t="shared" si="331"/>
        <v>0</v>
      </c>
      <c r="BM177" s="65">
        <v>0</v>
      </c>
      <c r="BN177" s="65">
        <v>0</v>
      </c>
      <c r="BO177" s="65">
        <f>SUM(BP177:BZ177)</f>
        <v>1994443</v>
      </c>
      <c r="BP177" s="65">
        <v>0</v>
      </c>
      <c r="BQ177" s="65">
        <v>0</v>
      </c>
      <c r="BR177" s="65">
        <v>0</v>
      </c>
      <c r="BS177" s="65">
        <v>0</v>
      </c>
      <c r="BT177" s="65">
        <v>0</v>
      </c>
      <c r="BU177" s="65">
        <v>0</v>
      </c>
      <c r="BV177" s="65">
        <v>0</v>
      </c>
      <c r="BW177" s="65">
        <v>0</v>
      </c>
      <c r="BX177" s="65">
        <v>0</v>
      </c>
      <c r="BY177" s="65">
        <v>0</v>
      </c>
      <c r="BZ177" s="66">
        <v>1994443</v>
      </c>
      <c r="CA177" s="65">
        <f>SUM(CB177+CN177)</f>
        <v>0</v>
      </c>
      <c r="CB177" s="65">
        <f>SUM(CC177+CF177+CK177)</f>
        <v>0</v>
      </c>
      <c r="CC177" s="65">
        <f t="shared" si="332"/>
        <v>0</v>
      </c>
      <c r="CD177" s="65">
        <v>0</v>
      </c>
      <c r="CE177" s="66"/>
      <c r="CF177" s="65">
        <f>SUM(CG177:CJ177)</f>
        <v>0</v>
      </c>
      <c r="CG177" s="65"/>
      <c r="CH177" s="65">
        <v>0</v>
      </c>
      <c r="CI177" s="65">
        <v>0</v>
      </c>
      <c r="CJ177" s="65">
        <v>0</v>
      </c>
      <c r="CK177" s="65">
        <f>SUM(CL177:CM177)</f>
        <v>0</v>
      </c>
      <c r="CL177" s="66"/>
      <c r="CM177" s="65">
        <v>0</v>
      </c>
      <c r="CN177" s="65">
        <v>0</v>
      </c>
      <c r="CO177" s="65"/>
      <c r="CP177" s="65"/>
      <c r="CQ177" s="65"/>
      <c r="CR177" s="65"/>
      <c r="GP177" s="52"/>
    </row>
    <row r="178" spans="1:198" ht="31.2" x14ac:dyDescent="0.3">
      <c r="A178" s="89" t="s">
        <v>231</v>
      </c>
      <c r="B178" s="15" t="s">
        <v>1</v>
      </c>
      <c r="C178" s="16" t="s">
        <v>232</v>
      </c>
      <c r="D178" s="17">
        <f>SUM(D179:D180)</f>
        <v>165060023</v>
      </c>
      <c r="E178" s="17">
        <f t="shared" ref="E178:BU178" si="473">SUM(E179:E180)</f>
        <v>165051473</v>
      </c>
      <c r="F178" s="17">
        <f t="shared" si="473"/>
        <v>164997426</v>
      </c>
      <c r="G178" s="17">
        <f t="shared" si="473"/>
        <v>117122661</v>
      </c>
      <c r="H178" s="17">
        <f t="shared" si="473"/>
        <v>27504055</v>
      </c>
      <c r="I178" s="17">
        <f t="shared" si="473"/>
        <v>12557670</v>
      </c>
      <c r="J178" s="17">
        <f t="shared" si="473"/>
        <v>6040473</v>
      </c>
      <c r="K178" s="17">
        <f t="shared" si="473"/>
        <v>0</v>
      </c>
      <c r="L178" s="17">
        <f t="shared" si="473"/>
        <v>0</v>
      </c>
      <c r="M178" s="17">
        <f t="shared" si="473"/>
        <v>0</v>
      </c>
      <c r="N178" s="17">
        <f t="shared" si="473"/>
        <v>6367877</v>
      </c>
      <c r="O178" s="17">
        <f t="shared" si="473"/>
        <v>149320</v>
      </c>
      <c r="P178" s="17">
        <f t="shared" si="473"/>
        <v>0</v>
      </c>
      <c r="Q178" s="17">
        <f t="shared" si="473"/>
        <v>0</v>
      </c>
      <c r="R178" s="17">
        <f t="shared" si="473"/>
        <v>0</v>
      </c>
      <c r="S178" s="17">
        <f t="shared" si="473"/>
        <v>0</v>
      </c>
      <c r="T178" s="17">
        <f t="shared" si="473"/>
        <v>475358</v>
      </c>
      <c r="U178" s="17">
        <f t="shared" si="473"/>
        <v>2964310</v>
      </c>
      <c r="V178" s="17">
        <f t="shared" si="473"/>
        <v>0</v>
      </c>
      <c r="W178" s="17">
        <f t="shared" si="473"/>
        <v>1384170</v>
      </c>
      <c r="X178" s="17">
        <f t="shared" si="473"/>
        <v>1197541</v>
      </c>
      <c r="Y178" s="17">
        <f t="shared" si="473"/>
        <v>371743</v>
      </c>
      <c r="Z178" s="17">
        <f t="shared" si="473"/>
        <v>0</v>
      </c>
      <c r="AA178" s="17">
        <f t="shared" si="473"/>
        <v>0</v>
      </c>
      <c r="AB178" s="17">
        <f t="shared" si="473"/>
        <v>0</v>
      </c>
      <c r="AC178" s="17">
        <f t="shared" si="473"/>
        <v>10856</v>
      </c>
      <c r="AD178" s="17">
        <f t="shared" si="473"/>
        <v>0</v>
      </c>
      <c r="AE178" s="17">
        <f t="shared" si="473"/>
        <v>4373372</v>
      </c>
      <c r="AF178" s="17">
        <f t="shared" si="473"/>
        <v>0</v>
      </c>
      <c r="AG178" s="17">
        <f t="shared" si="473"/>
        <v>0</v>
      </c>
      <c r="AH178" s="17">
        <f t="shared" si="473"/>
        <v>0</v>
      </c>
      <c r="AI178" s="17">
        <f t="shared" si="473"/>
        <v>0</v>
      </c>
      <c r="AJ178" s="17">
        <f t="shared" si="473"/>
        <v>0</v>
      </c>
      <c r="AK178" s="17">
        <f t="shared" si="473"/>
        <v>0</v>
      </c>
      <c r="AL178" s="17">
        <f t="shared" si="473"/>
        <v>0</v>
      </c>
      <c r="AM178" s="17">
        <f t="shared" si="473"/>
        <v>0</v>
      </c>
      <c r="AN178" s="17">
        <f t="shared" si="473"/>
        <v>17794</v>
      </c>
      <c r="AO178" s="17">
        <f t="shared" si="473"/>
        <v>0</v>
      </c>
      <c r="AP178" s="17">
        <f t="shared" si="473"/>
        <v>0</v>
      </c>
      <c r="AQ178" s="17">
        <f t="shared" si="473"/>
        <v>0</v>
      </c>
      <c r="AR178" s="17">
        <f t="shared" si="473"/>
        <v>467856</v>
      </c>
      <c r="AS178" s="17">
        <f t="shared" si="473"/>
        <v>27600</v>
      </c>
      <c r="AT178" s="17">
        <f t="shared" si="473"/>
        <v>0</v>
      </c>
      <c r="AU178" s="17">
        <f t="shared" si="473"/>
        <v>833075</v>
      </c>
      <c r="AV178" s="17">
        <f t="shared" si="473"/>
        <v>0</v>
      </c>
      <c r="AW178" s="17">
        <f t="shared" si="473"/>
        <v>0</v>
      </c>
      <c r="AX178" s="17">
        <f t="shared" si="473"/>
        <v>0</v>
      </c>
      <c r="AY178" s="17"/>
      <c r="AZ178" s="17">
        <f t="shared" si="473"/>
        <v>3027047</v>
      </c>
      <c r="BA178" s="17">
        <f t="shared" si="473"/>
        <v>54047</v>
      </c>
      <c r="BB178" s="17">
        <f t="shared" si="473"/>
        <v>0</v>
      </c>
      <c r="BC178" s="17">
        <f t="shared" si="473"/>
        <v>0</v>
      </c>
      <c r="BD178" s="17">
        <f t="shared" si="473"/>
        <v>0</v>
      </c>
      <c r="BE178" s="17">
        <f t="shared" si="473"/>
        <v>0</v>
      </c>
      <c r="BF178" s="17">
        <f t="shared" si="473"/>
        <v>0</v>
      </c>
      <c r="BG178" s="17">
        <f t="shared" si="473"/>
        <v>0</v>
      </c>
      <c r="BH178" s="17">
        <f t="shared" ref="BH178" si="474">SUM(BH179:BH180)</f>
        <v>0</v>
      </c>
      <c r="BI178" s="17">
        <f t="shared" si="473"/>
        <v>0</v>
      </c>
      <c r="BJ178" s="17">
        <f t="shared" si="473"/>
        <v>0</v>
      </c>
      <c r="BK178" s="17">
        <f t="shared" ref="BK178" si="475">SUM(BK179:BK180)</f>
        <v>0</v>
      </c>
      <c r="BL178" s="17">
        <f t="shared" si="473"/>
        <v>0</v>
      </c>
      <c r="BM178" s="17">
        <f t="shared" si="473"/>
        <v>0</v>
      </c>
      <c r="BN178" s="17">
        <f t="shared" ref="BN178" si="476">SUM(BN179:BN180)</f>
        <v>0</v>
      </c>
      <c r="BO178" s="17">
        <f t="shared" si="473"/>
        <v>54047</v>
      </c>
      <c r="BP178" s="17">
        <f t="shared" si="473"/>
        <v>0</v>
      </c>
      <c r="BQ178" s="17">
        <f t="shared" si="473"/>
        <v>0</v>
      </c>
      <c r="BR178" s="17">
        <f t="shared" si="473"/>
        <v>0</v>
      </c>
      <c r="BS178" s="17">
        <f t="shared" si="473"/>
        <v>0</v>
      </c>
      <c r="BT178" s="17">
        <f t="shared" si="473"/>
        <v>0</v>
      </c>
      <c r="BU178" s="17">
        <f t="shared" si="473"/>
        <v>0</v>
      </c>
      <c r="BV178" s="17">
        <f t="shared" ref="BV178:CN178" si="477">SUM(BV179:BV180)</f>
        <v>0</v>
      </c>
      <c r="BW178" s="17">
        <f t="shared" si="477"/>
        <v>0</v>
      </c>
      <c r="BX178" s="17">
        <f t="shared" si="477"/>
        <v>0</v>
      </c>
      <c r="BY178" s="17">
        <f t="shared" si="477"/>
        <v>0</v>
      </c>
      <c r="BZ178" s="17">
        <f t="shared" si="477"/>
        <v>54047</v>
      </c>
      <c r="CA178" s="17">
        <f t="shared" si="477"/>
        <v>8550</v>
      </c>
      <c r="CB178" s="17">
        <f t="shared" si="477"/>
        <v>8550</v>
      </c>
      <c r="CC178" s="17">
        <f t="shared" si="477"/>
        <v>8550</v>
      </c>
      <c r="CD178" s="17">
        <f t="shared" si="477"/>
        <v>0</v>
      </c>
      <c r="CE178" s="17">
        <f t="shared" si="477"/>
        <v>8550</v>
      </c>
      <c r="CF178" s="17">
        <f t="shared" si="477"/>
        <v>0</v>
      </c>
      <c r="CG178" s="17">
        <f t="shared" ref="CG178:CH178" si="478">SUM(CG179:CG180)</f>
        <v>0</v>
      </c>
      <c r="CH178" s="17">
        <f t="shared" si="478"/>
        <v>0</v>
      </c>
      <c r="CI178" s="17">
        <f t="shared" si="477"/>
        <v>0</v>
      </c>
      <c r="CJ178" s="17">
        <f t="shared" ref="CJ178" si="479">SUM(CJ179:CJ180)</f>
        <v>0</v>
      </c>
      <c r="CK178" s="17">
        <f t="shared" si="477"/>
        <v>0</v>
      </c>
      <c r="CL178" s="17">
        <f t="shared" ref="CL178" si="480">SUM(CL179:CL180)</f>
        <v>0</v>
      </c>
      <c r="CM178" s="17">
        <f t="shared" si="477"/>
        <v>0</v>
      </c>
      <c r="CN178" s="17">
        <f t="shared" si="477"/>
        <v>0</v>
      </c>
      <c r="CO178" s="64"/>
      <c r="CP178" s="64"/>
      <c r="CQ178" s="64"/>
      <c r="CR178" s="64"/>
      <c r="CS178" s="51"/>
    </row>
    <row r="179" spans="1:198" s="82" customFormat="1" ht="15.6" x14ac:dyDescent="0.3">
      <c r="A179" s="92" t="s">
        <v>1</v>
      </c>
      <c r="B179" s="62" t="s">
        <v>54</v>
      </c>
      <c r="C179" s="63" t="s">
        <v>233</v>
      </c>
      <c r="D179" s="65">
        <f>SUM(E179+CA179)</f>
        <v>113868800</v>
      </c>
      <c r="E179" s="65">
        <f>SUM(F179+BA179)</f>
        <v>113860250</v>
      </c>
      <c r="F179" s="65">
        <f>SUM(G179+H179+I179+P179+S179+T179+U179+AE179+AD179)</f>
        <v>113860250</v>
      </c>
      <c r="G179" s="66">
        <v>82050547</v>
      </c>
      <c r="H179" s="66">
        <v>19095402</v>
      </c>
      <c r="I179" s="65">
        <f t="shared" si="327"/>
        <v>5593521</v>
      </c>
      <c r="J179" s="66">
        <v>5090658</v>
      </c>
      <c r="K179" s="66">
        <v>0</v>
      </c>
      <c r="L179" s="66">
        <v>0</v>
      </c>
      <c r="M179" s="66">
        <v>0</v>
      </c>
      <c r="N179" s="66">
        <f>516962-119948</f>
        <v>397014</v>
      </c>
      <c r="O179" s="66">
        <v>105849</v>
      </c>
      <c r="P179" s="65">
        <f t="shared" si="328"/>
        <v>0</v>
      </c>
      <c r="Q179" s="65">
        <v>0</v>
      </c>
      <c r="R179" s="65"/>
      <c r="S179" s="65"/>
      <c r="T179" s="66">
        <v>432915</v>
      </c>
      <c r="U179" s="65">
        <f t="shared" ref="U179:U180" si="481">SUM(V179:AC179)</f>
        <v>2407702</v>
      </c>
      <c r="V179" s="66">
        <v>0</v>
      </c>
      <c r="W179" s="66">
        <f>1332440+8740-236216</f>
        <v>1104964</v>
      </c>
      <c r="X179" s="66">
        <f>598643+172918+205560</f>
        <v>977121</v>
      </c>
      <c r="Y179" s="66">
        <f>264140+54587-3966</f>
        <v>314761</v>
      </c>
      <c r="Z179" s="66">
        <v>0</v>
      </c>
      <c r="AA179" s="66">
        <v>0</v>
      </c>
      <c r="AB179" s="66">
        <v>0</v>
      </c>
      <c r="AC179" s="66">
        <f>48602-37746</f>
        <v>10856</v>
      </c>
      <c r="AD179" s="66">
        <v>0</v>
      </c>
      <c r="AE179" s="65">
        <f>SUM(AF179:AZ179)</f>
        <v>4280163</v>
      </c>
      <c r="AF179" s="65">
        <v>0</v>
      </c>
      <c r="AG179" s="65">
        <v>0</v>
      </c>
      <c r="AH179" s="66"/>
      <c r="AI179" s="66"/>
      <c r="AJ179" s="66"/>
      <c r="AK179" s="66"/>
      <c r="AL179" s="66"/>
      <c r="AM179" s="66">
        <v>0</v>
      </c>
      <c r="AN179" s="66">
        <v>0</v>
      </c>
      <c r="AO179" s="66">
        <v>0</v>
      </c>
      <c r="AP179" s="66">
        <v>0</v>
      </c>
      <c r="AQ179" s="66">
        <v>0</v>
      </c>
      <c r="AR179" s="66">
        <f>431464-11423</f>
        <v>420041</v>
      </c>
      <c r="AS179" s="66">
        <v>0</v>
      </c>
      <c r="AT179" s="66">
        <v>0</v>
      </c>
      <c r="AU179" s="66">
        <v>833075</v>
      </c>
      <c r="AV179" s="66">
        <v>0</v>
      </c>
      <c r="AW179" s="66">
        <v>0</v>
      </c>
      <c r="AX179" s="66">
        <v>0</v>
      </c>
      <c r="AY179" s="66">
        <v>0</v>
      </c>
      <c r="AZ179" s="66">
        <f>5485763-97050-2361666</f>
        <v>3027047</v>
      </c>
      <c r="BA179" s="65">
        <f>SUM(BB179+BF179+BJ179+BL179+BO179)</f>
        <v>0</v>
      </c>
      <c r="BB179" s="65">
        <f>SUM(BC179:BE179)</f>
        <v>0</v>
      </c>
      <c r="BC179" s="65">
        <v>0</v>
      </c>
      <c r="BD179" s="65">
        <v>0</v>
      </c>
      <c r="BE179" s="65">
        <v>0</v>
      </c>
      <c r="BF179" s="65">
        <f t="shared" ref="BF179:BF180" si="482">SUM(BG179:BI179)</f>
        <v>0</v>
      </c>
      <c r="BG179" s="65">
        <v>0</v>
      </c>
      <c r="BH179" s="65">
        <v>0</v>
      </c>
      <c r="BI179" s="65">
        <v>0</v>
      </c>
      <c r="BJ179" s="65">
        <v>0</v>
      </c>
      <c r="BK179" s="65">
        <v>0</v>
      </c>
      <c r="BL179" s="65">
        <f t="shared" si="331"/>
        <v>0</v>
      </c>
      <c r="BM179" s="65">
        <v>0</v>
      </c>
      <c r="BN179" s="65">
        <v>0</v>
      </c>
      <c r="BO179" s="65">
        <f>SUM(BP179:BZ179)</f>
        <v>0</v>
      </c>
      <c r="BP179" s="65">
        <v>0</v>
      </c>
      <c r="BQ179" s="65">
        <v>0</v>
      </c>
      <c r="BR179" s="65">
        <v>0</v>
      </c>
      <c r="BS179" s="65">
        <v>0</v>
      </c>
      <c r="BT179" s="65">
        <v>0</v>
      </c>
      <c r="BU179" s="65">
        <v>0</v>
      </c>
      <c r="BV179" s="65">
        <v>0</v>
      </c>
      <c r="BW179" s="65">
        <v>0</v>
      </c>
      <c r="BX179" s="65">
        <v>0</v>
      </c>
      <c r="BY179" s="65">
        <v>0</v>
      </c>
      <c r="BZ179" s="66">
        <v>0</v>
      </c>
      <c r="CA179" s="65">
        <f>SUM(CB179+CN179)</f>
        <v>8550</v>
      </c>
      <c r="CB179" s="65">
        <f>SUM(CC179+CF179+CK179)</f>
        <v>8550</v>
      </c>
      <c r="CC179" s="65">
        <f t="shared" si="332"/>
        <v>8550</v>
      </c>
      <c r="CD179" s="65">
        <v>0</v>
      </c>
      <c r="CE179" s="66">
        <f>216455-7905-200000</f>
        <v>8550</v>
      </c>
      <c r="CF179" s="65">
        <f>SUM(CG179:CJ179)</f>
        <v>0</v>
      </c>
      <c r="CG179" s="65">
        <v>0</v>
      </c>
      <c r="CH179" s="65">
        <v>0</v>
      </c>
      <c r="CI179" s="65">
        <v>0</v>
      </c>
      <c r="CJ179" s="65">
        <v>0</v>
      </c>
      <c r="CK179" s="65">
        <f>SUM(CL179:CM179)</f>
        <v>0</v>
      </c>
      <c r="CL179" s="66"/>
      <c r="CM179" s="66">
        <v>0</v>
      </c>
      <c r="CN179" s="65">
        <v>0</v>
      </c>
      <c r="CO179" s="65"/>
      <c r="CP179" s="65"/>
      <c r="CQ179" s="65"/>
      <c r="CR179" s="65"/>
      <c r="CS179" s="68"/>
      <c r="GP179" s="52"/>
    </row>
    <row r="180" spans="1:198" s="68" customFormat="1" ht="15.6" x14ac:dyDescent="0.3">
      <c r="A180" s="92" t="s">
        <v>1</v>
      </c>
      <c r="B180" s="62" t="s">
        <v>54</v>
      </c>
      <c r="C180" s="63" t="s">
        <v>234</v>
      </c>
      <c r="D180" s="65">
        <f>SUM(E180+CA180)</f>
        <v>51191223</v>
      </c>
      <c r="E180" s="65">
        <f>SUM(F180+BA180)</f>
        <v>51191223</v>
      </c>
      <c r="F180" s="65">
        <f>SUM(G180+H180+I180+P180+S180+T180+U180+AE180+AD180)</f>
        <v>51137176</v>
      </c>
      <c r="G180" s="66">
        <v>35072114</v>
      </c>
      <c r="H180" s="66">
        <v>8408653</v>
      </c>
      <c r="I180" s="65">
        <f t="shared" si="327"/>
        <v>6964149</v>
      </c>
      <c r="J180" s="66">
        <v>949815</v>
      </c>
      <c r="K180" s="66">
        <f>83340-83340</f>
        <v>0</v>
      </c>
      <c r="L180" s="66">
        <v>0</v>
      </c>
      <c r="M180" s="66">
        <v>0</v>
      </c>
      <c r="N180" s="66">
        <f>7654280-1500000-183417</f>
        <v>5970863</v>
      </c>
      <c r="O180" s="66">
        <v>43471</v>
      </c>
      <c r="P180" s="65">
        <f t="shared" si="328"/>
        <v>0</v>
      </c>
      <c r="Q180" s="65">
        <v>0</v>
      </c>
      <c r="R180" s="66"/>
      <c r="S180" s="65"/>
      <c r="T180" s="66">
        <v>42443</v>
      </c>
      <c r="U180" s="65">
        <f t="shared" si="481"/>
        <v>556608</v>
      </c>
      <c r="V180" s="66">
        <v>0</v>
      </c>
      <c r="W180" s="66">
        <f>145524+68533+65149</f>
        <v>279206</v>
      </c>
      <c r="X180" s="66">
        <f>103594+116826</f>
        <v>220420</v>
      </c>
      <c r="Y180" s="66">
        <f>39107+8951+8924</f>
        <v>56982</v>
      </c>
      <c r="Z180" s="66">
        <v>0</v>
      </c>
      <c r="AA180" s="66">
        <v>0</v>
      </c>
      <c r="AB180" s="66">
        <v>0</v>
      </c>
      <c r="AC180" s="66">
        <v>0</v>
      </c>
      <c r="AD180" s="66"/>
      <c r="AE180" s="65">
        <f>SUM(AF180:AZ180)</f>
        <v>93209</v>
      </c>
      <c r="AF180" s="65">
        <v>0</v>
      </c>
      <c r="AG180" s="65">
        <v>0</v>
      </c>
      <c r="AH180" s="66"/>
      <c r="AI180" s="66"/>
      <c r="AJ180" s="66"/>
      <c r="AK180" s="66"/>
      <c r="AL180" s="66"/>
      <c r="AM180" s="66">
        <v>0</v>
      </c>
      <c r="AN180" s="66">
        <f>25657-7863</f>
        <v>17794</v>
      </c>
      <c r="AO180" s="66">
        <v>0</v>
      </c>
      <c r="AP180" s="66">
        <v>0</v>
      </c>
      <c r="AQ180" s="66">
        <v>0</v>
      </c>
      <c r="AR180" s="66">
        <f>52390-4575</f>
        <v>47815</v>
      </c>
      <c r="AS180" s="66">
        <v>27600</v>
      </c>
      <c r="AT180" s="66">
        <v>0</v>
      </c>
      <c r="AU180" s="66">
        <v>0</v>
      </c>
      <c r="AV180" s="66">
        <v>0</v>
      </c>
      <c r="AW180" s="66">
        <v>0</v>
      </c>
      <c r="AX180" s="66">
        <v>0</v>
      </c>
      <c r="AY180" s="66">
        <v>0</v>
      </c>
      <c r="AZ180" s="66">
        <v>0</v>
      </c>
      <c r="BA180" s="65">
        <f>SUM(BB180+BF180+BJ180+BL180+BO180)</f>
        <v>54047</v>
      </c>
      <c r="BB180" s="65">
        <f>SUM(BC180:BE180)</f>
        <v>0</v>
      </c>
      <c r="BC180" s="65">
        <v>0</v>
      </c>
      <c r="BD180" s="65">
        <v>0</v>
      </c>
      <c r="BE180" s="65">
        <v>0</v>
      </c>
      <c r="BF180" s="65">
        <f t="shared" si="482"/>
        <v>0</v>
      </c>
      <c r="BG180" s="65">
        <v>0</v>
      </c>
      <c r="BH180" s="65">
        <v>0</v>
      </c>
      <c r="BI180" s="65">
        <v>0</v>
      </c>
      <c r="BJ180" s="65">
        <v>0</v>
      </c>
      <c r="BK180" s="65">
        <v>0</v>
      </c>
      <c r="BL180" s="65">
        <f t="shared" si="331"/>
        <v>0</v>
      </c>
      <c r="BM180" s="65">
        <v>0</v>
      </c>
      <c r="BN180" s="65">
        <v>0</v>
      </c>
      <c r="BO180" s="65">
        <f>SUM(BP180:BZ180)</f>
        <v>54047</v>
      </c>
      <c r="BP180" s="65">
        <v>0</v>
      </c>
      <c r="BQ180" s="65">
        <v>0</v>
      </c>
      <c r="BR180" s="65">
        <v>0</v>
      </c>
      <c r="BS180" s="65">
        <v>0</v>
      </c>
      <c r="BT180" s="65">
        <v>0</v>
      </c>
      <c r="BU180" s="65">
        <v>0</v>
      </c>
      <c r="BV180" s="65">
        <v>0</v>
      </c>
      <c r="BW180" s="65">
        <v>0</v>
      </c>
      <c r="BX180" s="65">
        <v>0</v>
      </c>
      <c r="BY180" s="65">
        <v>0</v>
      </c>
      <c r="BZ180" s="66">
        <v>54047</v>
      </c>
      <c r="CA180" s="65">
        <f>SUM(CB180+CN180)</f>
        <v>0</v>
      </c>
      <c r="CB180" s="65">
        <f>SUM(CC180+CF180+CK180)</f>
        <v>0</v>
      </c>
      <c r="CC180" s="65">
        <f t="shared" si="332"/>
        <v>0</v>
      </c>
      <c r="CD180" s="65">
        <v>0</v>
      </c>
      <c r="CE180" s="66"/>
      <c r="CF180" s="65">
        <f>SUM(CG180:CJ180)</f>
        <v>0</v>
      </c>
      <c r="CG180" s="65">
        <v>0</v>
      </c>
      <c r="CH180" s="65">
        <v>0</v>
      </c>
      <c r="CI180" s="65">
        <v>0</v>
      </c>
      <c r="CJ180" s="65">
        <v>0</v>
      </c>
      <c r="CK180" s="65">
        <f>SUM(CL180:CM180)</f>
        <v>0</v>
      </c>
      <c r="CL180" s="66"/>
      <c r="CM180" s="66">
        <v>0</v>
      </c>
      <c r="CN180" s="65">
        <v>0</v>
      </c>
      <c r="CO180" s="65"/>
      <c r="CP180" s="65"/>
      <c r="CQ180" s="65"/>
      <c r="CR180" s="65"/>
    </row>
    <row r="181" spans="1:198" ht="31.2" x14ac:dyDescent="0.3">
      <c r="A181" s="89" t="s">
        <v>235</v>
      </c>
      <c r="B181" s="15" t="s">
        <v>1</v>
      </c>
      <c r="C181" s="16" t="s">
        <v>236</v>
      </c>
      <c r="D181" s="17">
        <f t="shared" ref="D181:BR181" si="483">SUM(D182:D183)</f>
        <v>27966789</v>
      </c>
      <c r="E181" s="17">
        <f t="shared" si="483"/>
        <v>27912920</v>
      </c>
      <c r="F181" s="17">
        <f t="shared" si="483"/>
        <v>27761910</v>
      </c>
      <c r="G181" s="17">
        <f t="shared" si="483"/>
        <v>19671106</v>
      </c>
      <c r="H181" s="17">
        <f t="shared" si="483"/>
        <v>4530573</v>
      </c>
      <c r="I181" s="17">
        <f t="shared" si="483"/>
        <v>2331966</v>
      </c>
      <c r="J181" s="17">
        <f t="shared" si="483"/>
        <v>798536</v>
      </c>
      <c r="K181" s="17">
        <f t="shared" si="483"/>
        <v>126268</v>
      </c>
      <c r="L181" s="17">
        <f t="shared" si="483"/>
        <v>1008316</v>
      </c>
      <c r="M181" s="17">
        <f t="shared" si="483"/>
        <v>0</v>
      </c>
      <c r="N181" s="17">
        <f t="shared" si="483"/>
        <v>359594</v>
      </c>
      <c r="O181" s="17">
        <f t="shared" si="483"/>
        <v>39252</v>
      </c>
      <c r="P181" s="17">
        <f t="shared" si="483"/>
        <v>6694</v>
      </c>
      <c r="Q181" s="17">
        <f t="shared" si="483"/>
        <v>1310</v>
      </c>
      <c r="R181" s="17">
        <f t="shared" si="483"/>
        <v>5384</v>
      </c>
      <c r="S181" s="17">
        <f t="shared" si="483"/>
        <v>0</v>
      </c>
      <c r="T181" s="17">
        <f t="shared" si="483"/>
        <v>165093</v>
      </c>
      <c r="U181" s="17">
        <f t="shared" si="483"/>
        <v>885215</v>
      </c>
      <c r="V181" s="17">
        <f t="shared" si="483"/>
        <v>28658</v>
      </c>
      <c r="W181" s="17">
        <f t="shared" si="483"/>
        <v>368953</v>
      </c>
      <c r="X181" s="17">
        <f t="shared" si="483"/>
        <v>258817</v>
      </c>
      <c r="Y181" s="17">
        <f t="shared" si="483"/>
        <v>82612</v>
      </c>
      <c r="Z181" s="17">
        <f t="shared" si="483"/>
        <v>6200</v>
      </c>
      <c r="AA181" s="17">
        <f t="shared" si="483"/>
        <v>0</v>
      </c>
      <c r="AB181" s="17">
        <f t="shared" si="483"/>
        <v>0</v>
      </c>
      <c r="AC181" s="17">
        <f t="shared" si="483"/>
        <v>139975</v>
      </c>
      <c r="AD181" s="17">
        <f t="shared" si="483"/>
        <v>0</v>
      </c>
      <c r="AE181" s="17">
        <f t="shared" si="483"/>
        <v>171263</v>
      </c>
      <c r="AF181" s="17">
        <f t="shared" si="483"/>
        <v>0</v>
      </c>
      <c r="AG181" s="17">
        <f t="shared" si="483"/>
        <v>0</v>
      </c>
      <c r="AH181" s="17">
        <f t="shared" si="483"/>
        <v>0</v>
      </c>
      <c r="AI181" s="17">
        <f t="shared" si="483"/>
        <v>0</v>
      </c>
      <c r="AJ181" s="17">
        <f t="shared" si="483"/>
        <v>0</v>
      </c>
      <c r="AK181" s="17">
        <f t="shared" si="483"/>
        <v>0</v>
      </c>
      <c r="AL181" s="17">
        <f t="shared" si="483"/>
        <v>0</v>
      </c>
      <c r="AM181" s="17">
        <f t="shared" si="483"/>
        <v>0</v>
      </c>
      <c r="AN181" s="17">
        <f t="shared" si="483"/>
        <v>0</v>
      </c>
      <c r="AO181" s="17">
        <f t="shared" si="483"/>
        <v>0</v>
      </c>
      <c r="AP181" s="17">
        <f t="shared" si="483"/>
        <v>0</v>
      </c>
      <c r="AQ181" s="17">
        <f t="shared" si="483"/>
        <v>0</v>
      </c>
      <c r="AR181" s="17">
        <f t="shared" si="483"/>
        <v>37492</v>
      </c>
      <c r="AS181" s="17">
        <f t="shared" si="483"/>
        <v>25395</v>
      </c>
      <c r="AT181" s="17">
        <f t="shared" si="483"/>
        <v>0</v>
      </c>
      <c r="AU181" s="17">
        <f t="shared" si="483"/>
        <v>58400</v>
      </c>
      <c r="AV181" s="17">
        <f t="shared" si="483"/>
        <v>0</v>
      </c>
      <c r="AW181" s="17">
        <f t="shared" si="483"/>
        <v>0</v>
      </c>
      <c r="AX181" s="17">
        <f t="shared" si="483"/>
        <v>31476</v>
      </c>
      <c r="AY181" s="17"/>
      <c r="AZ181" s="17">
        <f t="shared" si="483"/>
        <v>18500</v>
      </c>
      <c r="BA181" s="17">
        <f t="shared" si="483"/>
        <v>151010</v>
      </c>
      <c r="BB181" s="17">
        <f t="shared" si="483"/>
        <v>0</v>
      </c>
      <c r="BC181" s="17">
        <f t="shared" si="483"/>
        <v>0</v>
      </c>
      <c r="BD181" s="17">
        <f t="shared" si="483"/>
        <v>0</v>
      </c>
      <c r="BE181" s="17">
        <f t="shared" si="483"/>
        <v>0</v>
      </c>
      <c r="BF181" s="17">
        <f t="shared" si="483"/>
        <v>0</v>
      </c>
      <c r="BG181" s="17">
        <f t="shared" si="483"/>
        <v>0</v>
      </c>
      <c r="BH181" s="17">
        <f t="shared" ref="BH181" si="484">SUM(BH182:BH183)</f>
        <v>0</v>
      </c>
      <c r="BI181" s="17">
        <f t="shared" si="483"/>
        <v>0</v>
      </c>
      <c r="BJ181" s="17">
        <f t="shared" si="483"/>
        <v>0</v>
      </c>
      <c r="BK181" s="17">
        <f t="shared" ref="BK181" si="485">SUM(BK182:BK183)</f>
        <v>0</v>
      </c>
      <c r="BL181" s="17">
        <f t="shared" si="483"/>
        <v>0</v>
      </c>
      <c r="BM181" s="17">
        <f t="shared" si="483"/>
        <v>0</v>
      </c>
      <c r="BN181" s="17">
        <f t="shared" ref="BN181" si="486">SUM(BN182:BN183)</f>
        <v>0</v>
      </c>
      <c r="BO181" s="17">
        <f t="shared" si="483"/>
        <v>151010</v>
      </c>
      <c r="BP181" s="17">
        <f t="shared" si="483"/>
        <v>0</v>
      </c>
      <c r="BQ181" s="17">
        <f t="shared" si="483"/>
        <v>0</v>
      </c>
      <c r="BR181" s="17">
        <f t="shared" si="483"/>
        <v>0</v>
      </c>
      <c r="BS181" s="17">
        <f t="shared" ref="BS181:CN181" si="487">SUM(BS182:BS183)</f>
        <v>0</v>
      </c>
      <c r="BT181" s="17">
        <f t="shared" si="487"/>
        <v>0</v>
      </c>
      <c r="BU181" s="17">
        <f t="shared" si="487"/>
        <v>0</v>
      </c>
      <c r="BV181" s="17">
        <f t="shared" si="487"/>
        <v>0</v>
      </c>
      <c r="BW181" s="17">
        <f t="shared" si="487"/>
        <v>0</v>
      </c>
      <c r="BX181" s="17">
        <f t="shared" si="487"/>
        <v>0</v>
      </c>
      <c r="BY181" s="17">
        <f t="shared" si="487"/>
        <v>0</v>
      </c>
      <c r="BZ181" s="17">
        <f t="shared" si="487"/>
        <v>151010</v>
      </c>
      <c r="CA181" s="17">
        <f t="shared" si="487"/>
        <v>53869</v>
      </c>
      <c r="CB181" s="17">
        <f t="shared" si="487"/>
        <v>53869</v>
      </c>
      <c r="CC181" s="17">
        <f t="shared" si="487"/>
        <v>53869</v>
      </c>
      <c r="CD181" s="17">
        <f t="shared" si="487"/>
        <v>0</v>
      </c>
      <c r="CE181" s="17">
        <f t="shared" si="487"/>
        <v>53869</v>
      </c>
      <c r="CF181" s="17">
        <f t="shared" si="487"/>
        <v>0</v>
      </c>
      <c r="CG181" s="17">
        <f t="shared" ref="CG181:CH181" si="488">SUM(CG182:CG183)</f>
        <v>0</v>
      </c>
      <c r="CH181" s="17">
        <f t="shared" si="488"/>
        <v>0</v>
      </c>
      <c r="CI181" s="17">
        <f t="shared" si="487"/>
        <v>0</v>
      </c>
      <c r="CJ181" s="17">
        <f t="shared" ref="CJ181" si="489">SUM(CJ182:CJ183)</f>
        <v>0</v>
      </c>
      <c r="CK181" s="17">
        <f t="shared" si="487"/>
        <v>0</v>
      </c>
      <c r="CL181" s="17">
        <f t="shared" ref="CL181" si="490">SUM(CL182:CL183)</f>
        <v>0</v>
      </c>
      <c r="CM181" s="17">
        <f t="shared" si="487"/>
        <v>0</v>
      </c>
      <c r="CN181" s="17">
        <f t="shared" si="487"/>
        <v>0</v>
      </c>
      <c r="CO181" s="64"/>
      <c r="CP181" s="64"/>
      <c r="CQ181" s="64"/>
      <c r="CR181" s="64"/>
      <c r="CS181" s="51"/>
    </row>
    <row r="182" spans="1:198" s="82" customFormat="1" ht="15.6" x14ac:dyDescent="0.3">
      <c r="A182" s="92" t="s">
        <v>1</v>
      </c>
      <c r="B182" s="62" t="s">
        <v>52</v>
      </c>
      <c r="C182" s="63" t="s">
        <v>237</v>
      </c>
      <c r="D182" s="65">
        <f>SUM(E182+CA182)</f>
        <v>8423775</v>
      </c>
      <c r="E182" s="65">
        <f>SUM(F182+BA182)</f>
        <v>8369906</v>
      </c>
      <c r="F182" s="65">
        <f>SUM(G182+H182+I182+P182+S182+T182+U182+AE182+AD182)</f>
        <v>8218896</v>
      </c>
      <c r="G182" s="66">
        <v>5081779</v>
      </c>
      <c r="H182" s="66">
        <v>1188393</v>
      </c>
      <c r="I182" s="65">
        <f t="shared" si="327"/>
        <v>1357274</v>
      </c>
      <c r="J182" s="66">
        <f>180613-40070</f>
        <v>140543</v>
      </c>
      <c r="K182" s="66">
        <v>126268</v>
      </c>
      <c r="L182" s="66">
        <f>1114112-105796</f>
        <v>1008316</v>
      </c>
      <c r="M182" s="66">
        <v>0</v>
      </c>
      <c r="N182" s="66">
        <f>133153-90258</f>
        <v>42895</v>
      </c>
      <c r="O182" s="66">
        <f>26930+12322</f>
        <v>39252</v>
      </c>
      <c r="P182" s="65">
        <f t="shared" si="328"/>
        <v>6694</v>
      </c>
      <c r="Q182" s="65">
        <v>1310</v>
      </c>
      <c r="R182" s="66">
        <f>1019+4365</f>
        <v>5384</v>
      </c>
      <c r="S182" s="66">
        <v>0</v>
      </c>
      <c r="T182" s="66">
        <v>10638</v>
      </c>
      <c r="U182" s="65">
        <f t="shared" ref="U182:U183" si="491">SUM(V182:AC182)</f>
        <v>402855</v>
      </c>
      <c r="V182" s="66">
        <f>15850+12808</f>
        <v>28658</v>
      </c>
      <c r="W182" s="66">
        <v>0</v>
      </c>
      <c r="X182" s="66">
        <f>90495+111818-48649</f>
        <v>153664</v>
      </c>
      <c r="Y182" s="66">
        <f>64828+14980</f>
        <v>79808</v>
      </c>
      <c r="Z182" s="66">
        <v>6200</v>
      </c>
      <c r="AA182" s="66">
        <v>0</v>
      </c>
      <c r="AB182" s="66">
        <v>0</v>
      </c>
      <c r="AC182" s="66">
        <f>37308+97217</f>
        <v>134525</v>
      </c>
      <c r="AD182" s="66">
        <v>0</v>
      </c>
      <c r="AE182" s="65">
        <f>SUM(AF182:AZ182)</f>
        <v>171263</v>
      </c>
      <c r="AF182" s="65">
        <v>0</v>
      </c>
      <c r="AG182" s="65">
        <v>0</v>
      </c>
      <c r="AH182" s="66">
        <v>0</v>
      </c>
      <c r="AI182" s="66">
        <v>0</v>
      </c>
      <c r="AJ182" s="66">
        <v>0</v>
      </c>
      <c r="AK182" s="66">
        <v>0</v>
      </c>
      <c r="AL182" s="66">
        <v>0</v>
      </c>
      <c r="AM182" s="66">
        <v>0</v>
      </c>
      <c r="AN182" s="66">
        <v>0</v>
      </c>
      <c r="AO182" s="66">
        <v>0</v>
      </c>
      <c r="AP182" s="66">
        <v>0</v>
      </c>
      <c r="AQ182" s="66">
        <v>0</v>
      </c>
      <c r="AR182" s="66">
        <f>46852-9360</f>
        <v>37492</v>
      </c>
      <c r="AS182" s="66">
        <f>0+25395</f>
        <v>25395</v>
      </c>
      <c r="AT182" s="66">
        <v>0</v>
      </c>
      <c r="AU182" s="66">
        <v>58400</v>
      </c>
      <c r="AV182" s="66">
        <v>0</v>
      </c>
      <c r="AW182" s="66">
        <v>0</v>
      </c>
      <c r="AX182" s="66">
        <f>0+31476</f>
        <v>31476</v>
      </c>
      <c r="AY182" s="66">
        <v>0</v>
      </c>
      <c r="AZ182" s="66">
        <f>29244-10744</f>
        <v>18500</v>
      </c>
      <c r="BA182" s="65">
        <f>SUM(BB182+BF182+BJ182+BL182+BO182)</f>
        <v>151010</v>
      </c>
      <c r="BB182" s="65">
        <f>SUM(BC182:BE182)</f>
        <v>0</v>
      </c>
      <c r="BC182" s="65">
        <v>0</v>
      </c>
      <c r="BD182" s="65">
        <v>0</v>
      </c>
      <c r="BE182" s="65">
        <v>0</v>
      </c>
      <c r="BF182" s="65">
        <f t="shared" ref="BF182:BF183" si="492">SUM(BG182:BI182)</f>
        <v>0</v>
      </c>
      <c r="BG182" s="65">
        <v>0</v>
      </c>
      <c r="BH182" s="65">
        <v>0</v>
      </c>
      <c r="BI182" s="65">
        <v>0</v>
      </c>
      <c r="BJ182" s="65">
        <v>0</v>
      </c>
      <c r="BK182" s="65">
        <v>0</v>
      </c>
      <c r="BL182" s="65">
        <f t="shared" si="331"/>
        <v>0</v>
      </c>
      <c r="BM182" s="65">
        <v>0</v>
      </c>
      <c r="BN182" s="65">
        <v>0</v>
      </c>
      <c r="BO182" s="65">
        <f>SUM(BP182:BZ182)</f>
        <v>151010</v>
      </c>
      <c r="BP182" s="65">
        <v>0</v>
      </c>
      <c r="BQ182" s="65">
        <v>0</v>
      </c>
      <c r="BR182" s="65">
        <v>0</v>
      </c>
      <c r="BS182" s="65">
        <v>0</v>
      </c>
      <c r="BT182" s="65">
        <v>0</v>
      </c>
      <c r="BU182" s="65">
        <v>0</v>
      </c>
      <c r="BV182" s="65">
        <v>0</v>
      </c>
      <c r="BW182" s="65">
        <v>0</v>
      </c>
      <c r="BX182" s="65">
        <v>0</v>
      </c>
      <c r="BY182" s="65">
        <v>0</v>
      </c>
      <c r="BZ182" s="66">
        <f>201663-50653</f>
        <v>151010</v>
      </c>
      <c r="CA182" s="65">
        <f>SUM(CB182+CN182)</f>
        <v>53869</v>
      </c>
      <c r="CB182" s="65">
        <f>SUM(CC182+CF182+CK182)</f>
        <v>53869</v>
      </c>
      <c r="CC182" s="65">
        <f t="shared" si="332"/>
        <v>53869</v>
      </c>
      <c r="CD182" s="65">
        <v>0</v>
      </c>
      <c r="CE182" s="65">
        <f>57369-3500</f>
        <v>53869</v>
      </c>
      <c r="CF182" s="65">
        <f>SUM(CG182:CJ182)</f>
        <v>0</v>
      </c>
      <c r="CG182" s="65">
        <v>0</v>
      </c>
      <c r="CH182" s="65">
        <v>0</v>
      </c>
      <c r="CI182" s="65">
        <v>0</v>
      </c>
      <c r="CJ182" s="65">
        <v>0</v>
      </c>
      <c r="CK182" s="65">
        <f>SUM(CL182:CM182)</f>
        <v>0</v>
      </c>
      <c r="CL182" s="65">
        <v>0</v>
      </c>
      <c r="CM182" s="65">
        <v>0</v>
      </c>
      <c r="CN182" s="65">
        <v>0</v>
      </c>
      <c r="CO182" s="65"/>
      <c r="CP182" s="65"/>
      <c r="CQ182" s="65"/>
      <c r="CR182" s="65"/>
      <c r="CS182" s="68"/>
    </row>
    <row r="183" spans="1:198" ht="15.6" x14ac:dyDescent="0.3">
      <c r="A183" s="90" t="s">
        <v>1</v>
      </c>
      <c r="B183" s="19" t="s">
        <v>54</v>
      </c>
      <c r="C183" s="20" t="s">
        <v>238</v>
      </c>
      <c r="D183" s="18">
        <f>SUM(E183+CA183)</f>
        <v>19543014</v>
      </c>
      <c r="E183" s="18">
        <f>SUM(F183+BA183)</f>
        <v>19543014</v>
      </c>
      <c r="F183" s="18">
        <f>SUM(G183+H183+I183+P183+S183+T183+U183+AE183+AD183)</f>
        <v>19543014</v>
      </c>
      <c r="G183" s="21">
        <v>14589327</v>
      </c>
      <c r="H183" s="21">
        <v>3342180</v>
      </c>
      <c r="I183" s="18">
        <f t="shared" si="327"/>
        <v>974692</v>
      </c>
      <c r="J183" s="21">
        <v>657993</v>
      </c>
      <c r="K183" s="21">
        <v>0</v>
      </c>
      <c r="L183" s="21">
        <v>0</v>
      </c>
      <c r="M183" s="21">
        <v>0</v>
      </c>
      <c r="N183" s="21">
        <f>316715-16</f>
        <v>316699</v>
      </c>
      <c r="O183" s="21">
        <v>0</v>
      </c>
      <c r="P183" s="18">
        <f t="shared" si="328"/>
        <v>0</v>
      </c>
      <c r="Q183" s="18">
        <v>0</v>
      </c>
      <c r="R183" s="21">
        <v>0</v>
      </c>
      <c r="S183" s="21">
        <v>0</v>
      </c>
      <c r="T183" s="21">
        <v>154455</v>
      </c>
      <c r="U183" s="18">
        <f t="shared" si="491"/>
        <v>482360</v>
      </c>
      <c r="V183" s="21">
        <v>0</v>
      </c>
      <c r="W183" s="21">
        <f>517216-65168-83095</f>
        <v>368953</v>
      </c>
      <c r="X183" s="21">
        <f>193994-103241+14400</f>
        <v>105153</v>
      </c>
      <c r="Y183" s="21">
        <f>22271-19467</f>
        <v>2804</v>
      </c>
      <c r="Z183" s="21">
        <v>0</v>
      </c>
      <c r="AA183" s="21">
        <v>0</v>
      </c>
      <c r="AB183" s="21">
        <v>0</v>
      </c>
      <c r="AC183" s="21">
        <f>5303-17+164</f>
        <v>5450</v>
      </c>
      <c r="AD183" s="21">
        <v>0</v>
      </c>
      <c r="AE183" s="18">
        <f>SUM(AF183:AZ183)</f>
        <v>0</v>
      </c>
      <c r="AF183" s="18">
        <v>0</v>
      </c>
      <c r="AG183" s="18">
        <v>0</v>
      </c>
      <c r="AH183" s="21">
        <v>0</v>
      </c>
      <c r="AI183" s="21">
        <v>0</v>
      </c>
      <c r="AJ183" s="21">
        <v>0</v>
      </c>
      <c r="AK183" s="21">
        <v>0</v>
      </c>
      <c r="AL183" s="21">
        <v>0</v>
      </c>
      <c r="AM183" s="21">
        <v>0</v>
      </c>
      <c r="AN183" s="21">
        <v>0</v>
      </c>
      <c r="AO183" s="21">
        <v>0</v>
      </c>
      <c r="AP183" s="21">
        <v>0</v>
      </c>
      <c r="AQ183" s="21">
        <v>0</v>
      </c>
      <c r="AR183" s="21">
        <v>0</v>
      </c>
      <c r="AS183" s="21">
        <v>0</v>
      </c>
      <c r="AT183" s="21">
        <v>0</v>
      </c>
      <c r="AU183" s="21">
        <v>0</v>
      </c>
      <c r="AV183" s="21">
        <v>0</v>
      </c>
      <c r="AW183" s="21">
        <v>0</v>
      </c>
      <c r="AX183" s="21">
        <v>0</v>
      </c>
      <c r="AY183" s="21">
        <v>0</v>
      </c>
      <c r="AZ183" s="21">
        <v>0</v>
      </c>
      <c r="BA183" s="18">
        <f>SUM(BB183+BF183+BJ183+BL183+BO183)</f>
        <v>0</v>
      </c>
      <c r="BB183" s="18">
        <f>SUM(BC183:BE183)</f>
        <v>0</v>
      </c>
      <c r="BC183" s="18">
        <v>0</v>
      </c>
      <c r="BD183" s="18">
        <v>0</v>
      </c>
      <c r="BE183" s="18">
        <v>0</v>
      </c>
      <c r="BF183" s="18">
        <f t="shared" si="492"/>
        <v>0</v>
      </c>
      <c r="BG183" s="18">
        <v>0</v>
      </c>
      <c r="BH183" s="18">
        <v>0</v>
      </c>
      <c r="BI183" s="18">
        <v>0</v>
      </c>
      <c r="BJ183" s="18">
        <v>0</v>
      </c>
      <c r="BK183" s="18">
        <v>0</v>
      </c>
      <c r="BL183" s="18">
        <f t="shared" si="331"/>
        <v>0</v>
      </c>
      <c r="BM183" s="18">
        <v>0</v>
      </c>
      <c r="BN183" s="18">
        <v>0</v>
      </c>
      <c r="BO183" s="18">
        <f>SUM(BP183:BZ183)</f>
        <v>0</v>
      </c>
      <c r="BP183" s="18">
        <v>0</v>
      </c>
      <c r="BQ183" s="18">
        <v>0</v>
      </c>
      <c r="BR183" s="18">
        <v>0</v>
      </c>
      <c r="BS183" s="18">
        <v>0</v>
      </c>
      <c r="BT183" s="18">
        <v>0</v>
      </c>
      <c r="BU183" s="18">
        <v>0</v>
      </c>
      <c r="BV183" s="18">
        <v>0</v>
      </c>
      <c r="BW183" s="18">
        <v>0</v>
      </c>
      <c r="BX183" s="18">
        <v>0</v>
      </c>
      <c r="BY183" s="18">
        <v>0</v>
      </c>
      <c r="BZ183" s="18">
        <v>0</v>
      </c>
      <c r="CA183" s="18">
        <f>SUM(CB183+CN183)</f>
        <v>0</v>
      </c>
      <c r="CB183" s="18">
        <f>SUM(CC183+CF183+CK183)</f>
        <v>0</v>
      </c>
      <c r="CC183" s="18">
        <f t="shared" si="332"/>
        <v>0</v>
      </c>
      <c r="CD183" s="18">
        <v>0</v>
      </c>
      <c r="CE183" s="18"/>
      <c r="CF183" s="18">
        <f>SUM(CG183:CJ183)</f>
        <v>0</v>
      </c>
      <c r="CG183" s="18">
        <v>0</v>
      </c>
      <c r="CH183" s="18">
        <v>0</v>
      </c>
      <c r="CI183" s="18">
        <v>0</v>
      </c>
      <c r="CJ183" s="18">
        <v>0</v>
      </c>
      <c r="CK183" s="18">
        <f>SUM(CL183:CM183)</f>
        <v>0</v>
      </c>
      <c r="CL183" s="18">
        <v>0</v>
      </c>
      <c r="CM183" s="18">
        <v>0</v>
      </c>
      <c r="CN183" s="18">
        <v>0</v>
      </c>
      <c r="CO183" s="65"/>
      <c r="CP183" s="65"/>
      <c r="CQ183" s="65"/>
      <c r="CR183" s="65"/>
      <c r="CS183" s="46"/>
      <c r="GP183" s="68"/>
    </row>
    <row r="184" spans="1:198" s="52" customFormat="1" ht="31.2" x14ac:dyDescent="0.3">
      <c r="A184" s="89" t="s">
        <v>239</v>
      </c>
      <c r="B184" s="15" t="s">
        <v>1</v>
      </c>
      <c r="C184" s="16" t="s">
        <v>502</v>
      </c>
      <c r="D184" s="17">
        <f>SUM(D185)</f>
        <v>29676176</v>
      </c>
      <c r="E184" s="17">
        <f t="shared" ref="E184:BU184" si="493">SUM(E185)</f>
        <v>29676176</v>
      </c>
      <c r="F184" s="17">
        <f t="shared" si="493"/>
        <v>29676176</v>
      </c>
      <c r="G184" s="17">
        <f t="shared" si="493"/>
        <v>0</v>
      </c>
      <c r="H184" s="17">
        <f t="shared" si="493"/>
        <v>0</v>
      </c>
      <c r="I184" s="17">
        <f t="shared" si="493"/>
        <v>28853754</v>
      </c>
      <c r="J184" s="17">
        <f t="shared" si="493"/>
        <v>28853754</v>
      </c>
      <c r="K184" s="17">
        <f t="shared" si="493"/>
        <v>0</v>
      </c>
      <c r="L184" s="17">
        <f t="shared" si="493"/>
        <v>0</v>
      </c>
      <c r="M184" s="17">
        <f t="shared" si="493"/>
        <v>0</v>
      </c>
      <c r="N184" s="17">
        <f t="shared" si="493"/>
        <v>0</v>
      </c>
      <c r="O184" s="17">
        <f t="shared" si="493"/>
        <v>0</v>
      </c>
      <c r="P184" s="17">
        <f t="shared" si="493"/>
        <v>0</v>
      </c>
      <c r="Q184" s="17">
        <f t="shared" si="493"/>
        <v>0</v>
      </c>
      <c r="R184" s="17">
        <f t="shared" si="493"/>
        <v>0</v>
      </c>
      <c r="S184" s="17">
        <f t="shared" si="493"/>
        <v>0</v>
      </c>
      <c r="T184" s="17">
        <f t="shared" si="493"/>
        <v>0</v>
      </c>
      <c r="U184" s="17">
        <f t="shared" si="493"/>
        <v>0</v>
      </c>
      <c r="V184" s="17">
        <f t="shared" si="493"/>
        <v>0</v>
      </c>
      <c r="W184" s="17">
        <f t="shared" si="493"/>
        <v>0</v>
      </c>
      <c r="X184" s="17">
        <f t="shared" si="493"/>
        <v>0</v>
      </c>
      <c r="Y184" s="17">
        <f t="shared" si="493"/>
        <v>0</v>
      </c>
      <c r="Z184" s="17">
        <f t="shared" si="493"/>
        <v>0</v>
      </c>
      <c r="AA184" s="17">
        <f t="shared" si="493"/>
        <v>0</v>
      </c>
      <c r="AB184" s="17">
        <f t="shared" si="493"/>
        <v>0</v>
      </c>
      <c r="AC184" s="17">
        <f t="shared" si="493"/>
        <v>0</v>
      </c>
      <c r="AD184" s="17">
        <f t="shared" si="493"/>
        <v>0</v>
      </c>
      <c r="AE184" s="17">
        <f t="shared" si="493"/>
        <v>822422</v>
      </c>
      <c r="AF184" s="17">
        <f t="shared" si="493"/>
        <v>0</v>
      </c>
      <c r="AG184" s="17">
        <f t="shared" si="493"/>
        <v>0</v>
      </c>
      <c r="AH184" s="17">
        <f t="shared" si="493"/>
        <v>0</v>
      </c>
      <c r="AI184" s="17">
        <f t="shared" si="493"/>
        <v>0</v>
      </c>
      <c r="AJ184" s="17">
        <f t="shared" si="493"/>
        <v>0</v>
      </c>
      <c r="AK184" s="17">
        <f t="shared" si="493"/>
        <v>0</v>
      </c>
      <c r="AL184" s="17">
        <f t="shared" si="493"/>
        <v>0</v>
      </c>
      <c r="AM184" s="17">
        <f t="shared" si="493"/>
        <v>0</v>
      </c>
      <c r="AN184" s="17">
        <f t="shared" si="493"/>
        <v>0</v>
      </c>
      <c r="AO184" s="17">
        <f t="shared" si="493"/>
        <v>0</v>
      </c>
      <c r="AP184" s="17">
        <f t="shared" si="493"/>
        <v>0</v>
      </c>
      <c r="AQ184" s="17">
        <f t="shared" si="493"/>
        <v>0</v>
      </c>
      <c r="AR184" s="17">
        <f t="shared" si="493"/>
        <v>0</v>
      </c>
      <c r="AS184" s="17">
        <f t="shared" si="493"/>
        <v>0</v>
      </c>
      <c r="AT184" s="17"/>
      <c r="AU184" s="17"/>
      <c r="AV184" s="17">
        <f t="shared" si="493"/>
        <v>235857</v>
      </c>
      <c r="AW184" s="17">
        <f t="shared" si="493"/>
        <v>0</v>
      </c>
      <c r="AX184" s="17">
        <f t="shared" si="493"/>
        <v>0</v>
      </c>
      <c r="AY184" s="17"/>
      <c r="AZ184" s="17">
        <f t="shared" si="493"/>
        <v>586565</v>
      </c>
      <c r="BA184" s="17">
        <f t="shared" si="493"/>
        <v>0</v>
      </c>
      <c r="BB184" s="17">
        <f t="shared" si="493"/>
        <v>0</v>
      </c>
      <c r="BC184" s="17">
        <f t="shared" si="493"/>
        <v>0</v>
      </c>
      <c r="BD184" s="17">
        <f t="shared" si="493"/>
        <v>0</v>
      </c>
      <c r="BE184" s="17">
        <f t="shared" si="493"/>
        <v>0</v>
      </c>
      <c r="BF184" s="17">
        <f t="shared" si="493"/>
        <v>0</v>
      </c>
      <c r="BG184" s="17">
        <f t="shared" si="493"/>
        <v>0</v>
      </c>
      <c r="BH184" s="17">
        <f t="shared" si="493"/>
        <v>0</v>
      </c>
      <c r="BI184" s="17">
        <f t="shared" si="493"/>
        <v>0</v>
      </c>
      <c r="BJ184" s="17">
        <f t="shared" si="493"/>
        <v>0</v>
      </c>
      <c r="BK184" s="17">
        <f t="shared" si="493"/>
        <v>0</v>
      </c>
      <c r="BL184" s="17">
        <f t="shared" si="493"/>
        <v>0</v>
      </c>
      <c r="BM184" s="17">
        <f t="shared" si="493"/>
        <v>0</v>
      </c>
      <c r="BN184" s="17">
        <f t="shared" si="493"/>
        <v>0</v>
      </c>
      <c r="BO184" s="17">
        <f t="shared" si="493"/>
        <v>0</v>
      </c>
      <c r="BP184" s="17">
        <f t="shared" si="493"/>
        <v>0</v>
      </c>
      <c r="BQ184" s="17">
        <f t="shared" si="493"/>
        <v>0</v>
      </c>
      <c r="BR184" s="17">
        <f t="shared" si="493"/>
        <v>0</v>
      </c>
      <c r="BS184" s="17">
        <f t="shared" si="493"/>
        <v>0</v>
      </c>
      <c r="BT184" s="17">
        <f t="shared" si="493"/>
        <v>0</v>
      </c>
      <c r="BU184" s="17">
        <f t="shared" si="493"/>
        <v>0</v>
      </c>
      <c r="BV184" s="17">
        <f t="shared" ref="BV184:CN184" si="494">SUM(BV185)</f>
        <v>0</v>
      </c>
      <c r="BW184" s="17">
        <f t="shared" si="494"/>
        <v>0</v>
      </c>
      <c r="BX184" s="17">
        <f t="shared" si="494"/>
        <v>0</v>
      </c>
      <c r="BY184" s="17">
        <f t="shared" si="494"/>
        <v>0</v>
      </c>
      <c r="BZ184" s="17">
        <f t="shared" si="494"/>
        <v>0</v>
      </c>
      <c r="CA184" s="17">
        <f t="shared" si="494"/>
        <v>0</v>
      </c>
      <c r="CB184" s="17">
        <f t="shared" si="494"/>
        <v>0</v>
      </c>
      <c r="CC184" s="17">
        <f t="shared" si="494"/>
        <v>0</v>
      </c>
      <c r="CD184" s="17">
        <f t="shared" si="494"/>
        <v>0</v>
      </c>
      <c r="CE184" s="17">
        <f t="shared" si="494"/>
        <v>0</v>
      </c>
      <c r="CF184" s="17">
        <f t="shared" si="494"/>
        <v>0</v>
      </c>
      <c r="CG184" s="17">
        <f t="shared" si="494"/>
        <v>0</v>
      </c>
      <c r="CH184" s="17">
        <f t="shared" si="494"/>
        <v>0</v>
      </c>
      <c r="CI184" s="17">
        <f t="shared" si="494"/>
        <v>0</v>
      </c>
      <c r="CJ184" s="17">
        <f t="shared" si="494"/>
        <v>0</v>
      </c>
      <c r="CK184" s="17">
        <f t="shared" si="494"/>
        <v>0</v>
      </c>
      <c r="CL184" s="17">
        <f t="shared" si="494"/>
        <v>0</v>
      </c>
      <c r="CM184" s="17">
        <f t="shared" si="494"/>
        <v>0</v>
      </c>
      <c r="CN184" s="17">
        <f t="shared" si="494"/>
        <v>0</v>
      </c>
      <c r="CO184" s="64"/>
      <c r="CP184" s="64"/>
      <c r="CQ184" s="64"/>
      <c r="CR184" s="64"/>
      <c r="CS184" s="51"/>
      <c r="GP184" s="44"/>
    </row>
    <row r="185" spans="1:198" ht="31.2" x14ac:dyDescent="0.3">
      <c r="A185" s="90" t="s">
        <v>1</v>
      </c>
      <c r="B185" s="19" t="s">
        <v>54</v>
      </c>
      <c r="C185" s="20" t="s">
        <v>468</v>
      </c>
      <c r="D185" s="18">
        <f>SUM(E185+CA185)</f>
        <v>29676176</v>
      </c>
      <c r="E185" s="18">
        <f>SUM(F185+BA185)</f>
        <v>29676176</v>
      </c>
      <c r="F185" s="18">
        <f>SUM(G185+H185+I185+P185+S185+T185+U185+AE185+AD185)</f>
        <v>29676176</v>
      </c>
      <c r="G185" s="18">
        <v>0</v>
      </c>
      <c r="H185" s="18">
        <v>0</v>
      </c>
      <c r="I185" s="18">
        <f t="shared" si="327"/>
        <v>28853754</v>
      </c>
      <c r="J185" s="21">
        <v>28853754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f t="shared" si="328"/>
        <v>0</v>
      </c>
      <c r="Q185" s="18">
        <v>0</v>
      </c>
      <c r="R185" s="18">
        <v>0</v>
      </c>
      <c r="S185" s="18">
        <v>0</v>
      </c>
      <c r="T185" s="18">
        <v>0</v>
      </c>
      <c r="U185" s="18">
        <f t="shared" ref="U185" si="495">SUM(V185:AC185)</f>
        <v>0</v>
      </c>
      <c r="V185" s="18">
        <v>0</v>
      </c>
      <c r="W185" s="18">
        <v>0</v>
      </c>
      <c r="X185" s="18">
        <v>0</v>
      </c>
      <c r="Y185" s="18">
        <v>0</v>
      </c>
      <c r="Z185" s="18">
        <v>0</v>
      </c>
      <c r="AA185" s="18">
        <v>0</v>
      </c>
      <c r="AB185" s="18">
        <v>0</v>
      </c>
      <c r="AC185" s="18">
        <v>0</v>
      </c>
      <c r="AD185" s="18">
        <v>0</v>
      </c>
      <c r="AE185" s="18">
        <f>SUM(AF185:AZ185)</f>
        <v>822422</v>
      </c>
      <c r="AF185" s="18">
        <v>0</v>
      </c>
      <c r="AG185" s="18">
        <v>0</v>
      </c>
      <c r="AH185" s="18">
        <v>0</v>
      </c>
      <c r="AI185" s="18">
        <v>0</v>
      </c>
      <c r="AJ185" s="18">
        <v>0</v>
      </c>
      <c r="AK185" s="18">
        <v>0</v>
      </c>
      <c r="AL185" s="18">
        <v>0</v>
      </c>
      <c r="AM185" s="18">
        <v>0</v>
      </c>
      <c r="AN185" s="18">
        <v>0</v>
      </c>
      <c r="AO185" s="18">
        <v>0</v>
      </c>
      <c r="AP185" s="18">
        <v>0</v>
      </c>
      <c r="AQ185" s="18">
        <v>0</v>
      </c>
      <c r="AR185" s="18">
        <v>0</v>
      </c>
      <c r="AS185" s="18">
        <v>0</v>
      </c>
      <c r="AT185" s="18">
        <v>0</v>
      </c>
      <c r="AU185" s="18">
        <v>0</v>
      </c>
      <c r="AV185" s="21">
        <v>235857</v>
      </c>
      <c r="AW185" s="18">
        <v>0</v>
      </c>
      <c r="AX185" s="18">
        <v>0</v>
      </c>
      <c r="AY185" s="18">
        <v>0</v>
      </c>
      <c r="AZ185" s="22">
        <f>1198825-250000-362260</f>
        <v>586565</v>
      </c>
      <c r="BA185" s="18">
        <f>SUM(BB185+BF185+BJ185+BL185+BO185)</f>
        <v>0</v>
      </c>
      <c r="BB185" s="18">
        <f>SUM(BC185:BE185)</f>
        <v>0</v>
      </c>
      <c r="BC185" s="18">
        <v>0</v>
      </c>
      <c r="BD185" s="18">
        <v>0</v>
      </c>
      <c r="BE185" s="18">
        <v>0</v>
      </c>
      <c r="BF185" s="18">
        <f>SUM(BG185:BI185)</f>
        <v>0</v>
      </c>
      <c r="BG185" s="18">
        <v>0</v>
      </c>
      <c r="BH185" s="18">
        <v>0</v>
      </c>
      <c r="BI185" s="18">
        <v>0</v>
      </c>
      <c r="BJ185" s="18">
        <v>0</v>
      </c>
      <c r="BK185" s="18">
        <v>0</v>
      </c>
      <c r="BL185" s="18">
        <f t="shared" si="331"/>
        <v>0</v>
      </c>
      <c r="BM185" s="18">
        <v>0</v>
      </c>
      <c r="BN185" s="18">
        <v>0</v>
      </c>
      <c r="BO185" s="18">
        <f>SUM(BP185:BZ185)</f>
        <v>0</v>
      </c>
      <c r="BP185" s="18">
        <v>0</v>
      </c>
      <c r="BQ185" s="18">
        <v>0</v>
      </c>
      <c r="BR185" s="18">
        <v>0</v>
      </c>
      <c r="BS185" s="18">
        <v>0</v>
      </c>
      <c r="BT185" s="18">
        <v>0</v>
      </c>
      <c r="BU185" s="18">
        <v>0</v>
      </c>
      <c r="BV185" s="18">
        <v>0</v>
      </c>
      <c r="BW185" s="18">
        <v>0</v>
      </c>
      <c r="BX185" s="18">
        <v>0</v>
      </c>
      <c r="BY185" s="18">
        <v>0</v>
      </c>
      <c r="BZ185" s="18">
        <v>0</v>
      </c>
      <c r="CA185" s="18">
        <f>SUM(CB185+CN185)</f>
        <v>0</v>
      </c>
      <c r="CB185" s="18">
        <f>SUM(CC185+CF185+CK185)</f>
        <v>0</v>
      </c>
      <c r="CC185" s="18">
        <f t="shared" si="332"/>
        <v>0</v>
      </c>
      <c r="CD185" s="18">
        <v>0</v>
      </c>
      <c r="CE185" s="18">
        <v>0</v>
      </c>
      <c r="CF185" s="18">
        <f>SUM(CG185:CJ185)</f>
        <v>0</v>
      </c>
      <c r="CG185" s="18">
        <v>0</v>
      </c>
      <c r="CH185" s="18">
        <v>0</v>
      </c>
      <c r="CI185" s="18">
        <v>0</v>
      </c>
      <c r="CJ185" s="18">
        <v>0</v>
      </c>
      <c r="CK185" s="18">
        <f>SUM(CL185:CM185)</f>
        <v>0</v>
      </c>
      <c r="CL185" s="18">
        <v>0</v>
      </c>
      <c r="CM185" s="18">
        <v>0</v>
      </c>
      <c r="CN185" s="18">
        <v>0</v>
      </c>
      <c r="CO185" s="65"/>
      <c r="CP185" s="65"/>
      <c r="CQ185" s="65"/>
      <c r="CR185" s="65"/>
      <c r="CS185" s="46"/>
      <c r="GP185" s="82"/>
    </row>
    <row r="186" spans="1:198" s="52" customFormat="1" ht="31.2" x14ac:dyDescent="0.3">
      <c r="A186" s="89" t="s">
        <v>240</v>
      </c>
      <c r="B186" s="15" t="s">
        <v>1</v>
      </c>
      <c r="C186" s="16" t="s">
        <v>600</v>
      </c>
      <c r="D186" s="17">
        <f t="shared" ref="D186:AK186" si="496">SUM(D187)</f>
        <v>4634718</v>
      </c>
      <c r="E186" s="17">
        <f t="shared" si="496"/>
        <v>4634718</v>
      </c>
      <c r="F186" s="17">
        <f t="shared" si="496"/>
        <v>4634718</v>
      </c>
      <c r="G186" s="17">
        <f t="shared" si="496"/>
        <v>3630875</v>
      </c>
      <c r="H186" s="17">
        <f t="shared" si="496"/>
        <v>869769</v>
      </c>
      <c r="I186" s="17">
        <f t="shared" si="496"/>
        <v>93084</v>
      </c>
      <c r="J186" s="17">
        <f t="shared" si="496"/>
        <v>0</v>
      </c>
      <c r="K186" s="17">
        <f t="shared" si="496"/>
        <v>0</v>
      </c>
      <c r="L186" s="17">
        <f t="shared" si="496"/>
        <v>0</v>
      </c>
      <c r="M186" s="17">
        <f t="shared" si="496"/>
        <v>0</v>
      </c>
      <c r="N186" s="17">
        <f t="shared" si="496"/>
        <v>78621</v>
      </c>
      <c r="O186" s="17">
        <f t="shared" si="496"/>
        <v>14463</v>
      </c>
      <c r="P186" s="17">
        <f t="shared" si="496"/>
        <v>0</v>
      </c>
      <c r="Q186" s="17">
        <f t="shared" si="496"/>
        <v>0</v>
      </c>
      <c r="R186" s="17">
        <f t="shared" si="496"/>
        <v>0</v>
      </c>
      <c r="S186" s="17">
        <f t="shared" si="496"/>
        <v>0</v>
      </c>
      <c r="T186" s="17">
        <f t="shared" si="496"/>
        <v>40990</v>
      </c>
      <c r="U186" s="17">
        <f t="shared" si="496"/>
        <v>0</v>
      </c>
      <c r="V186" s="17">
        <f t="shared" si="496"/>
        <v>0</v>
      </c>
      <c r="W186" s="17">
        <f t="shared" si="496"/>
        <v>0</v>
      </c>
      <c r="X186" s="17">
        <f t="shared" si="496"/>
        <v>0</v>
      </c>
      <c r="Y186" s="17">
        <f t="shared" si="496"/>
        <v>0</v>
      </c>
      <c r="Z186" s="17">
        <f t="shared" si="496"/>
        <v>0</v>
      </c>
      <c r="AA186" s="17">
        <f t="shared" si="496"/>
        <v>0</v>
      </c>
      <c r="AB186" s="17">
        <f t="shared" si="496"/>
        <v>0</v>
      </c>
      <c r="AC186" s="17">
        <f t="shared" si="496"/>
        <v>0</v>
      </c>
      <c r="AD186" s="17">
        <f t="shared" si="496"/>
        <v>0</v>
      </c>
      <c r="AE186" s="17">
        <f t="shared" si="496"/>
        <v>0</v>
      </c>
      <c r="AF186" s="17">
        <f t="shared" si="496"/>
        <v>0</v>
      </c>
      <c r="AG186" s="17">
        <f t="shared" si="496"/>
        <v>0</v>
      </c>
      <c r="AH186" s="17">
        <f t="shared" si="496"/>
        <v>0</v>
      </c>
      <c r="AI186" s="17">
        <f t="shared" si="496"/>
        <v>0</v>
      </c>
      <c r="AJ186" s="17">
        <f t="shared" si="496"/>
        <v>0</v>
      </c>
      <c r="AK186" s="17">
        <f t="shared" si="496"/>
        <v>0</v>
      </c>
      <c r="AL186" s="17">
        <f t="shared" ref="AL186:CN186" si="497">SUM(AL187)</f>
        <v>0</v>
      </c>
      <c r="AM186" s="17">
        <f t="shared" si="497"/>
        <v>0</v>
      </c>
      <c r="AN186" s="17">
        <f t="shared" si="497"/>
        <v>0</v>
      </c>
      <c r="AO186" s="17">
        <f t="shared" si="497"/>
        <v>0</v>
      </c>
      <c r="AP186" s="17">
        <f t="shared" si="497"/>
        <v>0</v>
      </c>
      <c r="AQ186" s="17">
        <f t="shared" si="497"/>
        <v>0</v>
      </c>
      <c r="AR186" s="17">
        <f t="shared" si="497"/>
        <v>0</v>
      </c>
      <c r="AS186" s="17">
        <f t="shared" si="497"/>
        <v>0</v>
      </c>
      <c r="AT186" s="17"/>
      <c r="AU186" s="17"/>
      <c r="AV186" s="17">
        <f t="shared" si="497"/>
        <v>0</v>
      </c>
      <c r="AW186" s="17">
        <f t="shared" si="497"/>
        <v>0</v>
      </c>
      <c r="AX186" s="17">
        <f t="shared" si="497"/>
        <v>0</v>
      </c>
      <c r="AY186" s="17"/>
      <c r="AZ186" s="17">
        <f t="shared" si="497"/>
        <v>0</v>
      </c>
      <c r="BA186" s="17">
        <f t="shared" si="497"/>
        <v>0</v>
      </c>
      <c r="BB186" s="17">
        <f t="shared" si="497"/>
        <v>0</v>
      </c>
      <c r="BC186" s="17">
        <f t="shared" si="497"/>
        <v>0</v>
      </c>
      <c r="BD186" s="17">
        <f t="shared" si="497"/>
        <v>0</v>
      </c>
      <c r="BE186" s="17">
        <f t="shared" si="497"/>
        <v>0</v>
      </c>
      <c r="BF186" s="17">
        <f t="shared" si="497"/>
        <v>0</v>
      </c>
      <c r="BG186" s="17">
        <f t="shared" si="497"/>
        <v>0</v>
      </c>
      <c r="BH186" s="17">
        <f t="shared" si="497"/>
        <v>0</v>
      </c>
      <c r="BI186" s="17">
        <f t="shared" si="497"/>
        <v>0</v>
      </c>
      <c r="BJ186" s="17">
        <f t="shared" si="497"/>
        <v>0</v>
      </c>
      <c r="BK186" s="17">
        <f t="shared" si="497"/>
        <v>0</v>
      </c>
      <c r="BL186" s="17">
        <f t="shared" si="497"/>
        <v>0</v>
      </c>
      <c r="BM186" s="17">
        <f t="shared" si="497"/>
        <v>0</v>
      </c>
      <c r="BN186" s="17">
        <f t="shared" si="497"/>
        <v>0</v>
      </c>
      <c r="BO186" s="17">
        <f t="shared" si="497"/>
        <v>0</v>
      </c>
      <c r="BP186" s="17">
        <f t="shared" si="497"/>
        <v>0</v>
      </c>
      <c r="BQ186" s="17">
        <f t="shared" si="497"/>
        <v>0</v>
      </c>
      <c r="BR186" s="17">
        <f t="shared" si="497"/>
        <v>0</v>
      </c>
      <c r="BS186" s="17">
        <f t="shared" si="497"/>
        <v>0</v>
      </c>
      <c r="BT186" s="17">
        <f t="shared" si="497"/>
        <v>0</v>
      </c>
      <c r="BU186" s="17">
        <f t="shared" si="497"/>
        <v>0</v>
      </c>
      <c r="BV186" s="17">
        <f t="shared" si="497"/>
        <v>0</v>
      </c>
      <c r="BW186" s="17">
        <f t="shared" si="497"/>
        <v>0</v>
      </c>
      <c r="BX186" s="17">
        <f t="shared" si="497"/>
        <v>0</v>
      </c>
      <c r="BY186" s="17">
        <f t="shared" si="497"/>
        <v>0</v>
      </c>
      <c r="BZ186" s="17">
        <f t="shared" si="497"/>
        <v>0</v>
      </c>
      <c r="CA186" s="17">
        <f t="shared" si="497"/>
        <v>0</v>
      </c>
      <c r="CB186" s="17">
        <f t="shared" si="497"/>
        <v>0</v>
      </c>
      <c r="CC186" s="17">
        <f t="shared" si="497"/>
        <v>0</v>
      </c>
      <c r="CD186" s="17">
        <f t="shared" si="497"/>
        <v>0</v>
      </c>
      <c r="CE186" s="17">
        <f t="shared" si="497"/>
        <v>0</v>
      </c>
      <c r="CF186" s="17">
        <f t="shared" si="497"/>
        <v>0</v>
      </c>
      <c r="CG186" s="17">
        <f t="shared" si="497"/>
        <v>0</v>
      </c>
      <c r="CH186" s="17">
        <f t="shared" si="497"/>
        <v>0</v>
      </c>
      <c r="CI186" s="17">
        <f t="shared" si="497"/>
        <v>0</v>
      </c>
      <c r="CJ186" s="17">
        <f t="shared" si="497"/>
        <v>0</v>
      </c>
      <c r="CK186" s="17">
        <f t="shared" si="497"/>
        <v>0</v>
      </c>
      <c r="CL186" s="17">
        <f t="shared" si="497"/>
        <v>0</v>
      </c>
      <c r="CM186" s="17">
        <f t="shared" si="497"/>
        <v>0</v>
      </c>
      <c r="CN186" s="17">
        <f t="shared" si="497"/>
        <v>0</v>
      </c>
      <c r="CO186" s="64"/>
      <c r="CP186" s="64"/>
      <c r="CQ186" s="64"/>
      <c r="CR186" s="64"/>
      <c r="CS186" s="51"/>
      <c r="GP186" s="44"/>
    </row>
    <row r="187" spans="1:198" s="82" customFormat="1" ht="31.2" x14ac:dyDescent="0.3">
      <c r="A187" s="90" t="s">
        <v>1</v>
      </c>
      <c r="B187" s="19" t="s">
        <v>54</v>
      </c>
      <c r="C187" s="20" t="s">
        <v>241</v>
      </c>
      <c r="D187" s="18">
        <f>SUM(E187+CA187)</f>
        <v>4634718</v>
      </c>
      <c r="E187" s="18">
        <f>SUM(F187+BA187)</f>
        <v>4634718</v>
      </c>
      <c r="F187" s="18">
        <f>SUM(G187+H187+I187+P187+S187+T187+U187+AE187+AD187)</f>
        <v>4634718</v>
      </c>
      <c r="G187" s="21">
        <v>3630875</v>
      </c>
      <c r="H187" s="21">
        <v>869769</v>
      </c>
      <c r="I187" s="18">
        <f t="shared" si="327"/>
        <v>93084</v>
      </c>
      <c r="J187" s="21"/>
      <c r="K187" s="21"/>
      <c r="L187" s="21"/>
      <c r="M187" s="21"/>
      <c r="N187" s="21">
        <f>80529-1908</f>
        <v>78621</v>
      </c>
      <c r="O187" s="21">
        <v>14463</v>
      </c>
      <c r="P187" s="18">
        <f t="shared" si="328"/>
        <v>0</v>
      </c>
      <c r="Q187" s="18">
        <v>0</v>
      </c>
      <c r="R187" s="18">
        <v>0</v>
      </c>
      <c r="S187" s="18">
        <v>0</v>
      </c>
      <c r="T187" s="21">
        <v>40990</v>
      </c>
      <c r="U187" s="18">
        <f t="shared" ref="U187" si="498">SUM(V187:AC187)</f>
        <v>0</v>
      </c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f>SUM(AF187:AZ187)</f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  <c r="AK187" s="21"/>
      <c r="AL187" s="21"/>
      <c r="AM187" s="21"/>
      <c r="AN187" s="21"/>
      <c r="AO187" s="21">
        <v>0</v>
      </c>
      <c r="AP187" s="21">
        <v>0</v>
      </c>
      <c r="AQ187" s="21">
        <v>0</v>
      </c>
      <c r="AR187" s="21">
        <v>0</v>
      </c>
      <c r="AS187" s="21">
        <v>0</v>
      </c>
      <c r="AT187" s="21">
        <v>0</v>
      </c>
      <c r="AU187" s="21">
        <v>0</v>
      </c>
      <c r="AV187" s="21">
        <v>0</v>
      </c>
      <c r="AW187" s="21">
        <v>0</v>
      </c>
      <c r="AX187" s="21">
        <v>0</v>
      </c>
      <c r="AY187" s="21">
        <v>0</v>
      </c>
      <c r="AZ187" s="21"/>
      <c r="BA187" s="18">
        <f>SUM(BB187+BF187+BJ187+BL187+BO187)</f>
        <v>0</v>
      </c>
      <c r="BB187" s="18">
        <f>SUM(BC187:BE187)</f>
        <v>0</v>
      </c>
      <c r="BC187" s="18">
        <v>0</v>
      </c>
      <c r="BD187" s="18">
        <v>0</v>
      </c>
      <c r="BE187" s="18">
        <v>0</v>
      </c>
      <c r="BF187" s="18">
        <f>SUM(BG187:BI187)</f>
        <v>0</v>
      </c>
      <c r="BG187" s="18">
        <v>0</v>
      </c>
      <c r="BH187" s="18">
        <v>0</v>
      </c>
      <c r="BI187" s="18">
        <v>0</v>
      </c>
      <c r="BJ187" s="18">
        <v>0</v>
      </c>
      <c r="BK187" s="18">
        <v>0</v>
      </c>
      <c r="BL187" s="18">
        <f t="shared" si="331"/>
        <v>0</v>
      </c>
      <c r="BM187" s="18">
        <v>0</v>
      </c>
      <c r="BN187" s="18">
        <v>0</v>
      </c>
      <c r="BO187" s="18">
        <f>SUM(BP187:BZ187)</f>
        <v>0</v>
      </c>
      <c r="BP187" s="18">
        <v>0</v>
      </c>
      <c r="BQ187" s="18">
        <v>0</v>
      </c>
      <c r="BR187" s="18">
        <v>0</v>
      </c>
      <c r="BS187" s="18">
        <v>0</v>
      </c>
      <c r="BT187" s="18">
        <v>0</v>
      </c>
      <c r="BU187" s="18">
        <v>0</v>
      </c>
      <c r="BV187" s="18">
        <v>0</v>
      </c>
      <c r="BW187" s="18">
        <v>0</v>
      </c>
      <c r="BX187" s="18">
        <v>0</v>
      </c>
      <c r="BY187" s="18">
        <v>0</v>
      </c>
      <c r="BZ187" s="18">
        <v>0</v>
      </c>
      <c r="CA187" s="18">
        <f>SUM(CB187+CN187)</f>
        <v>0</v>
      </c>
      <c r="CB187" s="18">
        <f>SUM(CC187+CF187+CK187)</f>
        <v>0</v>
      </c>
      <c r="CC187" s="18">
        <f t="shared" si="332"/>
        <v>0</v>
      </c>
      <c r="CD187" s="18">
        <v>0</v>
      </c>
      <c r="CE187" s="21"/>
      <c r="CF187" s="18">
        <f>SUM(CG187:CJ187)</f>
        <v>0</v>
      </c>
      <c r="CG187" s="18">
        <v>0</v>
      </c>
      <c r="CH187" s="18">
        <v>0</v>
      </c>
      <c r="CI187" s="18">
        <v>0</v>
      </c>
      <c r="CJ187" s="18">
        <v>0</v>
      </c>
      <c r="CK187" s="18">
        <f>SUM(CL187:CM187)</f>
        <v>0</v>
      </c>
      <c r="CL187" s="18">
        <v>0</v>
      </c>
      <c r="CM187" s="18">
        <v>0</v>
      </c>
      <c r="CN187" s="18">
        <v>0</v>
      </c>
      <c r="CO187" s="65"/>
      <c r="CP187" s="65"/>
      <c r="CQ187" s="65"/>
      <c r="CR187" s="65"/>
      <c r="CS187" s="46"/>
      <c r="GP187" s="52"/>
    </row>
    <row r="188" spans="1:198" s="52" customFormat="1" ht="15.6" x14ac:dyDescent="0.3">
      <c r="A188" s="91" t="s">
        <v>242</v>
      </c>
      <c r="B188" s="23" t="s">
        <v>1</v>
      </c>
      <c r="C188" s="24" t="s">
        <v>243</v>
      </c>
      <c r="D188" s="25">
        <f t="shared" ref="D188:AS188" si="499">SUM(D189+D190+D191+D195+D197+D199+D201+D203+D211)</f>
        <v>794514959</v>
      </c>
      <c r="E188" s="25">
        <f t="shared" si="499"/>
        <v>793891896</v>
      </c>
      <c r="F188" s="25">
        <f t="shared" si="499"/>
        <v>250644054</v>
      </c>
      <c r="G188" s="25">
        <f t="shared" si="499"/>
        <v>24961909</v>
      </c>
      <c r="H188" s="25">
        <f t="shared" si="499"/>
        <v>5494359</v>
      </c>
      <c r="I188" s="25">
        <f t="shared" si="499"/>
        <v>12960861</v>
      </c>
      <c r="J188" s="25">
        <f t="shared" si="499"/>
        <v>1089331</v>
      </c>
      <c r="K188" s="25">
        <f t="shared" si="499"/>
        <v>59068</v>
      </c>
      <c r="L188" s="25">
        <f t="shared" si="499"/>
        <v>9015189</v>
      </c>
      <c r="M188" s="25">
        <f t="shared" si="499"/>
        <v>0</v>
      </c>
      <c r="N188" s="25">
        <f t="shared" si="499"/>
        <v>867207</v>
      </c>
      <c r="O188" s="25">
        <f t="shared" si="499"/>
        <v>1930066</v>
      </c>
      <c r="P188" s="25">
        <f t="shared" si="499"/>
        <v>0</v>
      </c>
      <c r="Q188" s="25">
        <f t="shared" si="499"/>
        <v>0</v>
      </c>
      <c r="R188" s="25">
        <f t="shared" si="499"/>
        <v>0</v>
      </c>
      <c r="S188" s="25">
        <f t="shared" si="499"/>
        <v>0</v>
      </c>
      <c r="T188" s="25">
        <f t="shared" si="499"/>
        <v>176893</v>
      </c>
      <c r="U188" s="25">
        <f t="shared" si="499"/>
        <v>199512467</v>
      </c>
      <c r="V188" s="25">
        <f t="shared" si="499"/>
        <v>164401</v>
      </c>
      <c r="W188" s="25">
        <f t="shared" si="499"/>
        <v>1365892</v>
      </c>
      <c r="X188" s="25">
        <f t="shared" si="499"/>
        <v>1018825</v>
      </c>
      <c r="Y188" s="25">
        <f t="shared" si="499"/>
        <v>1066319</v>
      </c>
      <c r="Z188" s="25">
        <f t="shared" si="499"/>
        <v>83196</v>
      </c>
      <c r="AA188" s="25">
        <f t="shared" si="499"/>
        <v>0</v>
      </c>
      <c r="AB188" s="25">
        <f t="shared" si="499"/>
        <v>195712492</v>
      </c>
      <c r="AC188" s="25">
        <f t="shared" si="499"/>
        <v>101342</v>
      </c>
      <c r="AD188" s="25">
        <f t="shared" si="499"/>
        <v>0</v>
      </c>
      <c r="AE188" s="25">
        <f t="shared" si="499"/>
        <v>7537565</v>
      </c>
      <c r="AF188" s="25">
        <f t="shared" si="499"/>
        <v>0</v>
      </c>
      <c r="AG188" s="25">
        <f t="shared" si="499"/>
        <v>0</v>
      </c>
      <c r="AH188" s="25">
        <f t="shared" si="499"/>
        <v>1500</v>
      </c>
      <c r="AI188" s="25">
        <f t="shared" si="499"/>
        <v>54007</v>
      </c>
      <c r="AJ188" s="25">
        <f t="shared" si="499"/>
        <v>0</v>
      </c>
      <c r="AK188" s="25">
        <f t="shared" si="499"/>
        <v>7431</v>
      </c>
      <c r="AL188" s="25">
        <f t="shared" si="499"/>
        <v>0</v>
      </c>
      <c r="AM188" s="25">
        <f t="shared" si="499"/>
        <v>1955</v>
      </c>
      <c r="AN188" s="25">
        <f t="shared" si="499"/>
        <v>0</v>
      </c>
      <c r="AO188" s="25">
        <f t="shared" si="499"/>
        <v>0</v>
      </c>
      <c r="AP188" s="25">
        <f t="shared" si="499"/>
        <v>0</v>
      </c>
      <c r="AQ188" s="25">
        <f t="shared" si="499"/>
        <v>0</v>
      </c>
      <c r="AR188" s="25">
        <f t="shared" si="499"/>
        <v>90236</v>
      </c>
      <c r="AS188" s="25">
        <f t="shared" si="499"/>
        <v>77400</v>
      </c>
      <c r="AT188" s="25"/>
      <c r="AU188" s="25"/>
      <c r="AV188" s="25">
        <f>SUM(AV189+AV190+AV191+AV195+AV197+AV199+AV201+AV203+AV211)</f>
        <v>6917991</v>
      </c>
      <c r="AW188" s="25">
        <f>SUM(AW189+AW190+AW191+AW195+AW197+AW199+AW201+AW203+AW211)</f>
        <v>23367</v>
      </c>
      <c r="AX188" s="25">
        <f>SUM(AX189+AX190+AX191+AX195+AX197+AX199+AX201+AX203+AX211)</f>
        <v>0</v>
      </c>
      <c r="AY188" s="25"/>
      <c r="AZ188" s="25">
        <f t="shared" ref="AZ188:CM188" si="500">SUM(AZ189+AZ190+AZ191+AZ195+AZ197+AZ199+AZ201+AZ203+AZ211)</f>
        <v>363678</v>
      </c>
      <c r="BA188" s="25">
        <f t="shared" si="500"/>
        <v>543247842</v>
      </c>
      <c r="BB188" s="25">
        <f t="shared" si="500"/>
        <v>0</v>
      </c>
      <c r="BC188" s="25">
        <f t="shared" si="500"/>
        <v>0</v>
      </c>
      <c r="BD188" s="25">
        <f t="shared" si="500"/>
        <v>0</v>
      </c>
      <c r="BE188" s="25">
        <f t="shared" si="500"/>
        <v>0</v>
      </c>
      <c r="BF188" s="25">
        <f t="shared" si="500"/>
        <v>0</v>
      </c>
      <c r="BG188" s="25">
        <f t="shared" si="500"/>
        <v>0</v>
      </c>
      <c r="BH188" s="25">
        <f t="shared" si="500"/>
        <v>0</v>
      </c>
      <c r="BI188" s="25">
        <f t="shared" si="500"/>
        <v>0</v>
      </c>
      <c r="BJ188" s="25">
        <f t="shared" si="500"/>
        <v>0</v>
      </c>
      <c r="BK188" s="25">
        <f t="shared" si="500"/>
        <v>0</v>
      </c>
      <c r="BL188" s="25">
        <f t="shared" si="500"/>
        <v>0</v>
      </c>
      <c r="BM188" s="25">
        <f t="shared" si="500"/>
        <v>0</v>
      </c>
      <c r="BN188" s="25">
        <f t="shared" si="500"/>
        <v>0</v>
      </c>
      <c r="BO188" s="25">
        <f t="shared" si="500"/>
        <v>543247842</v>
      </c>
      <c r="BP188" s="25">
        <f t="shared" si="500"/>
        <v>61287239</v>
      </c>
      <c r="BQ188" s="25">
        <f t="shared" si="500"/>
        <v>9336120</v>
      </c>
      <c r="BR188" s="25">
        <f t="shared" si="500"/>
        <v>0</v>
      </c>
      <c r="BS188" s="25">
        <f t="shared" si="500"/>
        <v>17500000</v>
      </c>
      <c r="BT188" s="25">
        <f t="shared" si="500"/>
        <v>15000</v>
      </c>
      <c r="BU188" s="25">
        <f t="shared" si="500"/>
        <v>0</v>
      </c>
      <c r="BV188" s="25">
        <f t="shared" si="500"/>
        <v>178334978</v>
      </c>
      <c r="BW188" s="25">
        <f t="shared" si="500"/>
        <v>1013250</v>
      </c>
      <c r="BX188" s="25">
        <f t="shared" si="500"/>
        <v>286944</v>
      </c>
      <c r="BY188" s="25">
        <f t="shared" si="500"/>
        <v>186525916</v>
      </c>
      <c r="BZ188" s="25">
        <f t="shared" si="500"/>
        <v>88948395</v>
      </c>
      <c r="CA188" s="25">
        <f t="shared" si="500"/>
        <v>623063</v>
      </c>
      <c r="CB188" s="25">
        <f t="shared" si="500"/>
        <v>623063</v>
      </c>
      <c r="CC188" s="25">
        <f t="shared" si="500"/>
        <v>623063</v>
      </c>
      <c r="CD188" s="25">
        <f t="shared" si="500"/>
        <v>0</v>
      </c>
      <c r="CE188" s="25">
        <f t="shared" si="500"/>
        <v>623063</v>
      </c>
      <c r="CF188" s="25">
        <f t="shared" si="500"/>
        <v>0</v>
      </c>
      <c r="CG188" s="25">
        <f t="shared" si="500"/>
        <v>0</v>
      </c>
      <c r="CH188" s="25">
        <f t="shared" si="500"/>
        <v>0</v>
      </c>
      <c r="CI188" s="25">
        <f t="shared" si="500"/>
        <v>0</v>
      </c>
      <c r="CJ188" s="25">
        <f t="shared" si="500"/>
        <v>0</v>
      </c>
      <c r="CK188" s="25">
        <f t="shared" si="500"/>
        <v>0</v>
      </c>
      <c r="CL188" s="25">
        <f t="shared" si="500"/>
        <v>0</v>
      </c>
      <c r="CM188" s="25">
        <f t="shared" si="500"/>
        <v>0</v>
      </c>
      <c r="CN188" s="25">
        <f t="shared" ref="CN188:CQ188" si="501">SUM(CN189+CN190+CN191+CN195+CN197+CN199+CN201+CN203+CN211)</f>
        <v>0</v>
      </c>
      <c r="CO188" s="25">
        <f t="shared" si="501"/>
        <v>0</v>
      </c>
      <c r="CP188" s="25">
        <f t="shared" si="501"/>
        <v>0</v>
      </c>
      <c r="CQ188" s="25">
        <f t="shared" si="501"/>
        <v>0</v>
      </c>
      <c r="CR188" s="25">
        <f t="shared" ref="CR188" si="502">SUM(CR189+CR190+CR191+CR195+CR197+CR199+CR201+CR203+CR211)</f>
        <v>0</v>
      </c>
      <c r="CS188" s="51"/>
      <c r="GP188" s="44"/>
    </row>
    <row r="189" spans="1:198" s="52" customFormat="1" ht="15.6" x14ac:dyDescent="0.3">
      <c r="A189" s="94" t="s">
        <v>244</v>
      </c>
      <c r="B189" s="79" t="s">
        <v>1</v>
      </c>
      <c r="C189" s="80" t="s">
        <v>245</v>
      </c>
      <c r="D189" s="64">
        <f>SUM(E189+CA189)</f>
        <v>104083842</v>
      </c>
      <c r="E189" s="64">
        <f>SUM(F189+BA189)</f>
        <v>104083842</v>
      </c>
      <c r="F189" s="64">
        <f>SUM(G189+H189+I189+P189+S189+T189+U189+AE189+AD189)</f>
        <v>0</v>
      </c>
      <c r="G189" s="64">
        <v>0</v>
      </c>
      <c r="H189" s="64">
        <v>0</v>
      </c>
      <c r="I189" s="64">
        <f t="shared" si="327"/>
        <v>0</v>
      </c>
      <c r="J189" s="64">
        <v>0</v>
      </c>
      <c r="K189" s="64">
        <v>0</v>
      </c>
      <c r="L189" s="64">
        <v>0</v>
      </c>
      <c r="M189" s="64">
        <v>0</v>
      </c>
      <c r="N189" s="64">
        <v>0</v>
      </c>
      <c r="O189" s="64">
        <v>0</v>
      </c>
      <c r="P189" s="64">
        <f t="shared" si="328"/>
        <v>0</v>
      </c>
      <c r="Q189" s="64">
        <v>0</v>
      </c>
      <c r="R189" s="64">
        <v>0</v>
      </c>
      <c r="S189" s="64">
        <v>0</v>
      </c>
      <c r="T189" s="64">
        <v>0</v>
      </c>
      <c r="U189" s="64">
        <f t="shared" ref="U189:U190" si="503">SUM(V189:AC189)</f>
        <v>0</v>
      </c>
      <c r="V189" s="64">
        <v>0</v>
      </c>
      <c r="W189" s="64">
        <v>0</v>
      </c>
      <c r="X189" s="64">
        <v>0</v>
      </c>
      <c r="Y189" s="64">
        <v>0</v>
      </c>
      <c r="Z189" s="64">
        <v>0</v>
      </c>
      <c r="AA189" s="64">
        <v>0</v>
      </c>
      <c r="AB189" s="64">
        <v>0</v>
      </c>
      <c r="AC189" s="64">
        <v>0</v>
      </c>
      <c r="AD189" s="64">
        <v>0</v>
      </c>
      <c r="AE189" s="64">
        <f>SUM(AF189:AZ189)</f>
        <v>0</v>
      </c>
      <c r="AF189" s="64">
        <v>0</v>
      </c>
      <c r="AG189" s="64">
        <v>0</v>
      </c>
      <c r="AH189" s="64">
        <v>0</v>
      </c>
      <c r="AI189" s="64">
        <v>0</v>
      </c>
      <c r="AJ189" s="64">
        <v>0</v>
      </c>
      <c r="AK189" s="64">
        <v>0</v>
      </c>
      <c r="AL189" s="64">
        <v>0</v>
      </c>
      <c r="AM189" s="64">
        <v>0</v>
      </c>
      <c r="AN189" s="64">
        <v>0</v>
      </c>
      <c r="AO189" s="64">
        <v>0</v>
      </c>
      <c r="AP189" s="64">
        <v>0</v>
      </c>
      <c r="AQ189" s="64">
        <v>0</v>
      </c>
      <c r="AR189" s="64">
        <v>0</v>
      </c>
      <c r="AS189" s="64">
        <v>0</v>
      </c>
      <c r="AT189" s="64"/>
      <c r="AU189" s="64"/>
      <c r="AV189" s="64">
        <v>0</v>
      </c>
      <c r="AW189" s="64">
        <v>0</v>
      </c>
      <c r="AX189" s="64">
        <v>0</v>
      </c>
      <c r="AY189" s="64"/>
      <c r="AZ189" s="64">
        <v>0</v>
      </c>
      <c r="BA189" s="64">
        <f>SUM(BB189+BF189+BJ189+BL189+BO189)</f>
        <v>104083842</v>
      </c>
      <c r="BB189" s="64">
        <f>SUM(BC189:BE189)</f>
        <v>0</v>
      </c>
      <c r="BC189" s="64">
        <v>0</v>
      </c>
      <c r="BD189" s="64">
        <v>0</v>
      </c>
      <c r="BE189" s="64">
        <v>0</v>
      </c>
      <c r="BF189" s="64">
        <f>SUM(BI189:BI189)</f>
        <v>0</v>
      </c>
      <c r="BG189" s="64">
        <v>0</v>
      </c>
      <c r="BH189" s="64">
        <v>0</v>
      </c>
      <c r="BI189" s="64">
        <v>0</v>
      </c>
      <c r="BJ189" s="64">
        <v>0</v>
      </c>
      <c r="BK189" s="64">
        <v>0</v>
      </c>
      <c r="BL189" s="64">
        <f t="shared" si="331"/>
        <v>0</v>
      </c>
      <c r="BM189" s="64">
        <v>0</v>
      </c>
      <c r="BN189" s="64">
        <v>0</v>
      </c>
      <c r="BO189" s="64">
        <f>SUM(BP189:BZ189)</f>
        <v>104083842</v>
      </c>
      <c r="BP189" s="81">
        <f>47806633-150000-70000</f>
        <v>47586633</v>
      </c>
      <c r="BQ189" s="81">
        <v>0</v>
      </c>
      <c r="BR189" s="81">
        <v>0</v>
      </c>
      <c r="BS189" s="81">
        <v>0</v>
      </c>
      <c r="BT189" s="81">
        <v>0</v>
      </c>
      <c r="BU189" s="81">
        <v>0</v>
      </c>
      <c r="BV189" s="81">
        <v>0</v>
      </c>
      <c r="BW189" s="81">
        <v>0</v>
      </c>
      <c r="BX189" s="81">
        <v>0</v>
      </c>
      <c r="BY189" s="81">
        <f>43670661-118000-200000</f>
        <v>43352661</v>
      </c>
      <c r="BZ189" s="81">
        <f>542508+6073840+6528200</f>
        <v>13144548</v>
      </c>
      <c r="CA189" s="64">
        <f>SUM(CB189+CN189)</f>
        <v>0</v>
      </c>
      <c r="CB189" s="64">
        <f>SUM(CC189+CF189+CK189)</f>
        <v>0</v>
      </c>
      <c r="CC189" s="64">
        <f t="shared" si="332"/>
        <v>0</v>
      </c>
      <c r="CD189" s="64">
        <v>0</v>
      </c>
      <c r="CE189" s="64">
        <v>0</v>
      </c>
      <c r="CF189" s="64">
        <f>SUM(CG189:CJ189)</f>
        <v>0</v>
      </c>
      <c r="CG189" s="64">
        <v>0</v>
      </c>
      <c r="CH189" s="64">
        <v>0</v>
      </c>
      <c r="CI189" s="64">
        <v>0</v>
      </c>
      <c r="CJ189" s="64">
        <v>0</v>
      </c>
      <c r="CK189" s="64">
        <f>SUM(CL189:CM189)</f>
        <v>0</v>
      </c>
      <c r="CL189" s="64">
        <v>0</v>
      </c>
      <c r="CM189" s="64">
        <v>0</v>
      </c>
      <c r="CN189" s="64">
        <v>0</v>
      </c>
      <c r="CO189" s="64"/>
      <c r="CP189" s="64"/>
      <c r="CQ189" s="64"/>
      <c r="CR189" s="64"/>
      <c r="CS189" s="82"/>
    </row>
    <row r="190" spans="1:198" ht="31.2" x14ac:dyDescent="0.3">
      <c r="A190" s="89" t="s">
        <v>246</v>
      </c>
      <c r="B190" s="15" t="s">
        <v>1</v>
      </c>
      <c r="C190" s="16" t="s">
        <v>247</v>
      </c>
      <c r="D190" s="17">
        <f>SUM(E190+CA190)</f>
        <v>17894151</v>
      </c>
      <c r="E190" s="17">
        <f>SUM(F190+BA190)</f>
        <v>17894151</v>
      </c>
      <c r="F190" s="17">
        <f>SUM(G190+H190+I190+P190+S190+T190+U190+AE190+AD190)</f>
        <v>0</v>
      </c>
      <c r="G190" s="17">
        <v>0</v>
      </c>
      <c r="H190" s="17">
        <v>0</v>
      </c>
      <c r="I190" s="17">
        <f t="shared" si="327"/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f t="shared" si="328"/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f t="shared" si="503"/>
        <v>0</v>
      </c>
      <c r="V190" s="17">
        <v>0</v>
      </c>
      <c r="W190" s="17">
        <v>0</v>
      </c>
      <c r="X190" s="17">
        <v>0</v>
      </c>
      <c r="Y190" s="17">
        <v>0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7">
        <f>SUM(AF190:AZ190)</f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/>
      <c r="AU190" s="17"/>
      <c r="AV190" s="17">
        <v>0</v>
      </c>
      <c r="AW190" s="17">
        <v>0</v>
      </c>
      <c r="AX190" s="17">
        <v>0</v>
      </c>
      <c r="AY190" s="17"/>
      <c r="AZ190" s="17">
        <v>0</v>
      </c>
      <c r="BA190" s="17">
        <f>SUM(BB190+BF190+BJ190+BL190+BO190)</f>
        <v>17894151</v>
      </c>
      <c r="BB190" s="17">
        <f>SUM(BC190:BE190)</f>
        <v>0</v>
      </c>
      <c r="BC190" s="17">
        <v>0</v>
      </c>
      <c r="BD190" s="17">
        <v>0</v>
      </c>
      <c r="BE190" s="17">
        <v>0</v>
      </c>
      <c r="BF190" s="17">
        <f>SUM(BI190:BI190)</f>
        <v>0</v>
      </c>
      <c r="BG190" s="17">
        <v>0</v>
      </c>
      <c r="BH190" s="17">
        <v>0</v>
      </c>
      <c r="BI190" s="17">
        <v>0</v>
      </c>
      <c r="BJ190" s="17">
        <v>0</v>
      </c>
      <c r="BK190" s="17">
        <v>0</v>
      </c>
      <c r="BL190" s="17">
        <f t="shared" si="331"/>
        <v>0</v>
      </c>
      <c r="BM190" s="17">
        <v>0</v>
      </c>
      <c r="BN190" s="17">
        <v>0</v>
      </c>
      <c r="BO190" s="17">
        <f>SUM(BP190:BZ190)</f>
        <v>17894151</v>
      </c>
      <c r="BP190" s="50">
        <v>13700606</v>
      </c>
      <c r="BQ190" s="50">
        <v>0</v>
      </c>
      <c r="BR190" s="50">
        <v>0</v>
      </c>
      <c r="BS190" s="50">
        <v>0</v>
      </c>
      <c r="BT190" s="50">
        <v>0</v>
      </c>
      <c r="BU190" s="50">
        <v>0</v>
      </c>
      <c r="BV190" s="50">
        <v>0</v>
      </c>
      <c r="BW190" s="50">
        <v>0</v>
      </c>
      <c r="BX190" s="50">
        <v>0</v>
      </c>
      <c r="BY190" s="50">
        <v>3404430</v>
      </c>
      <c r="BZ190" s="50">
        <f>476715+155600+156800</f>
        <v>789115</v>
      </c>
      <c r="CA190" s="17">
        <f>SUM(CB190+CN190)</f>
        <v>0</v>
      </c>
      <c r="CB190" s="17">
        <f>SUM(CC190+CF190+CK190)</f>
        <v>0</v>
      </c>
      <c r="CC190" s="17">
        <f t="shared" si="332"/>
        <v>0</v>
      </c>
      <c r="CD190" s="17">
        <v>0</v>
      </c>
      <c r="CE190" s="17">
        <v>0</v>
      </c>
      <c r="CF190" s="17">
        <f>SUM(CG190:CJ190)</f>
        <v>0</v>
      </c>
      <c r="CG190" s="17">
        <v>0</v>
      </c>
      <c r="CH190" s="17">
        <v>0</v>
      </c>
      <c r="CI190" s="17">
        <v>0</v>
      </c>
      <c r="CJ190" s="17">
        <v>0</v>
      </c>
      <c r="CK190" s="17">
        <f>SUM(CL190:CM190)</f>
        <v>0</v>
      </c>
      <c r="CL190" s="17">
        <v>0</v>
      </c>
      <c r="CM190" s="17">
        <v>0</v>
      </c>
      <c r="CN190" s="17">
        <v>0</v>
      </c>
      <c r="CO190" s="64"/>
      <c r="CP190" s="64"/>
      <c r="CQ190" s="64"/>
      <c r="CR190" s="64"/>
      <c r="CS190" s="51"/>
      <c r="GP190" s="82"/>
    </row>
    <row r="191" spans="1:198" s="68" customFormat="1" ht="15.6" x14ac:dyDescent="0.3">
      <c r="A191" s="89" t="s">
        <v>248</v>
      </c>
      <c r="B191" s="15" t="s">
        <v>1</v>
      </c>
      <c r="C191" s="16" t="s">
        <v>249</v>
      </c>
      <c r="D191" s="17">
        <f>SUM(D192:D194)</f>
        <v>44162590</v>
      </c>
      <c r="E191" s="17">
        <f t="shared" ref="E191:BU191" si="504">SUM(E192:E194)</f>
        <v>43547991</v>
      </c>
      <c r="F191" s="17">
        <f t="shared" si="504"/>
        <v>43547991</v>
      </c>
      <c r="G191" s="17">
        <f>SUM(G192:G194)</f>
        <v>23055112</v>
      </c>
      <c r="H191" s="17">
        <f>SUM(H192:H194)</f>
        <v>5295124</v>
      </c>
      <c r="I191" s="17">
        <f t="shared" si="504"/>
        <v>10954840</v>
      </c>
      <c r="J191" s="17">
        <f t="shared" si="504"/>
        <v>1089331</v>
      </c>
      <c r="K191" s="17">
        <f t="shared" si="504"/>
        <v>59068</v>
      </c>
      <c r="L191" s="17">
        <f t="shared" si="504"/>
        <v>9015189</v>
      </c>
      <c r="M191" s="17">
        <f t="shared" si="504"/>
        <v>0</v>
      </c>
      <c r="N191" s="17">
        <f t="shared" si="504"/>
        <v>523071</v>
      </c>
      <c r="O191" s="17">
        <f t="shared" si="504"/>
        <v>268181</v>
      </c>
      <c r="P191" s="17">
        <f t="shared" si="504"/>
        <v>0</v>
      </c>
      <c r="Q191" s="17">
        <f t="shared" si="504"/>
        <v>0</v>
      </c>
      <c r="R191" s="17">
        <f t="shared" si="504"/>
        <v>0</v>
      </c>
      <c r="S191" s="17">
        <f t="shared" si="504"/>
        <v>0</v>
      </c>
      <c r="T191" s="17">
        <f t="shared" si="504"/>
        <v>105060</v>
      </c>
      <c r="U191" s="17">
        <f t="shared" si="504"/>
        <v>3799975</v>
      </c>
      <c r="V191" s="17">
        <f t="shared" si="504"/>
        <v>164401</v>
      </c>
      <c r="W191" s="17">
        <f t="shared" si="504"/>
        <v>1365892</v>
      </c>
      <c r="X191" s="17">
        <f t="shared" si="504"/>
        <v>1018825</v>
      </c>
      <c r="Y191" s="17">
        <f t="shared" si="504"/>
        <v>1066319</v>
      </c>
      <c r="Z191" s="17">
        <f t="shared" si="504"/>
        <v>83196</v>
      </c>
      <c r="AA191" s="17">
        <f t="shared" si="504"/>
        <v>0</v>
      </c>
      <c r="AB191" s="17">
        <f t="shared" si="504"/>
        <v>0</v>
      </c>
      <c r="AC191" s="17">
        <f t="shared" si="504"/>
        <v>101342</v>
      </c>
      <c r="AD191" s="17">
        <f t="shared" si="504"/>
        <v>0</v>
      </c>
      <c r="AE191" s="17">
        <f t="shared" si="504"/>
        <v>337880</v>
      </c>
      <c r="AF191" s="17">
        <f t="shared" si="504"/>
        <v>0</v>
      </c>
      <c r="AG191" s="17">
        <f t="shared" si="504"/>
        <v>0</v>
      </c>
      <c r="AH191" s="17">
        <f t="shared" si="504"/>
        <v>1500</v>
      </c>
      <c r="AI191" s="17">
        <f t="shared" si="504"/>
        <v>54007</v>
      </c>
      <c r="AJ191" s="17">
        <f t="shared" si="504"/>
        <v>0</v>
      </c>
      <c r="AK191" s="17">
        <f t="shared" si="504"/>
        <v>7431</v>
      </c>
      <c r="AL191" s="17">
        <f t="shared" si="504"/>
        <v>0</v>
      </c>
      <c r="AM191" s="17">
        <f t="shared" si="504"/>
        <v>1955</v>
      </c>
      <c r="AN191" s="17">
        <f t="shared" si="504"/>
        <v>0</v>
      </c>
      <c r="AO191" s="17">
        <f t="shared" si="504"/>
        <v>0</v>
      </c>
      <c r="AP191" s="17">
        <f t="shared" si="504"/>
        <v>0</v>
      </c>
      <c r="AQ191" s="17">
        <f t="shared" si="504"/>
        <v>0</v>
      </c>
      <c r="AR191" s="17">
        <f t="shared" si="504"/>
        <v>90236</v>
      </c>
      <c r="AS191" s="17">
        <f t="shared" si="504"/>
        <v>77400</v>
      </c>
      <c r="AT191" s="17"/>
      <c r="AU191" s="17"/>
      <c r="AV191" s="17">
        <f t="shared" si="504"/>
        <v>6304</v>
      </c>
      <c r="AW191" s="17">
        <f t="shared" si="504"/>
        <v>0</v>
      </c>
      <c r="AX191" s="17">
        <f t="shared" si="504"/>
        <v>0</v>
      </c>
      <c r="AY191" s="17"/>
      <c r="AZ191" s="17">
        <f t="shared" si="504"/>
        <v>99047</v>
      </c>
      <c r="BA191" s="17">
        <f t="shared" si="504"/>
        <v>0</v>
      </c>
      <c r="BB191" s="17">
        <f t="shared" si="504"/>
        <v>0</v>
      </c>
      <c r="BC191" s="17">
        <f t="shared" si="504"/>
        <v>0</v>
      </c>
      <c r="BD191" s="17">
        <f t="shared" si="504"/>
        <v>0</v>
      </c>
      <c r="BE191" s="17">
        <f t="shared" si="504"/>
        <v>0</v>
      </c>
      <c r="BF191" s="17">
        <f t="shared" si="504"/>
        <v>0</v>
      </c>
      <c r="BG191" s="17">
        <f t="shared" si="504"/>
        <v>0</v>
      </c>
      <c r="BH191" s="17">
        <f t="shared" ref="BH191" si="505">SUM(BH192:BH194)</f>
        <v>0</v>
      </c>
      <c r="BI191" s="17">
        <f t="shared" si="504"/>
        <v>0</v>
      </c>
      <c r="BJ191" s="17">
        <f t="shared" si="504"/>
        <v>0</v>
      </c>
      <c r="BK191" s="17">
        <f t="shared" ref="BK191" si="506">SUM(BK192:BK194)</f>
        <v>0</v>
      </c>
      <c r="BL191" s="17">
        <f t="shared" si="504"/>
        <v>0</v>
      </c>
      <c r="BM191" s="17">
        <f t="shared" si="504"/>
        <v>0</v>
      </c>
      <c r="BN191" s="17">
        <f t="shared" ref="BN191" si="507">SUM(BN192:BN194)</f>
        <v>0</v>
      </c>
      <c r="BO191" s="17">
        <f t="shared" si="504"/>
        <v>0</v>
      </c>
      <c r="BP191" s="17">
        <f t="shared" si="504"/>
        <v>0</v>
      </c>
      <c r="BQ191" s="17">
        <f t="shared" si="504"/>
        <v>0</v>
      </c>
      <c r="BR191" s="17">
        <f t="shared" si="504"/>
        <v>0</v>
      </c>
      <c r="BS191" s="17">
        <f t="shared" si="504"/>
        <v>0</v>
      </c>
      <c r="BT191" s="17">
        <f t="shared" si="504"/>
        <v>0</v>
      </c>
      <c r="BU191" s="17">
        <f t="shared" si="504"/>
        <v>0</v>
      </c>
      <c r="BV191" s="17">
        <f t="shared" ref="BV191:CN191" si="508">SUM(BV192:BV194)</f>
        <v>0</v>
      </c>
      <c r="BW191" s="17">
        <f t="shared" si="508"/>
        <v>0</v>
      </c>
      <c r="BX191" s="17">
        <f t="shared" si="508"/>
        <v>0</v>
      </c>
      <c r="BY191" s="17">
        <f t="shared" si="508"/>
        <v>0</v>
      </c>
      <c r="BZ191" s="17">
        <f t="shared" si="508"/>
        <v>0</v>
      </c>
      <c r="CA191" s="17">
        <f t="shared" si="508"/>
        <v>614599</v>
      </c>
      <c r="CB191" s="17">
        <f t="shared" si="508"/>
        <v>614599</v>
      </c>
      <c r="CC191" s="17">
        <f t="shared" si="508"/>
        <v>614599</v>
      </c>
      <c r="CD191" s="17">
        <f t="shared" si="508"/>
        <v>0</v>
      </c>
      <c r="CE191" s="17">
        <f t="shared" si="508"/>
        <v>614599</v>
      </c>
      <c r="CF191" s="17">
        <f t="shared" si="508"/>
        <v>0</v>
      </c>
      <c r="CG191" s="17">
        <f t="shared" ref="CG191:CH191" si="509">SUM(CG192:CG194)</f>
        <v>0</v>
      </c>
      <c r="CH191" s="17">
        <f t="shared" si="509"/>
        <v>0</v>
      </c>
      <c r="CI191" s="17">
        <f t="shared" si="508"/>
        <v>0</v>
      </c>
      <c r="CJ191" s="17">
        <f t="shared" ref="CJ191" si="510">SUM(CJ192:CJ194)</f>
        <v>0</v>
      </c>
      <c r="CK191" s="17">
        <f t="shared" si="508"/>
        <v>0</v>
      </c>
      <c r="CL191" s="17">
        <f t="shared" ref="CL191" si="511">SUM(CL192:CL194)</f>
        <v>0</v>
      </c>
      <c r="CM191" s="17">
        <f t="shared" si="508"/>
        <v>0</v>
      </c>
      <c r="CN191" s="17">
        <f t="shared" si="508"/>
        <v>0</v>
      </c>
      <c r="CO191" s="64"/>
      <c r="CP191" s="64"/>
      <c r="CQ191" s="64"/>
      <c r="CR191" s="64"/>
      <c r="CS191" s="51"/>
      <c r="GP191" s="52"/>
    </row>
    <row r="192" spans="1:198" s="68" customFormat="1" ht="15.6" x14ac:dyDescent="0.3">
      <c r="A192" s="92" t="s">
        <v>1</v>
      </c>
      <c r="B192" s="62" t="s">
        <v>52</v>
      </c>
      <c r="C192" s="63" t="s">
        <v>250</v>
      </c>
      <c r="D192" s="65">
        <f t="shared" ref="D192:D194" si="512">SUM(E192+CA192)</f>
        <v>7700886</v>
      </c>
      <c r="E192" s="65">
        <f>SUM(F192+BA192)</f>
        <v>7680107</v>
      </c>
      <c r="F192" s="65">
        <f>SUM(G192+H192+I192+P192+S192+T192+U192+AE192+AD192)</f>
        <v>7680107</v>
      </c>
      <c r="G192" s="66">
        <v>4307031</v>
      </c>
      <c r="H192" s="66">
        <v>1010042</v>
      </c>
      <c r="I192" s="65">
        <f t="shared" si="327"/>
        <v>1939710</v>
      </c>
      <c r="J192" s="66">
        <f>267480-100000</f>
        <v>167480</v>
      </c>
      <c r="K192" s="66">
        <v>30348</v>
      </c>
      <c r="L192" s="66">
        <v>1489245</v>
      </c>
      <c r="M192" s="66">
        <v>0</v>
      </c>
      <c r="N192" s="66">
        <f>182274-92951</f>
        <v>89323</v>
      </c>
      <c r="O192" s="66">
        <f>63314+100000</f>
        <v>163314</v>
      </c>
      <c r="P192" s="65">
        <f t="shared" si="328"/>
        <v>0</v>
      </c>
      <c r="Q192" s="65">
        <v>0</v>
      </c>
      <c r="R192" s="65">
        <v>0</v>
      </c>
      <c r="S192" s="65">
        <v>0</v>
      </c>
      <c r="T192" s="66">
        <v>19273</v>
      </c>
      <c r="U192" s="65">
        <f t="shared" ref="U192:U194" si="513">SUM(V192:AC192)</f>
        <v>359042</v>
      </c>
      <c r="V192" s="66">
        <v>47633</v>
      </c>
      <c r="W192" s="66">
        <f>35023+12726</f>
        <v>47749</v>
      </c>
      <c r="X192" s="66">
        <f>50140+66144+10138</f>
        <v>126422</v>
      </c>
      <c r="Y192" s="66">
        <f>40289+33148+5652</f>
        <v>79089</v>
      </c>
      <c r="Z192" s="66">
        <v>19570</v>
      </c>
      <c r="AA192" s="66">
        <v>0</v>
      </c>
      <c r="AB192" s="66">
        <v>0</v>
      </c>
      <c r="AC192" s="66">
        <f>12769+25810</f>
        <v>38579</v>
      </c>
      <c r="AD192" s="66">
        <v>0</v>
      </c>
      <c r="AE192" s="65">
        <f>SUM(AF192:AZ192)</f>
        <v>45009</v>
      </c>
      <c r="AF192" s="65">
        <v>0</v>
      </c>
      <c r="AG192" s="65">
        <v>0</v>
      </c>
      <c r="AH192" s="65">
        <v>0</v>
      </c>
      <c r="AI192" s="66">
        <v>4130</v>
      </c>
      <c r="AJ192" s="66">
        <v>0</v>
      </c>
      <c r="AK192" s="66">
        <v>0</v>
      </c>
      <c r="AL192" s="66">
        <v>0</v>
      </c>
      <c r="AM192" s="66">
        <v>101</v>
      </c>
      <c r="AN192" s="66">
        <v>0</v>
      </c>
      <c r="AO192" s="66">
        <v>0</v>
      </c>
      <c r="AP192" s="66">
        <v>0</v>
      </c>
      <c r="AQ192" s="66">
        <v>0</v>
      </c>
      <c r="AR192" s="66">
        <f>41504-12726</f>
        <v>28778</v>
      </c>
      <c r="AS192" s="66">
        <v>12000</v>
      </c>
      <c r="AT192" s="66">
        <v>0</v>
      </c>
      <c r="AU192" s="66">
        <v>0</v>
      </c>
      <c r="AV192" s="66">
        <v>0</v>
      </c>
      <c r="AW192" s="66">
        <v>0</v>
      </c>
      <c r="AX192" s="66">
        <v>0</v>
      </c>
      <c r="AY192" s="66">
        <v>0</v>
      </c>
      <c r="AZ192" s="66">
        <v>0</v>
      </c>
      <c r="BA192" s="65">
        <f>SUM(BB192+BF192+BJ192+BL192+BO192)</f>
        <v>0</v>
      </c>
      <c r="BB192" s="65">
        <f>SUM(BC192:BE192)</f>
        <v>0</v>
      </c>
      <c r="BC192" s="65">
        <v>0</v>
      </c>
      <c r="BD192" s="65">
        <v>0</v>
      </c>
      <c r="BE192" s="65">
        <v>0</v>
      </c>
      <c r="BF192" s="65">
        <f>SUM(BI192:BI192)</f>
        <v>0</v>
      </c>
      <c r="BG192" s="65">
        <v>0</v>
      </c>
      <c r="BH192" s="65">
        <v>0</v>
      </c>
      <c r="BI192" s="65">
        <v>0</v>
      </c>
      <c r="BJ192" s="65">
        <v>0</v>
      </c>
      <c r="BK192" s="65">
        <v>0</v>
      </c>
      <c r="BL192" s="65">
        <f t="shared" si="331"/>
        <v>0</v>
      </c>
      <c r="BM192" s="65">
        <v>0</v>
      </c>
      <c r="BN192" s="65">
        <v>0</v>
      </c>
      <c r="BO192" s="65">
        <f>SUM(BP192:BZ192)</f>
        <v>0</v>
      </c>
      <c r="BP192" s="65">
        <v>0</v>
      </c>
      <c r="BQ192" s="65">
        <v>0</v>
      </c>
      <c r="BR192" s="65">
        <v>0</v>
      </c>
      <c r="BS192" s="65">
        <v>0</v>
      </c>
      <c r="BT192" s="65">
        <v>0</v>
      </c>
      <c r="BU192" s="65">
        <v>0</v>
      </c>
      <c r="BV192" s="65">
        <v>0</v>
      </c>
      <c r="BW192" s="65">
        <v>0</v>
      </c>
      <c r="BX192" s="65">
        <v>0</v>
      </c>
      <c r="BY192" s="65">
        <v>0</v>
      </c>
      <c r="BZ192" s="65">
        <v>0</v>
      </c>
      <c r="CA192" s="65">
        <f>SUM(CB192+CN192)</f>
        <v>20779</v>
      </c>
      <c r="CB192" s="65">
        <f>SUM(CC192+CF192+CK192)</f>
        <v>20779</v>
      </c>
      <c r="CC192" s="65">
        <f t="shared" si="332"/>
        <v>20779</v>
      </c>
      <c r="CD192" s="65">
        <v>0</v>
      </c>
      <c r="CE192" s="66">
        <f>52930-32151</f>
        <v>20779</v>
      </c>
      <c r="CF192" s="65">
        <f>SUM(CG192:CJ192)</f>
        <v>0</v>
      </c>
      <c r="CG192" s="65">
        <v>0</v>
      </c>
      <c r="CH192" s="65">
        <v>0</v>
      </c>
      <c r="CI192" s="65">
        <v>0</v>
      </c>
      <c r="CJ192" s="65">
        <v>0</v>
      </c>
      <c r="CK192" s="65">
        <f>SUM(CL192:CM192)</f>
        <v>0</v>
      </c>
      <c r="CL192" s="65">
        <v>0</v>
      </c>
      <c r="CM192" s="65">
        <v>0</v>
      </c>
      <c r="CN192" s="65">
        <v>0</v>
      </c>
      <c r="CO192" s="65"/>
      <c r="CP192" s="65"/>
      <c r="CQ192" s="65"/>
      <c r="CR192" s="65"/>
      <c r="GP192" s="52"/>
    </row>
    <row r="193" spans="1:198" s="82" customFormat="1" ht="31.2" x14ac:dyDescent="0.3">
      <c r="A193" s="92" t="s">
        <v>1</v>
      </c>
      <c r="B193" s="62" t="s">
        <v>52</v>
      </c>
      <c r="C193" s="63" t="s">
        <v>251</v>
      </c>
      <c r="D193" s="65">
        <f t="shared" si="512"/>
        <v>35244235</v>
      </c>
      <c r="E193" s="65">
        <f>SUM(F193+BA193)</f>
        <v>34650415</v>
      </c>
      <c r="F193" s="65">
        <f>SUM(G193+H193+I193+P193+S193+T193+U193+AE193+AD193)</f>
        <v>34650415</v>
      </c>
      <c r="G193" s="66">
        <v>17807341</v>
      </c>
      <c r="H193" s="66">
        <v>4063122</v>
      </c>
      <c r="I193" s="65">
        <f t="shared" si="327"/>
        <v>8978980</v>
      </c>
      <c r="J193" s="66">
        <v>921851</v>
      </c>
      <c r="K193" s="66">
        <f>524981-496261</f>
        <v>28720</v>
      </c>
      <c r="L193" s="66">
        <f>7635628-95035-14649</f>
        <v>7525944</v>
      </c>
      <c r="M193" s="66">
        <v>0</v>
      </c>
      <c r="N193" s="66">
        <f>653252-254591</f>
        <v>398661</v>
      </c>
      <c r="O193" s="66">
        <v>103804</v>
      </c>
      <c r="P193" s="65">
        <f t="shared" si="328"/>
        <v>0</v>
      </c>
      <c r="Q193" s="65">
        <v>0</v>
      </c>
      <c r="R193" s="65">
        <v>0</v>
      </c>
      <c r="S193" s="65">
        <v>0</v>
      </c>
      <c r="T193" s="66">
        <v>76871</v>
      </c>
      <c r="U193" s="65">
        <f t="shared" si="513"/>
        <v>3431230</v>
      </c>
      <c r="V193" s="66">
        <f>65323+48889</f>
        <v>114212</v>
      </c>
      <c r="W193" s="66">
        <f>944952+460605-91072</f>
        <v>1314485</v>
      </c>
      <c r="X193" s="66">
        <f>374508+480157+34733</f>
        <v>889398</v>
      </c>
      <c r="Y193" s="66">
        <f>823336+163410</f>
        <v>986746</v>
      </c>
      <c r="Z193" s="66">
        <f>63937-311</f>
        <v>63626</v>
      </c>
      <c r="AA193" s="66">
        <v>0</v>
      </c>
      <c r="AB193" s="66">
        <v>0</v>
      </c>
      <c r="AC193" s="66">
        <f>18021+44742</f>
        <v>62763</v>
      </c>
      <c r="AD193" s="66">
        <v>0</v>
      </c>
      <c r="AE193" s="65">
        <f>SUM(AF193:AZ193)</f>
        <v>292871</v>
      </c>
      <c r="AF193" s="65">
        <v>0</v>
      </c>
      <c r="AG193" s="65">
        <v>0</v>
      </c>
      <c r="AH193" s="65">
        <v>1500</v>
      </c>
      <c r="AI193" s="66">
        <f>75077-25200</f>
        <v>49877</v>
      </c>
      <c r="AJ193" s="66">
        <v>0</v>
      </c>
      <c r="AK193" s="66">
        <v>7431</v>
      </c>
      <c r="AL193" s="66">
        <v>0</v>
      </c>
      <c r="AM193" s="66">
        <v>1854</v>
      </c>
      <c r="AN193" s="66">
        <v>0</v>
      </c>
      <c r="AO193" s="66">
        <v>0</v>
      </c>
      <c r="AP193" s="66">
        <v>0</v>
      </c>
      <c r="AQ193" s="66">
        <v>0</v>
      </c>
      <c r="AR193" s="66">
        <f>223133-161675</f>
        <v>61458</v>
      </c>
      <c r="AS193" s="66">
        <f>74699-9299</f>
        <v>65400</v>
      </c>
      <c r="AT193" s="66">
        <v>0</v>
      </c>
      <c r="AU193" s="66">
        <v>0</v>
      </c>
      <c r="AV193" s="66">
        <v>6304</v>
      </c>
      <c r="AW193" s="66">
        <v>0</v>
      </c>
      <c r="AX193" s="66">
        <v>0</v>
      </c>
      <c r="AY193" s="66">
        <v>0</v>
      </c>
      <c r="AZ193" s="66">
        <f>7477+95035-3465</f>
        <v>99047</v>
      </c>
      <c r="BA193" s="65">
        <f>SUM(BB193+BF193+BJ193+BL193+BO193)</f>
        <v>0</v>
      </c>
      <c r="BB193" s="65">
        <f>SUM(BC193:BE193)</f>
        <v>0</v>
      </c>
      <c r="BC193" s="65">
        <v>0</v>
      </c>
      <c r="BD193" s="65">
        <v>0</v>
      </c>
      <c r="BE193" s="65">
        <v>0</v>
      </c>
      <c r="BF193" s="65">
        <f>SUM(BI193:BI193)</f>
        <v>0</v>
      </c>
      <c r="BG193" s="65">
        <v>0</v>
      </c>
      <c r="BH193" s="65">
        <v>0</v>
      </c>
      <c r="BI193" s="65">
        <v>0</v>
      </c>
      <c r="BJ193" s="65">
        <v>0</v>
      </c>
      <c r="BK193" s="65">
        <v>0</v>
      </c>
      <c r="BL193" s="65">
        <f t="shared" si="331"/>
        <v>0</v>
      </c>
      <c r="BM193" s="65">
        <v>0</v>
      </c>
      <c r="BN193" s="65">
        <v>0</v>
      </c>
      <c r="BO193" s="65">
        <f>SUM(BP193:BZ193)</f>
        <v>0</v>
      </c>
      <c r="BP193" s="65">
        <v>0</v>
      </c>
      <c r="BQ193" s="65">
        <v>0</v>
      </c>
      <c r="BR193" s="65">
        <v>0</v>
      </c>
      <c r="BS193" s="65">
        <v>0</v>
      </c>
      <c r="BT193" s="65">
        <v>0</v>
      </c>
      <c r="BU193" s="65">
        <v>0</v>
      </c>
      <c r="BV193" s="65">
        <v>0</v>
      </c>
      <c r="BW193" s="65">
        <v>0</v>
      </c>
      <c r="BX193" s="65">
        <v>0</v>
      </c>
      <c r="BY193" s="65">
        <v>0</v>
      </c>
      <c r="BZ193" s="65">
        <v>0</v>
      </c>
      <c r="CA193" s="65">
        <f>SUM(CB193+CN193)</f>
        <v>593820</v>
      </c>
      <c r="CB193" s="65">
        <f>SUM(CC193+CF193+CK193)</f>
        <v>593820</v>
      </c>
      <c r="CC193" s="65">
        <f t="shared" si="332"/>
        <v>593820</v>
      </c>
      <c r="CD193" s="65">
        <v>0</v>
      </c>
      <c r="CE193" s="66">
        <f>711770-117950</f>
        <v>593820</v>
      </c>
      <c r="CF193" s="65">
        <f>SUM(CG193:CJ193)</f>
        <v>0</v>
      </c>
      <c r="CG193" s="65">
        <v>0</v>
      </c>
      <c r="CH193" s="65">
        <v>0</v>
      </c>
      <c r="CI193" s="65">
        <v>0</v>
      </c>
      <c r="CJ193" s="65">
        <v>0</v>
      </c>
      <c r="CK193" s="65">
        <f>SUM(CL193:CM193)</f>
        <v>0</v>
      </c>
      <c r="CL193" s="65">
        <v>0</v>
      </c>
      <c r="CM193" s="65">
        <v>0</v>
      </c>
      <c r="CN193" s="65">
        <v>0</v>
      </c>
      <c r="CO193" s="65"/>
      <c r="CP193" s="65"/>
      <c r="CQ193" s="65"/>
      <c r="CR193" s="65"/>
      <c r="CS193" s="68"/>
      <c r="GP193" s="44"/>
    </row>
    <row r="194" spans="1:198" s="68" customFormat="1" ht="31.2" x14ac:dyDescent="0.3">
      <c r="A194" s="92" t="s">
        <v>1</v>
      </c>
      <c r="B194" s="62" t="s">
        <v>52</v>
      </c>
      <c r="C194" s="63" t="s">
        <v>252</v>
      </c>
      <c r="D194" s="65">
        <f t="shared" si="512"/>
        <v>1217469</v>
      </c>
      <c r="E194" s="65">
        <f>SUM(F194+BA194)</f>
        <v>1217469</v>
      </c>
      <c r="F194" s="65">
        <f>SUM(G194+H194+I194+P194+S194+T194+U194+AE194+AD194)</f>
        <v>1217469</v>
      </c>
      <c r="G194" s="66">
        <v>940740</v>
      </c>
      <c r="H194" s="66">
        <v>221960</v>
      </c>
      <c r="I194" s="65">
        <f t="shared" si="327"/>
        <v>36150</v>
      </c>
      <c r="J194" s="66">
        <v>0</v>
      </c>
      <c r="K194" s="66">
        <v>0</v>
      </c>
      <c r="L194" s="66">
        <v>0</v>
      </c>
      <c r="M194" s="66">
        <v>0</v>
      </c>
      <c r="N194" s="66">
        <f>35185-98</f>
        <v>35087</v>
      </c>
      <c r="O194" s="66">
        <f>5000-3937</f>
        <v>1063</v>
      </c>
      <c r="P194" s="65">
        <f t="shared" si="328"/>
        <v>0</v>
      </c>
      <c r="Q194" s="65">
        <v>0</v>
      </c>
      <c r="R194" s="65">
        <v>0</v>
      </c>
      <c r="S194" s="65">
        <v>0</v>
      </c>
      <c r="T194" s="66">
        <v>8916</v>
      </c>
      <c r="U194" s="65">
        <f t="shared" si="513"/>
        <v>9703</v>
      </c>
      <c r="V194" s="66">
        <v>2556</v>
      </c>
      <c r="W194" s="66">
        <f>2136+1522</f>
        <v>3658</v>
      </c>
      <c r="X194" s="66">
        <f>759+2246</f>
        <v>3005</v>
      </c>
      <c r="Y194" s="66">
        <f>315+169</f>
        <v>484</v>
      </c>
      <c r="Z194" s="66">
        <v>0</v>
      </c>
      <c r="AA194" s="66">
        <v>0</v>
      </c>
      <c r="AB194" s="66">
        <v>0</v>
      </c>
      <c r="AC194" s="66">
        <v>0</v>
      </c>
      <c r="AD194" s="66">
        <v>0</v>
      </c>
      <c r="AE194" s="65">
        <f>SUM(AF194:AZ194)</f>
        <v>0</v>
      </c>
      <c r="AF194" s="65">
        <v>0</v>
      </c>
      <c r="AG194" s="65">
        <v>0</v>
      </c>
      <c r="AH194" s="65">
        <v>0</v>
      </c>
      <c r="AI194" s="66">
        <v>0</v>
      </c>
      <c r="AJ194" s="66">
        <v>0</v>
      </c>
      <c r="AK194" s="66">
        <v>0</v>
      </c>
      <c r="AL194" s="66">
        <v>0</v>
      </c>
      <c r="AM194" s="66">
        <v>0</v>
      </c>
      <c r="AN194" s="66">
        <v>0</v>
      </c>
      <c r="AO194" s="66">
        <v>0</v>
      </c>
      <c r="AP194" s="66">
        <v>0</v>
      </c>
      <c r="AQ194" s="66">
        <v>0</v>
      </c>
      <c r="AR194" s="66">
        <v>0</v>
      </c>
      <c r="AS194" s="66">
        <v>0</v>
      </c>
      <c r="AT194" s="66">
        <v>0</v>
      </c>
      <c r="AU194" s="66">
        <v>0</v>
      </c>
      <c r="AV194" s="66">
        <v>0</v>
      </c>
      <c r="AW194" s="66">
        <v>0</v>
      </c>
      <c r="AX194" s="66">
        <v>0</v>
      </c>
      <c r="AY194" s="66">
        <v>0</v>
      </c>
      <c r="AZ194" s="66"/>
      <c r="BA194" s="65">
        <f>SUM(BB194+BF194+BJ194+BL194+BO194)</f>
        <v>0</v>
      </c>
      <c r="BB194" s="65">
        <f>SUM(BC194:BE194)</f>
        <v>0</v>
      </c>
      <c r="BC194" s="65">
        <v>0</v>
      </c>
      <c r="BD194" s="65">
        <v>0</v>
      </c>
      <c r="BE194" s="65">
        <v>0</v>
      </c>
      <c r="BF194" s="65">
        <f>SUM(BI194:BI194)</f>
        <v>0</v>
      </c>
      <c r="BG194" s="65">
        <v>0</v>
      </c>
      <c r="BH194" s="65">
        <v>0</v>
      </c>
      <c r="BI194" s="65">
        <v>0</v>
      </c>
      <c r="BJ194" s="65">
        <v>0</v>
      </c>
      <c r="BK194" s="65">
        <v>0</v>
      </c>
      <c r="BL194" s="65">
        <f t="shared" si="331"/>
        <v>0</v>
      </c>
      <c r="BM194" s="65">
        <v>0</v>
      </c>
      <c r="BN194" s="65">
        <v>0</v>
      </c>
      <c r="BO194" s="65">
        <f>SUM(BP194:BZ194)</f>
        <v>0</v>
      </c>
      <c r="BP194" s="65">
        <v>0</v>
      </c>
      <c r="BQ194" s="65">
        <v>0</v>
      </c>
      <c r="BR194" s="65">
        <v>0</v>
      </c>
      <c r="BS194" s="65">
        <v>0</v>
      </c>
      <c r="BT194" s="65">
        <v>0</v>
      </c>
      <c r="BU194" s="65">
        <v>0</v>
      </c>
      <c r="BV194" s="65">
        <v>0</v>
      </c>
      <c r="BW194" s="65">
        <v>0</v>
      </c>
      <c r="BX194" s="65">
        <v>0</v>
      </c>
      <c r="BY194" s="65">
        <v>0</v>
      </c>
      <c r="BZ194" s="65">
        <v>0</v>
      </c>
      <c r="CA194" s="65">
        <f>SUM(CB194+CN194)</f>
        <v>0</v>
      </c>
      <c r="CB194" s="65">
        <f>SUM(CC194+CF194+CK194)</f>
        <v>0</v>
      </c>
      <c r="CC194" s="65">
        <f t="shared" si="332"/>
        <v>0</v>
      </c>
      <c r="CD194" s="65">
        <v>0</v>
      </c>
      <c r="CE194" s="66"/>
      <c r="CF194" s="65">
        <f>SUM(CG194:CJ194)</f>
        <v>0</v>
      </c>
      <c r="CG194" s="65">
        <v>0</v>
      </c>
      <c r="CH194" s="65">
        <v>0</v>
      </c>
      <c r="CI194" s="65">
        <v>0</v>
      </c>
      <c r="CJ194" s="65">
        <v>0</v>
      </c>
      <c r="CK194" s="65">
        <f>SUM(CL194:CM194)</f>
        <v>0</v>
      </c>
      <c r="CL194" s="65">
        <v>0</v>
      </c>
      <c r="CM194" s="65">
        <v>0</v>
      </c>
      <c r="CN194" s="65">
        <v>0</v>
      </c>
      <c r="CO194" s="65"/>
      <c r="CP194" s="65"/>
      <c r="CQ194" s="65"/>
      <c r="CR194" s="65"/>
    </row>
    <row r="195" spans="1:198" s="52" customFormat="1" ht="31.2" x14ac:dyDescent="0.3">
      <c r="A195" s="89" t="s">
        <v>253</v>
      </c>
      <c r="B195" s="15" t="s">
        <v>1</v>
      </c>
      <c r="C195" s="16" t="s">
        <v>13</v>
      </c>
      <c r="D195" s="17">
        <f>SUM(D196)</f>
        <v>219391829</v>
      </c>
      <c r="E195" s="17">
        <f t="shared" ref="E195:BU195" si="514">SUM(E196)</f>
        <v>219391829</v>
      </c>
      <c r="F195" s="17">
        <f t="shared" si="514"/>
        <v>0</v>
      </c>
      <c r="G195" s="17">
        <f t="shared" si="514"/>
        <v>0</v>
      </c>
      <c r="H195" s="17">
        <f t="shared" si="514"/>
        <v>0</v>
      </c>
      <c r="I195" s="17">
        <f t="shared" si="514"/>
        <v>0</v>
      </c>
      <c r="J195" s="17">
        <f t="shared" si="514"/>
        <v>0</v>
      </c>
      <c r="K195" s="17">
        <f t="shared" si="514"/>
        <v>0</v>
      </c>
      <c r="L195" s="17">
        <f t="shared" si="514"/>
        <v>0</v>
      </c>
      <c r="M195" s="17">
        <f t="shared" si="514"/>
        <v>0</v>
      </c>
      <c r="N195" s="17">
        <f t="shared" si="514"/>
        <v>0</v>
      </c>
      <c r="O195" s="17">
        <f t="shared" si="514"/>
        <v>0</v>
      </c>
      <c r="P195" s="17">
        <f t="shared" si="514"/>
        <v>0</v>
      </c>
      <c r="Q195" s="17">
        <f t="shared" si="514"/>
        <v>0</v>
      </c>
      <c r="R195" s="17">
        <f t="shared" si="514"/>
        <v>0</v>
      </c>
      <c r="S195" s="17">
        <f t="shared" si="514"/>
        <v>0</v>
      </c>
      <c r="T195" s="17">
        <f t="shared" si="514"/>
        <v>0</v>
      </c>
      <c r="U195" s="17">
        <f t="shared" si="514"/>
        <v>0</v>
      </c>
      <c r="V195" s="17">
        <f t="shared" si="514"/>
        <v>0</v>
      </c>
      <c r="W195" s="17">
        <f t="shared" si="514"/>
        <v>0</v>
      </c>
      <c r="X195" s="17">
        <f t="shared" si="514"/>
        <v>0</v>
      </c>
      <c r="Y195" s="17">
        <f t="shared" si="514"/>
        <v>0</v>
      </c>
      <c r="Z195" s="17">
        <f t="shared" si="514"/>
        <v>0</v>
      </c>
      <c r="AA195" s="17">
        <f t="shared" si="514"/>
        <v>0</v>
      </c>
      <c r="AB195" s="17">
        <f t="shared" si="514"/>
        <v>0</v>
      </c>
      <c r="AC195" s="17">
        <f t="shared" si="514"/>
        <v>0</v>
      </c>
      <c r="AD195" s="17">
        <f t="shared" si="514"/>
        <v>0</v>
      </c>
      <c r="AE195" s="17">
        <f t="shared" si="514"/>
        <v>0</v>
      </c>
      <c r="AF195" s="17">
        <f t="shared" si="514"/>
        <v>0</v>
      </c>
      <c r="AG195" s="17">
        <f t="shared" si="514"/>
        <v>0</v>
      </c>
      <c r="AH195" s="17">
        <f t="shared" si="514"/>
        <v>0</v>
      </c>
      <c r="AI195" s="17">
        <f t="shared" si="514"/>
        <v>0</v>
      </c>
      <c r="AJ195" s="17">
        <f t="shared" si="514"/>
        <v>0</v>
      </c>
      <c r="AK195" s="17">
        <f t="shared" si="514"/>
        <v>0</v>
      </c>
      <c r="AL195" s="17">
        <f t="shared" si="514"/>
        <v>0</v>
      </c>
      <c r="AM195" s="17">
        <f t="shared" si="514"/>
        <v>0</v>
      </c>
      <c r="AN195" s="17">
        <f t="shared" si="514"/>
        <v>0</v>
      </c>
      <c r="AO195" s="17">
        <f t="shared" si="514"/>
        <v>0</v>
      </c>
      <c r="AP195" s="17">
        <f t="shared" si="514"/>
        <v>0</v>
      </c>
      <c r="AQ195" s="17">
        <f t="shared" si="514"/>
        <v>0</v>
      </c>
      <c r="AR195" s="17">
        <f t="shared" si="514"/>
        <v>0</v>
      </c>
      <c r="AS195" s="17">
        <f t="shared" si="514"/>
        <v>0</v>
      </c>
      <c r="AT195" s="17"/>
      <c r="AU195" s="17"/>
      <c r="AV195" s="17">
        <f t="shared" si="514"/>
        <v>0</v>
      </c>
      <c r="AW195" s="17">
        <f t="shared" si="514"/>
        <v>0</v>
      </c>
      <c r="AX195" s="17">
        <f t="shared" si="514"/>
        <v>0</v>
      </c>
      <c r="AY195" s="17"/>
      <c r="AZ195" s="17">
        <f t="shared" si="514"/>
        <v>0</v>
      </c>
      <c r="BA195" s="17">
        <f t="shared" si="514"/>
        <v>219391829</v>
      </c>
      <c r="BB195" s="17">
        <f t="shared" si="514"/>
        <v>0</v>
      </c>
      <c r="BC195" s="17">
        <f t="shared" si="514"/>
        <v>0</v>
      </c>
      <c r="BD195" s="17">
        <f t="shared" si="514"/>
        <v>0</v>
      </c>
      <c r="BE195" s="17">
        <f t="shared" si="514"/>
        <v>0</v>
      </c>
      <c r="BF195" s="17">
        <f t="shared" si="514"/>
        <v>0</v>
      </c>
      <c r="BG195" s="17">
        <f t="shared" si="514"/>
        <v>0</v>
      </c>
      <c r="BH195" s="17">
        <f t="shared" si="514"/>
        <v>0</v>
      </c>
      <c r="BI195" s="17">
        <f t="shared" si="514"/>
        <v>0</v>
      </c>
      <c r="BJ195" s="17">
        <f t="shared" si="514"/>
        <v>0</v>
      </c>
      <c r="BK195" s="17">
        <f t="shared" si="514"/>
        <v>0</v>
      </c>
      <c r="BL195" s="17">
        <f t="shared" si="514"/>
        <v>0</v>
      </c>
      <c r="BM195" s="17">
        <f t="shared" si="514"/>
        <v>0</v>
      </c>
      <c r="BN195" s="17">
        <f t="shared" si="514"/>
        <v>0</v>
      </c>
      <c r="BO195" s="17">
        <f t="shared" si="514"/>
        <v>219391829</v>
      </c>
      <c r="BP195" s="17">
        <f t="shared" si="514"/>
        <v>0</v>
      </c>
      <c r="BQ195" s="17">
        <f t="shared" si="514"/>
        <v>0</v>
      </c>
      <c r="BR195" s="17">
        <f t="shared" si="514"/>
        <v>0</v>
      </c>
      <c r="BS195" s="17">
        <f t="shared" si="514"/>
        <v>0</v>
      </c>
      <c r="BT195" s="17">
        <f t="shared" si="514"/>
        <v>0</v>
      </c>
      <c r="BU195" s="17">
        <f t="shared" si="514"/>
        <v>0</v>
      </c>
      <c r="BV195" s="17">
        <f t="shared" ref="BV195:CN195" si="515">SUM(BV196)</f>
        <v>178334978</v>
      </c>
      <c r="BW195" s="17">
        <f t="shared" si="515"/>
        <v>0</v>
      </c>
      <c r="BX195" s="17">
        <f t="shared" si="515"/>
        <v>0</v>
      </c>
      <c r="BY195" s="17">
        <f t="shared" si="515"/>
        <v>41056851</v>
      </c>
      <c r="BZ195" s="17">
        <f t="shared" si="515"/>
        <v>0</v>
      </c>
      <c r="CA195" s="17">
        <f t="shared" si="515"/>
        <v>0</v>
      </c>
      <c r="CB195" s="17">
        <f t="shared" si="515"/>
        <v>0</v>
      </c>
      <c r="CC195" s="17">
        <f t="shared" si="515"/>
        <v>0</v>
      </c>
      <c r="CD195" s="17">
        <f t="shared" si="515"/>
        <v>0</v>
      </c>
      <c r="CE195" s="17">
        <f t="shared" si="515"/>
        <v>0</v>
      </c>
      <c r="CF195" s="17">
        <f t="shared" si="515"/>
        <v>0</v>
      </c>
      <c r="CG195" s="17">
        <f t="shared" si="515"/>
        <v>0</v>
      </c>
      <c r="CH195" s="17">
        <f t="shared" si="515"/>
        <v>0</v>
      </c>
      <c r="CI195" s="17">
        <f t="shared" si="515"/>
        <v>0</v>
      </c>
      <c r="CJ195" s="17">
        <f t="shared" si="515"/>
        <v>0</v>
      </c>
      <c r="CK195" s="17">
        <f t="shared" si="515"/>
        <v>0</v>
      </c>
      <c r="CL195" s="17">
        <f t="shared" si="515"/>
        <v>0</v>
      </c>
      <c r="CM195" s="17">
        <f t="shared" si="515"/>
        <v>0</v>
      </c>
      <c r="CN195" s="17">
        <f t="shared" si="515"/>
        <v>0</v>
      </c>
      <c r="CO195" s="64"/>
      <c r="CP195" s="64"/>
      <c r="CQ195" s="64"/>
      <c r="CR195" s="64"/>
      <c r="CS195" s="51"/>
      <c r="GP195" s="68"/>
    </row>
    <row r="196" spans="1:198" s="68" customFormat="1" ht="18" customHeight="1" x14ac:dyDescent="0.3">
      <c r="A196" s="92" t="s">
        <v>1</v>
      </c>
      <c r="B196" s="62" t="s">
        <v>52</v>
      </c>
      <c r="C196" s="63" t="s">
        <v>254</v>
      </c>
      <c r="D196" s="65">
        <f>SUM(E196+CA196)</f>
        <v>219391829</v>
      </c>
      <c r="E196" s="65">
        <f>SUM(F196+BA196)</f>
        <v>219391829</v>
      </c>
      <c r="F196" s="65">
        <f>SUM(G196+H196+I196+P196+S196+T196+U196+AE196+AD196)</f>
        <v>0</v>
      </c>
      <c r="G196" s="65">
        <v>0</v>
      </c>
      <c r="H196" s="65">
        <v>0</v>
      </c>
      <c r="I196" s="65">
        <f t="shared" si="327"/>
        <v>0</v>
      </c>
      <c r="J196" s="65">
        <v>0</v>
      </c>
      <c r="K196" s="65">
        <v>0</v>
      </c>
      <c r="L196" s="65">
        <v>0</v>
      </c>
      <c r="M196" s="65">
        <v>0</v>
      </c>
      <c r="N196" s="65">
        <v>0</v>
      </c>
      <c r="O196" s="65">
        <v>0</v>
      </c>
      <c r="P196" s="65">
        <f t="shared" si="328"/>
        <v>0</v>
      </c>
      <c r="Q196" s="65">
        <v>0</v>
      </c>
      <c r="R196" s="65">
        <v>0</v>
      </c>
      <c r="S196" s="65">
        <v>0</v>
      </c>
      <c r="T196" s="65">
        <v>0</v>
      </c>
      <c r="U196" s="65">
        <f t="shared" ref="U196" si="516">SUM(V196:AC196)</f>
        <v>0</v>
      </c>
      <c r="V196" s="65">
        <v>0</v>
      </c>
      <c r="W196" s="65">
        <v>0</v>
      </c>
      <c r="X196" s="65">
        <v>0</v>
      </c>
      <c r="Y196" s="65">
        <v>0</v>
      </c>
      <c r="Z196" s="65">
        <v>0</v>
      </c>
      <c r="AA196" s="65">
        <v>0</v>
      </c>
      <c r="AB196" s="65">
        <v>0</v>
      </c>
      <c r="AC196" s="65">
        <v>0</v>
      </c>
      <c r="AD196" s="65">
        <v>0</v>
      </c>
      <c r="AE196" s="65">
        <f>SUM(AF196:AZ196)</f>
        <v>0</v>
      </c>
      <c r="AF196" s="65">
        <v>0</v>
      </c>
      <c r="AG196" s="65">
        <v>0</v>
      </c>
      <c r="AH196" s="65">
        <v>0</v>
      </c>
      <c r="AI196" s="65">
        <v>0</v>
      </c>
      <c r="AJ196" s="65">
        <v>0</v>
      </c>
      <c r="AK196" s="65">
        <v>0</v>
      </c>
      <c r="AL196" s="65">
        <v>0</v>
      </c>
      <c r="AM196" s="65">
        <v>0</v>
      </c>
      <c r="AN196" s="65">
        <v>0</v>
      </c>
      <c r="AO196" s="65">
        <v>0</v>
      </c>
      <c r="AP196" s="65">
        <v>0</v>
      </c>
      <c r="AQ196" s="65">
        <v>0</v>
      </c>
      <c r="AR196" s="65">
        <v>0</v>
      </c>
      <c r="AS196" s="65">
        <v>0</v>
      </c>
      <c r="AT196" s="65"/>
      <c r="AU196" s="65"/>
      <c r="AV196" s="65">
        <v>0</v>
      </c>
      <c r="AW196" s="65">
        <v>0</v>
      </c>
      <c r="AX196" s="65">
        <v>0</v>
      </c>
      <c r="AY196" s="65"/>
      <c r="AZ196" s="65">
        <v>0</v>
      </c>
      <c r="BA196" s="65">
        <f>SUM(BB196+BF196+BJ196+BL196+BO196)</f>
        <v>219391829</v>
      </c>
      <c r="BB196" s="65">
        <f>SUM(BC196:BE196)</f>
        <v>0</v>
      </c>
      <c r="BC196" s="65">
        <v>0</v>
      </c>
      <c r="BD196" s="65">
        <v>0</v>
      </c>
      <c r="BE196" s="65">
        <v>0</v>
      </c>
      <c r="BF196" s="65">
        <f>SUM(BI196:BI196)</f>
        <v>0</v>
      </c>
      <c r="BG196" s="65">
        <v>0</v>
      </c>
      <c r="BH196" s="65">
        <v>0</v>
      </c>
      <c r="BI196" s="65">
        <v>0</v>
      </c>
      <c r="BJ196" s="65">
        <v>0</v>
      </c>
      <c r="BK196" s="65">
        <v>0</v>
      </c>
      <c r="BL196" s="65">
        <f t="shared" si="331"/>
        <v>0</v>
      </c>
      <c r="BM196" s="65">
        <v>0</v>
      </c>
      <c r="BN196" s="65">
        <v>0</v>
      </c>
      <c r="BO196" s="65">
        <f>SUM(BP196:BZ196)</f>
        <v>219391829</v>
      </c>
      <c r="BP196" s="65">
        <v>0</v>
      </c>
      <c r="BQ196" s="65">
        <v>0</v>
      </c>
      <c r="BR196" s="65">
        <v>0</v>
      </c>
      <c r="BS196" s="65">
        <v>0</v>
      </c>
      <c r="BT196" s="65">
        <v>0</v>
      </c>
      <c r="BU196" s="65">
        <v>0</v>
      </c>
      <c r="BV196" s="66">
        <f>179412887-1077909</f>
        <v>178334978</v>
      </c>
      <c r="BW196" s="65">
        <v>0</v>
      </c>
      <c r="BX196" s="65">
        <v>0</v>
      </c>
      <c r="BY196" s="66">
        <f>55237831-8180980-6000000</f>
        <v>41056851</v>
      </c>
      <c r="BZ196" s="65">
        <v>0</v>
      </c>
      <c r="CA196" s="65">
        <f>SUM(CB196+CN196)</f>
        <v>0</v>
      </c>
      <c r="CB196" s="65">
        <f>SUM(CC196+CF196+CK196)</f>
        <v>0</v>
      </c>
      <c r="CC196" s="65">
        <f t="shared" si="332"/>
        <v>0</v>
      </c>
      <c r="CD196" s="65">
        <v>0</v>
      </c>
      <c r="CE196" s="65">
        <v>0</v>
      </c>
      <c r="CF196" s="65">
        <f>SUM(CG196:CJ196)</f>
        <v>0</v>
      </c>
      <c r="CG196" s="65">
        <v>0</v>
      </c>
      <c r="CH196" s="65">
        <v>0</v>
      </c>
      <c r="CI196" s="65">
        <v>0</v>
      </c>
      <c r="CJ196" s="65">
        <v>0</v>
      </c>
      <c r="CK196" s="65">
        <f>SUM(CL196:CM196)</f>
        <v>0</v>
      </c>
      <c r="CL196" s="65">
        <v>0</v>
      </c>
      <c r="CM196" s="65">
        <v>0</v>
      </c>
      <c r="CN196" s="65">
        <v>0</v>
      </c>
      <c r="CO196" s="65"/>
      <c r="CP196" s="65"/>
      <c r="CQ196" s="65"/>
      <c r="CR196" s="65"/>
      <c r="GP196" s="82"/>
    </row>
    <row r="197" spans="1:198" s="52" customFormat="1" ht="20.399999999999999" customHeight="1" x14ac:dyDescent="0.3">
      <c r="A197" s="89" t="s">
        <v>255</v>
      </c>
      <c r="B197" s="15" t="s">
        <v>1</v>
      </c>
      <c r="C197" s="16" t="s">
        <v>256</v>
      </c>
      <c r="D197" s="17">
        <f t="shared" ref="D197:AK197" si="517">SUM(D198)</f>
        <v>17500000</v>
      </c>
      <c r="E197" s="17">
        <f t="shared" si="517"/>
        <v>17500000</v>
      </c>
      <c r="F197" s="17">
        <f t="shared" si="517"/>
        <v>0</v>
      </c>
      <c r="G197" s="17">
        <f t="shared" si="517"/>
        <v>0</v>
      </c>
      <c r="H197" s="17">
        <f t="shared" si="517"/>
        <v>0</v>
      </c>
      <c r="I197" s="17">
        <f t="shared" si="517"/>
        <v>0</v>
      </c>
      <c r="J197" s="17">
        <f t="shared" si="517"/>
        <v>0</v>
      </c>
      <c r="K197" s="17">
        <f t="shared" si="517"/>
        <v>0</v>
      </c>
      <c r="L197" s="17">
        <f t="shared" si="517"/>
        <v>0</v>
      </c>
      <c r="M197" s="17">
        <f t="shared" si="517"/>
        <v>0</v>
      </c>
      <c r="N197" s="17">
        <f t="shared" si="517"/>
        <v>0</v>
      </c>
      <c r="O197" s="17">
        <f t="shared" si="517"/>
        <v>0</v>
      </c>
      <c r="P197" s="17">
        <f t="shared" si="517"/>
        <v>0</v>
      </c>
      <c r="Q197" s="17">
        <f t="shared" si="517"/>
        <v>0</v>
      </c>
      <c r="R197" s="17">
        <f t="shared" si="517"/>
        <v>0</v>
      </c>
      <c r="S197" s="17">
        <f t="shared" si="517"/>
        <v>0</v>
      </c>
      <c r="T197" s="17">
        <f t="shared" si="517"/>
        <v>0</v>
      </c>
      <c r="U197" s="17">
        <f t="shared" si="517"/>
        <v>0</v>
      </c>
      <c r="V197" s="17">
        <f t="shared" si="517"/>
        <v>0</v>
      </c>
      <c r="W197" s="17">
        <f t="shared" si="517"/>
        <v>0</v>
      </c>
      <c r="X197" s="17">
        <f t="shared" si="517"/>
        <v>0</v>
      </c>
      <c r="Y197" s="17">
        <f t="shared" si="517"/>
        <v>0</v>
      </c>
      <c r="Z197" s="17">
        <f t="shared" si="517"/>
        <v>0</v>
      </c>
      <c r="AA197" s="17">
        <f t="shared" si="517"/>
        <v>0</v>
      </c>
      <c r="AB197" s="17">
        <f t="shared" si="517"/>
        <v>0</v>
      </c>
      <c r="AC197" s="17">
        <f t="shared" si="517"/>
        <v>0</v>
      </c>
      <c r="AD197" s="17">
        <f t="shared" si="517"/>
        <v>0</v>
      </c>
      <c r="AE197" s="17">
        <f t="shared" si="517"/>
        <v>0</v>
      </c>
      <c r="AF197" s="17">
        <f t="shared" si="517"/>
        <v>0</v>
      </c>
      <c r="AG197" s="17">
        <f t="shared" si="517"/>
        <v>0</v>
      </c>
      <c r="AH197" s="17">
        <f t="shared" si="517"/>
        <v>0</v>
      </c>
      <c r="AI197" s="17">
        <f t="shared" si="517"/>
        <v>0</v>
      </c>
      <c r="AJ197" s="17">
        <f t="shared" si="517"/>
        <v>0</v>
      </c>
      <c r="AK197" s="17">
        <f t="shared" si="517"/>
        <v>0</v>
      </c>
      <c r="AL197" s="17">
        <f t="shared" ref="AL197:CN197" si="518">SUM(AL198)</f>
        <v>0</v>
      </c>
      <c r="AM197" s="17">
        <f t="shared" si="518"/>
        <v>0</v>
      </c>
      <c r="AN197" s="17">
        <f t="shared" si="518"/>
        <v>0</v>
      </c>
      <c r="AO197" s="17">
        <f t="shared" si="518"/>
        <v>0</v>
      </c>
      <c r="AP197" s="17">
        <f t="shared" si="518"/>
        <v>0</v>
      </c>
      <c r="AQ197" s="17">
        <f t="shared" si="518"/>
        <v>0</v>
      </c>
      <c r="AR197" s="17">
        <f t="shared" si="518"/>
        <v>0</v>
      </c>
      <c r="AS197" s="17">
        <f t="shared" si="518"/>
        <v>0</v>
      </c>
      <c r="AT197" s="17"/>
      <c r="AU197" s="17"/>
      <c r="AV197" s="17">
        <f t="shared" si="518"/>
        <v>0</v>
      </c>
      <c r="AW197" s="17">
        <f t="shared" si="518"/>
        <v>0</v>
      </c>
      <c r="AX197" s="17">
        <f t="shared" si="518"/>
        <v>0</v>
      </c>
      <c r="AY197" s="17"/>
      <c r="AZ197" s="17">
        <f t="shared" si="518"/>
        <v>0</v>
      </c>
      <c r="BA197" s="17">
        <f t="shared" si="518"/>
        <v>17500000</v>
      </c>
      <c r="BB197" s="17">
        <f t="shared" si="518"/>
        <v>0</v>
      </c>
      <c r="BC197" s="17">
        <f t="shared" si="518"/>
        <v>0</v>
      </c>
      <c r="BD197" s="17">
        <f t="shared" si="518"/>
        <v>0</v>
      </c>
      <c r="BE197" s="17">
        <f t="shared" si="518"/>
        <v>0</v>
      </c>
      <c r="BF197" s="17">
        <f t="shared" si="518"/>
        <v>0</v>
      </c>
      <c r="BG197" s="17">
        <f t="shared" si="518"/>
        <v>0</v>
      </c>
      <c r="BH197" s="17">
        <f t="shared" si="518"/>
        <v>0</v>
      </c>
      <c r="BI197" s="17">
        <f t="shared" si="518"/>
        <v>0</v>
      </c>
      <c r="BJ197" s="17">
        <f t="shared" si="518"/>
        <v>0</v>
      </c>
      <c r="BK197" s="17">
        <f t="shared" si="518"/>
        <v>0</v>
      </c>
      <c r="BL197" s="17">
        <f t="shared" si="518"/>
        <v>0</v>
      </c>
      <c r="BM197" s="17">
        <f t="shared" si="518"/>
        <v>0</v>
      </c>
      <c r="BN197" s="17">
        <f t="shared" si="518"/>
        <v>0</v>
      </c>
      <c r="BO197" s="17">
        <f t="shared" si="518"/>
        <v>17500000</v>
      </c>
      <c r="BP197" s="17">
        <f t="shared" si="518"/>
        <v>0</v>
      </c>
      <c r="BQ197" s="17">
        <f t="shared" si="518"/>
        <v>0</v>
      </c>
      <c r="BR197" s="17">
        <f t="shared" si="518"/>
        <v>0</v>
      </c>
      <c r="BS197" s="17">
        <f t="shared" si="518"/>
        <v>17500000</v>
      </c>
      <c r="BT197" s="17">
        <f t="shared" si="518"/>
        <v>0</v>
      </c>
      <c r="BU197" s="17">
        <f t="shared" si="518"/>
        <v>0</v>
      </c>
      <c r="BV197" s="17">
        <f t="shared" si="518"/>
        <v>0</v>
      </c>
      <c r="BW197" s="17">
        <f t="shared" si="518"/>
        <v>0</v>
      </c>
      <c r="BX197" s="17">
        <f t="shared" si="518"/>
        <v>0</v>
      </c>
      <c r="BY197" s="17">
        <f t="shared" si="518"/>
        <v>0</v>
      </c>
      <c r="BZ197" s="17">
        <f t="shared" si="518"/>
        <v>0</v>
      </c>
      <c r="CA197" s="17">
        <f t="shared" si="518"/>
        <v>0</v>
      </c>
      <c r="CB197" s="17">
        <f t="shared" si="518"/>
        <v>0</v>
      </c>
      <c r="CC197" s="17">
        <f t="shared" si="518"/>
        <v>0</v>
      </c>
      <c r="CD197" s="17">
        <f t="shared" si="518"/>
        <v>0</v>
      </c>
      <c r="CE197" s="17">
        <f t="shared" si="518"/>
        <v>0</v>
      </c>
      <c r="CF197" s="17">
        <f t="shared" si="518"/>
        <v>0</v>
      </c>
      <c r="CG197" s="17">
        <f t="shared" si="518"/>
        <v>0</v>
      </c>
      <c r="CH197" s="17">
        <f t="shared" si="518"/>
        <v>0</v>
      </c>
      <c r="CI197" s="17">
        <f t="shared" si="518"/>
        <v>0</v>
      </c>
      <c r="CJ197" s="17">
        <f t="shared" si="518"/>
        <v>0</v>
      </c>
      <c r="CK197" s="17">
        <f t="shared" si="518"/>
        <v>0</v>
      </c>
      <c r="CL197" s="17">
        <f t="shared" si="518"/>
        <v>0</v>
      </c>
      <c r="CM197" s="17">
        <f t="shared" si="518"/>
        <v>0</v>
      </c>
      <c r="CN197" s="17">
        <f t="shared" si="518"/>
        <v>0</v>
      </c>
      <c r="CO197" s="64"/>
      <c r="CP197" s="64"/>
      <c r="CQ197" s="64"/>
      <c r="CR197" s="64"/>
      <c r="CS197" s="51"/>
      <c r="GP197" s="68"/>
    </row>
    <row r="198" spans="1:198" ht="15.6" x14ac:dyDescent="0.3">
      <c r="A198" s="90" t="s">
        <v>1</v>
      </c>
      <c r="B198" s="19" t="s">
        <v>73</v>
      </c>
      <c r="C198" s="20" t="s">
        <v>33</v>
      </c>
      <c r="D198" s="18">
        <f>SUM(E198+CA198)</f>
        <v>17500000</v>
      </c>
      <c r="E198" s="18">
        <f>SUM(F198+BA198)</f>
        <v>17500000</v>
      </c>
      <c r="F198" s="18">
        <f>SUM(G198+H198+I198+P198+S198+T198+U198+AE198+AD198)</f>
        <v>0</v>
      </c>
      <c r="G198" s="18">
        <v>0</v>
      </c>
      <c r="H198" s="18">
        <v>0</v>
      </c>
      <c r="I198" s="18">
        <f t="shared" si="327"/>
        <v>0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8">
        <f t="shared" si="328"/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f t="shared" ref="U198" si="519">SUM(V198:AC198)</f>
        <v>0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f>SUM(AF198:AZ198)</f>
        <v>0</v>
      </c>
      <c r="AF198" s="18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v>0</v>
      </c>
      <c r="AL198" s="18">
        <v>0</v>
      </c>
      <c r="AM198" s="18">
        <v>0</v>
      </c>
      <c r="AN198" s="18">
        <v>0</v>
      </c>
      <c r="AO198" s="18">
        <v>0</v>
      </c>
      <c r="AP198" s="18">
        <v>0</v>
      </c>
      <c r="AQ198" s="18">
        <v>0</v>
      </c>
      <c r="AR198" s="18">
        <v>0</v>
      </c>
      <c r="AS198" s="18">
        <v>0</v>
      </c>
      <c r="AT198" s="18"/>
      <c r="AU198" s="18"/>
      <c r="AV198" s="18">
        <v>0</v>
      </c>
      <c r="AW198" s="18">
        <v>0</v>
      </c>
      <c r="AX198" s="18">
        <v>0</v>
      </c>
      <c r="AY198" s="18"/>
      <c r="AZ198" s="18">
        <v>0</v>
      </c>
      <c r="BA198" s="18">
        <f>SUM(BB198+BF198+BJ198+BL198+BO198)</f>
        <v>17500000</v>
      </c>
      <c r="BB198" s="18">
        <f>SUM(BC198:BE198)</f>
        <v>0</v>
      </c>
      <c r="BC198" s="18">
        <v>0</v>
      </c>
      <c r="BD198" s="18">
        <v>0</v>
      </c>
      <c r="BE198" s="18">
        <v>0</v>
      </c>
      <c r="BF198" s="18">
        <f>SUM(BI198:BI198)</f>
        <v>0</v>
      </c>
      <c r="BG198" s="18">
        <v>0</v>
      </c>
      <c r="BH198" s="18">
        <v>0</v>
      </c>
      <c r="BI198" s="18">
        <v>0</v>
      </c>
      <c r="BJ198" s="18">
        <v>0</v>
      </c>
      <c r="BK198" s="18">
        <v>0</v>
      </c>
      <c r="BL198" s="18">
        <f t="shared" si="331"/>
        <v>0</v>
      </c>
      <c r="BM198" s="18">
        <v>0</v>
      </c>
      <c r="BN198" s="18">
        <v>0</v>
      </c>
      <c r="BO198" s="18">
        <f>SUM(BP198:BZ198)</f>
        <v>17500000</v>
      </c>
      <c r="BP198" s="18">
        <v>0</v>
      </c>
      <c r="BQ198" s="18">
        <v>0</v>
      </c>
      <c r="BR198" s="18">
        <v>0</v>
      </c>
      <c r="BS198" s="21">
        <f>25504374-8004374</f>
        <v>17500000</v>
      </c>
      <c r="BT198" s="18">
        <v>0</v>
      </c>
      <c r="BU198" s="18">
        <v>0</v>
      </c>
      <c r="BV198" s="18">
        <v>0</v>
      </c>
      <c r="BW198" s="18">
        <v>0</v>
      </c>
      <c r="BX198" s="18">
        <v>0</v>
      </c>
      <c r="BY198" s="18">
        <v>0</v>
      </c>
      <c r="BZ198" s="18">
        <v>0</v>
      </c>
      <c r="CA198" s="18">
        <f>SUM(CB198+CN198)</f>
        <v>0</v>
      </c>
      <c r="CB198" s="18">
        <f>SUM(CC198+CF198+CK198)</f>
        <v>0</v>
      </c>
      <c r="CC198" s="18">
        <f t="shared" si="332"/>
        <v>0</v>
      </c>
      <c r="CD198" s="18">
        <v>0</v>
      </c>
      <c r="CE198" s="18">
        <v>0</v>
      </c>
      <c r="CF198" s="18">
        <f>SUM(CG198:CJ198)</f>
        <v>0</v>
      </c>
      <c r="CG198" s="18">
        <v>0</v>
      </c>
      <c r="CH198" s="18">
        <v>0</v>
      </c>
      <c r="CI198" s="18">
        <v>0</v>
      </c>
      <c r="CJ198" s="18">
        <v>0</v>
      </c>
      <c r="CK198" s="18">
        <f>SUM(CL198:CM198)</f>
        <v>0</v>
      </c>
      <c r="CL198" s="18">
        <v>0</v>
      </c>
      <c r="CM198" s="18">
        <v>0</v>
      </c>
      <c r="CN198" s="18">
        <v>0</v>
      </c>
      <c r="CO198" s="65"/>
      <c r="CP198" s="65"/>
      <c r="CQ198" s="65"/>
      <c r="CR198" s="65"/>
      <c r="CS198" s="46"/>
      <c r="GP198" s="52"/>
    </row>
    <row r="199" spans="1:198" s="52" customFormat="1" ht="31.2" x14ac:dyDescent="0.3">
      <c r="A199" s="89" t="s">
        <v>257</v>
      </c>
      <c r="B199" s="15" t="s">
        <v>1</v>
      </c>
      <c r="C199" s="16" t="s">
        <v>503</v>
      </c>
      <c r="D199" s="17">
        <f t="shared" ref="D199:AK199" si="520">SUM(D200)</f>
        <v>15000</v>
      </c>
      <c r="E199" s="17">
        <f t="shared" si="520"/>
        <v>15000</v>
      </c>
      <c r="F199" s="17">
        <f t="shared" si="520"/>
        <v>0</v>
      </c>
      <c r="G199" s="17">
        <f t="shared" si="520"/>
        <v>0</v>
      </c>
      <c r="H199" s="17">
        <f t="shared" si="520"/>
        <v>0</v>
      </c>
      <c r="I199" s="17">
        <f t="shared" si="520"/>
        <v>0</v>
      </c>
      <c r="J199" s="17">
        <f t="shared" si="520"/>
        <v>0</v>
      </c>
      <c r="K199" s="17">
        <f t="shared" si="520"/>
        <v>0</v>
      </c>
      <c r="L199" s="17">
        <f t="shared" si="520"/>
        <v>0</v>
      </c>
      <c r="M199" s="17">
        <f t="shared" si="520"/>
        <v>0</v>
      </c>
      <c r="N199" s="17">
        <f t="shared" si="520"/>
        <v>0</v>
      </c>
      <c r="O199" s="17">
        <f t="shared" si="520"/>
        <v>0</v>
      </c>
      <c r="P199" s="17">
        <f t="shared" si="520"/>
        <v>0</v>
      </c>
      <c r="Q199" s="17">
        <f t="shared" si="520"/>
        <v>0</v>
      </c>
      <c r="R199" s="17">
        <f t="shared" si="520"/>
        <v>0</v>
      </c>
      <c r="S199" s="17">
        <f t="shared" si="520"/>
        <v>0</v>
      </c>
      <c r="T199" s="17">
        <f t="shared" si="520"/>
        <v>0</v>
      </c>
      <c r="U199" s="17">
        <f t="shared" si="520"/>
        <v>0</v>
      </c>
      <c r="V199" s="17">
        <f t="shared" si="520"/>
        <v>0</v>
      </c>
      <c r="W199" s="17">
        <f t="shared" si="520"/>
        <v>0</v>
      </c>
      <c r="X199" s="17">
        <f t="shared" si="520"/>
        <v>0</v>
      </c>
      <c r="Y199" s="17">
        <f t="shared" si="520"/>
        <v>0</v>
      </c>
      <c r="Z199" s="17">
        <f t="shared" si="520"/>
        <v>0</v>
      </c>
      <c r="AA199" s="17">
        <f t="shared" si="520"/>
        <v>0</v>
      </c>
      <c r="AB199" s="17">
        <f t="shared" si="520"/>
        <v>0</v>
      </c>
      <c r="AC199" s="17">
        <f t="shared" si="520"/>
        <v>0</v>
      </c>
      <c r="AD199" s="17">
        <f t="shared" si="520"/>
        <v>0</v>
      </c>
      <c r="AE199" s="17">
        <f t="shared" si="520"/>
        <v>0</v>
      </c>
      <c r="AF199" s="17">
        <f t="shared" si="520"/>
        <v>0</v>
      </c>
      <c r="AG199" s="17">
        <f t="shared" si="520"/>
        <v>0</v>
      </c>
      <c r="AH199" s="17">
        <f t="shared" si="520"/>
        <v>0</v>
      </c>
      <c r="AI199" s="17">
        <f t="shared" si="520"/>
        <v>0</v>
      </c>
      <c r="AJ199" s="17">
        <f t="shared" si="520"/>
        <v>0</v>
      </c>
      <c r="AK199" s="17">
        <f t="shared" si="520"/>
        <v>0</v>
      </c>
      <c r="AL199" s="17">
        <f t="shared" ref="AL199:CN199" si="521">SUM(AL200)</f>
        <v>0</v>
      </c>
      <c r="AM199" s="17">
        <f t="shared" si="521"/>
        <v>0</v>
      </c>
      <c r="AN199" s="17">
        <f t="shared" si="521"/>
        <v>0</v>
      </c>
      <c r="AO199" s="17">
        <f t="shared" si="521"/>
        <v>0</v>
      </c>
      <c r="AP199" s="17">
        <f t="shared" si="521"/>
        <v>0</v>
      </c>
      <c r="AQ199" s="17">
        <f t="shared" si="521"/>
        <v>0</v>
      </c>
      <c r="AR199" s="17">
        <f t="shared" si="521"/>
        <v>0</v>
      </c>
      <c r="AS199" s="17">
        <f t="shared" si="521"/>
        <v>0</v>
      </c>
      <c r="AT199" s="17"/>
      <c r="AU199" s="17"/>
      <c r="AV199" s="17">
        <f t="shared" si="521"/>
        <v>0</v>
      </c>
      <c r="AW199" s="17">
        <f t="shared" si="521"/>
        <v>0</v>
      </c>
      <c r="AX199" s="17">
        <f t="shared" si="521"/>
        <v>0</v>
      </c>
      <c r="AY199" s="17"/>
      <c r="AZ199" s="17">
        <f t="shared" si="521"/>
        <v>0</v>
      </c>
      <c r="BA199" s="17">
        <f t="shared" si="521"/>
        <v>15000</v>
      </c>
      <c r="BB199" s="17">
        <f t="shared" si="521"/>
        <v>0</v>
      </c>
      <c r="BC199" s="17">
        <f t="shared" si="521"/>
        <v>0</v>
      </c>
      <c r="BD199" s="17">
        <f t="shared" si="521"/>
        <v>0</v>
      </c>
      <c r="BE199" s="17">
        <f t="shared" si="521"/>
        <v>0</v>
      </c>
      <c r="BF199" s="17">
        <f t="shared" si="521"/>
        <v>0</v>
      </c>
      <c r="BG199" s="17">
        <f t="shared" si="521"/>
        <v>0</v>
      </c>
      <c r="BH199" s="17">
        <f t="shared" si="521"/>
        <v>0</v>
      </c>
      <c r="BI199" s="17">
        <f t="shared" si="521"/>
        <v>0</v>
      </c>
      <c r="BJ199" s="17">
        <f t="shared" si="521"/>
        <v>0</v>
      </c>
      <c r="BK199" s="17">
        <f t="shared" si="521"/>
        <v>0</v>
      </c>
      <c r="BL199" s="17">
        <f t="shared" si="521"/>
        <v>0</v>
      </c>
      <c r="BM199" s="17">
        <f t="shared" si="521"/>
        <v>0</v>
      </c>
      <c r="BN199" s="17">
        <f t="shared" si="521"/>
        <v>0</v>
      </c>
      <c r="BO199" s="17">
        <f t="shared" si="521"/>
        <v>15000</v>
      </c>
      <c r="BP199" s="17">
        <f t="shared" si="521"/>
        <v>0</v>
      </c>
      <c r="BQ199" s="17">
        <f t="shared" si="521"/>
        <v>0</v>
      </c>
      <c r="BR199" s="17">
        <f t="shared" si="521"/>
        <v>0</v>
      </c>
      <c r="BS199" s="17">
        <f t="shared" si="521"/>
        <v>0</v>
      </c>
      <c r="BT199" s="17">
        <f t="shared" si="521"/>
        <v>15000</v>
      </c>
      <c r="BU199" s="17">
        <f t="shared" si="521"/>
        <v>0</v>
      </c>
      <c r="BV199" s="17">
        <f t="shared" si="521"/>
        <v>0</v>
      </c>
      <c r="BW199" s="17">
        <f t="shared" si="521"/>
        <v>0</v>
      </c>
      <c r="BX199" s="17">
        <f t="shared" si="521"/>
        <v>0</v>
      </c>
      <c r="BY199" s="17">
        <f t="shared" si="521"/>
        <v>0</v>
      </c>
      <c r="BZ199" s="17">
        <f t="shared" si="521"/>
        <v>0</v>
      </c>
      <c r="CA199" s="17">
        <f t="shared" si="521"/>
        <v>0</v>
      </c>
      <c r="CB199" s="17">
        <f t="shared" si="521"/>
        <v>0</v>
      </c>
      <c r="CC199" s="17">
        <f t="shared" si="521"/>
        <v>0</v>
      </c>
      <c r="CD199" s="17">
        <f t="shared" si="521"/>
        <v>0</v>
      </c>
      <c r="CE199" s="17">
        <f t="shared" si="521"/>
        <v>0</v>
      </c>
      <c r="CF199" s="17">
        <f t="shared" si="521"/>
        <v>0</v>
      </c>
      <c r="CG199" s="17">
        <f t="shared" si="521"/>
        <v>0</v>
      </c>
      <c r="CH199" s="17">
        <f t="shared" si="521"/>
        <v>0</v>
      </c>
      <c r="CI199" s="17">
        <f t="shared" si="521"/>
        <v>0</v>
      </c>
      <c r="CJ199" s="17">
        <f t="shared" si="521"/>
        <v>0</v>
      </c>
      <c r="CK199" s="17">
        <f t="shared" si="521"/>
        <v>0</v>
      </c>
      <c r="CL199" s="17">
        <f t="shared" si="521"/>
        <v>0</v>
      </c>
      <c r="CM199" s="17">
        <f t="shared" si="521"/>
        <v>0</v>
      </c>
      <c r="CN199" s="17">
        <f t="shared" si="521"/>
        <v>0</v>
      </c>
      <c r="CO199" s="64"/>
      <c r="CP199" s="64"/>
      <c r="CQ199" s="64"/>
      <c r="CR199" s="64"/>
      <c r="CS199" s="51"/>
      <c r="GP199" s="68"/>
    </row>
    <row r="200" spans="1:198" ht="15.6" x14ac:dyDescent="0.3">
      <c r="A200" s="90" t="s">
        <v>1</v>
      </c>
      <c r="B200" s="19" t="s">
        <v>73</v>
      </c>
      <c r="C200" s="20" t="s">
        <v>258</v>
      </c>
      <c r="D200" s="18">
        <f>SUM(E200+CA200)</f>
        <v>15000</v>
      </c>
      <c r="E200" s="18">
        <f>SUM(F200+BA200)</f>
        <v>15000</v>
      </c>
      <c r="F200" s="18">
        <f>SUM(G200+H200+I200+P200+S200+T200+U200+AE200+AD200)</f>
        <v>0</v>
      </c>
      <c r="G200" s="18">
        <v>0</v>
      </c>
      <c r="H200" s="18">
        <v>0</v>
      </c>
      <c r="I200" s="18">
        <f t="shared" si="327"/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f t="shared" si="328"/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f t="shared" ref="U200" si="522">SUM(V200:AC200)</f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  <c r="AB200" s="18">
        <v>0</v>
      </c>
      <c r="AC200" s="18">
        <v>0</v>
      </c>
      <c r="AD200" s="18">
        <v>0</v>
      </c>
      <c r="AE200" s="18">
        <f>SUM(AF200:AZ200)</f>
        <v>0</v>
      </c>
      <c r="AF200" s="18">
        <v>0</v>
      </c>
      <c r="AG200" s="18">
        <v>0</v>
      </c>
      <c r="AH200" s="18">
        <v>0</v>
      </c>
      <c r="AI200" s="18">
        <v>0</v>
      </c>
      <c r="AJ200" s="18">
        <v>0</v>
      </c>
      <c r="AK200" s="18">
        <v>0</v>
      </c>
      <c r="AL200" s="18">
        <v>0</v>
      </c>
      <c r="AM200" s="18">
        <v>0</v>
      </c>
      <c r="AN200" s="18">
        <v>0</v>
      </c>
      <c r="AO200" s="18">
        <v>0</v>
      </c>
      <c r="AP200" s="18">
        <v>0</v>
      </c>
      <c r="AQ200" s="18">
        <v>0</v>
      </c>
      <c r="AR200" s="18">
        <v>0</v>
      </c>
      <c r="AS200" s="18">
        <v>0</v>
      </c>
      <c r="AT200" s="18"/>
      <c r="AU200" s="18"/>
      <c r="AV200" s="18">
        <v>0</v>
      </c>
      <c r="AW200" s="18">
        <v>0</v>
      </c>
      <c r="AX200" s="18">
        <v>0</v>
      </c>
      <c r="AY200" s="18"/>
      <c r="AZ200" s="18">
        <v>0</v>
      </c>
      <c r="BA200" s="18">
        <f>SUM(BB200+BF200+BJ200+BL200+BO200)</f>
        <v>15000</v>
      </c>
      <c r="BB200" s="18">
        <f>SUM(BC200:BE200)</f>
        <v>0</v>
      </c>
      <c r="BC200" s="18">
        <v>0</v>
      </c>
      <c r="BD200" s="18">
        <v>0</v>
      </c>
      <c r="BE200" s="18">
        <v>0</v>
      </c>
      <c r="BF200" s="18">
        <f>SUM(BI200:BI200)</f>
        <v>0</v>
      </c>
      <c r="BG200" s="18">
        <v>0</v>
      </c>
      <c r="BH200" s="18">
        <v>0</v>
      </c>
      <c r="BI200" s="18">
        <v>0</v>
      </c>
      <c r="BJ200" s="18">
        <v>0</v>
      </c>
      <c r="BK200" s="18">
        <v>0</v>
      </c>
      <c r="BL200" s="18">
        <f t="shared" si="331"/>
        <v>0</v>
      </c>
      <c r="BM200" s="18">
        <v>0</v>
      </c>
      <c r="BN200" s="18">
        <v>0</v>
      </c>
      <c r="BO200" s="18">
        <f>SUM(BP200:BZ200)</f>
        <v>15000</v>
      </c>
      <c r="BP200" s="18">
        <v>0</v>
      </c>
      <c r="BQ200" s="18">
        <v>0</v>
      </c>
      <c r="BR200" s="18">
        <v>0</v>
      </c>
      <c r="BS200" s="18">
        <v>0</v>
      </c>
      <c r="BT200" s="18">
        <v>15000</v>
      </c>
      <c r="BU200" s="18">
        <v>0</v>
      </c>
      <c r="BV200" s="18">
        <v>0</v>
      </c>
      <c r="BW200" s="18">
        <v>0</v>
      </c>
      <c r="BX200" s="18">
        <v>0</v>
      </c>
      <c r="BY200" s="18">
        <v>0</v>
      </c>
      <c r="BZ200" s="18">
        <v>0</v>
      </c>
      <c r="CA200" s="18">
        <f>SUM(CB200+CN200)</f>
        <v>0</v>
      </c>
      <c r="CB200" s="18">
        <f>SUM(CC200+CF200+CK200)</f>
        <v>0</v>
      </c>
      <c r="CC200" s="18">
        <f t="shared" si="332"/>
        <v>0</v>
      </c>
      <c r="CD200" s="18">
        <v>0</v>
      </c>
      <c r="CE200" s="18">
        <v>0</v>
      </c>
      <c r="CF200" s="18">
        <f>SUM(CG200:CJ200)</f>
        <v>0</v>
      </c>
      <c r="CG200" s="18">
        <v>0</v>
      </c>
      <c r="CH200" s="18">
        <v>0</v>
      </c>
      <c r="CI200" s="18">
        <v>0</v>
      </c>
      <c r="CJ200" s="18">
        <v>0</v>
      </c>
      <c r="CK200" s="18">
        <f>SUM(CL200:CM200)</f>
        <v>0</v>
      </c>
      <c r="CL200" s="18">
        <v>0</v>
      </c>
      <c r="CM200" s="18">
        <v>0</v>
      </c>
      <c r="CN200" s="18">
        <v>0</v>
      </c>
      <c r="CO200" s="65"/>
      <c r="CP200" s="65"/>
      <c r="CQ200" s="65"/>
      <c r="CR200" s="65"/>
      <c r="CS200" s="46"/>
      <c r="GP200" s="52"/>
    </row>
    <row r="201" spans="1:198" s="52" customFormat="1" ht="31.2" x14ac:dyDescent="0.3">
      <c r="A201" s="89" t="s">
        <v>259</v>
      </c>
      <c r="B201" s="15" t="s">
        <v>1</v>
      </c>
      <c r="C201" s="16" t="s">
        <v>260</v>
      </c>
      <c r="D201" s="17">
        <f t="shared" ref="D201:AK201" si="523">SUM(D202)</f>
        <v>9336120</v>
      </c>
      <c r="E201" s="17">
        <f t="shared" si="523"/>
        <v>9336120</v>
      </c>
      <c r="F201" s="17">
        <f t="shared" si="523"/>
        <v>0</v>
      </c>
      <c r="G201" s="17">
        <f t="shared" si="523"/>
        <v>0</v>
      </c>
      <c r="H201" s="17">
        <f t="shared" si="523"/>
        <v>0</v>
      </c>
      <c r="I201" s="17">
        <f t="shared" si="523"/>
        <v>0</v>
      </c>
      <c r="J201" s="17">
        <f t="shared" si="523"/>
        <v>0</v>
      </c>
      <c r="K201" s="17">
        <f t="shared" si="523"/>
        <v>0</v>
      </c>
      <c r="L201" s="17">
        <f t="shared" si="523"/>
        <v>0</v>
      </c>
      <c r="M201" s="17">
        <f t="shared" si="523"/>
        <v>0</v>
      </c>
      <c r="N201" s="17">
        <f t="shared" si="523"/>
        <v>0</v>
      </c>
      <c r="O201" s="17">
        <f t="shared" si="523"/>
        <v>0</v>
      </c>
      <c r="P201" s="17">
        <f t="shared" si="523"/>
        <v>0</v>
      </c>
      <c r="Q201" s="17">
        <f t="shared" si="523"/>
        <v>0</v>
      </c>
      <c r="R201" s="17">
        <f t="shared" si="523"/>
        <v>0</v>
      </c>
      <c r="S201" s="17">
        <f t="shared" si="523"/>
        <v>0</v>
      </c>
      <c r="T201" s="17">
        <f t="shared" si="523"/>
        <v>0</v>
      </c>
      <c r="U201" s="17">
        <f t="shared" si="523"/>
        <v>0</v>
      </c>
      <c r="V201" s="17">
        <f t="shared" si="523"/>
        <v>0</v>
      </c>
      <c r="W201" s="17">
        <f t="shared" si="523"/>
        <v>0</v>
      </c>
      <c r="X201" s="17">
        <f t="shared" si="523"/>
        <v>0</v>
      </c>
      <c r="Y201" s="17">
        <f t="shared" si="523"/>
        <v>0</v>
      </c>
      <c r="Z201" s="17">
        <f t="shared" si="523"/>
        <v>0</v>
      </c>
      <c r="AA201" s="17">
        <f t="shared" si="523"/>
        <v>0</v>
      </c>
      <c r="AB201" s="17">
        <f t="shared" si="523"/>
        <v>0</v>
      </c>
      <c r="AC201" s="17">
        <f t="shared" si="523"/>
        <v>0</v>
      </c>
      <c r="AD201" s="17">
        <f t="shared" si="523"/>
        <v>0</v>
      </c>
      <c r="AE201" s="17">
        <f t="shared" si="523"/>
        <v>0</v>
      </c>
      <c r="AF201" s="17">
        <f t="shared" si="523"/>
        <v>0</v>
      </c>
      <c r="AG201" s="17">
        <f t="shared" si="523"/>
        <v>0</v>
      </c>
      <c r="AH201" s="17">
        <f t="shared" si="523"/>
        <v>0</v>
      </c>
      <c r="AI201" s="17">
        <f t="shared" si="523"/>
        <v>0</v>
      </c>
      <c r="AJ201" s="17">
        <f t="shared" si="523"/>
        <v>0</v>
      </c>
      <c r="AK201" s="17">
        <f t="shared" si="523"/>
        <v>0</v>
      </c>
      <c r="AL201" s="17">
        <f t="shared" ref="AL201:CN201" si="524">SUM(AL202)</f>
        <v>0</v>
      </c>
      <c r="AM201" s="17">
        <f t="shared" si="524"/>
        <v>0</v>
      </c>
      <c r="AN201" s="17">
        <f t="shared" si="524"/>
        <v>0</v>
      </c>
      <c r="AO201" s="17">
        <f t="shared" si="524"/>
        <v>0</v>
      </c>
      <c r="AP201" s="17">
        <f t="shared" si="524"/>
        <v>0</v>
      </c>
      <c r="AQ201" s="17">
        <f t="shared" si="524"/>
        <v>0</v>
      </c>
      <c r="AR201" s="17">
        <f t="shared" si="524"/>
        <v>0</v>
      </c>
      <c r="AS201" s="17">
        <f t="shared" si="524"/>
        <v>0</v>
      </c>
      <c r="AT201" s="17"/>
      <c r="AU201" s="17"/>
      <c r="AV201" s="17">
        <f t="shared" si="524"/>
        <v>0</v>
      </c>
      <c r="AW201" s="17">
        <f t="shared" si="524"/>
        <v>0</v>
      </c>
      <c r="AX201" s="17">
        <f t="shared" si="524"/>
        <v>0</v>
      </c>
      <c r="AY201" s="17"/>
      <c r="AZ201" s="17">
        <f t="shared" si="524"/>
        <v>0</v>
      </c>
      <c r="BA201" s="17">
        <f t="shared" si="524"/>
        <v>9336120</v>
      </c>
      <c r="BB201" s="17">
        <f t="shared" si="524"/>
        <v>0</v>
      </c>
      <c r="BC201" s="17">
        <f t="shared" si="524"/>
        <v>0</v>
      </c>
      <c r="BD201" s="17">
        <f t="shared" si="524"/>
        <v>0</v>
      </c>
      <c r="BE201" s="17">
        <f t="shared" si="524"/>
        <v>0</v>
      </c>
      <c r="BF201" s="17">
        <f t="shared" si="524"/>
        <v>0</v>
      </c>
      <c r="BG201" s="17">
        <f t="shared" si="524"/>
        <v>0</v>
      </c>
      <c r="BH201" s="17">
        <f t="shared" si="524"/>
        <v>0</v>
      </c>
      <c r="BI201" s="17">
        <f t="shared" si="524"/>
        <v>0</v>
      </c>
      <c r="BJ201" s="17">
        <f t="shared" si="524"/>
        <v>0</v>
      </c>
      <c r="BK201" s="17">
        <f t="shared" si="524"/>
        <v>0</v>
      </c>
      <c r="BL201" s="17">
        <f t="shared" si="524"/>
        <v>0</v>
      </c>
      <c r="BM201" s="17">
        <f t="shared" si="524"/>
        <v>0</v>
      </c>
      <c r="BN201" s="17">
        <f t="shared" si="524"/>
        <v>0</v>
      </c>
      <c r="BO201" s="17">
        <f t="shared" si="524"/>
        <v>9336120</v>
      </c>
      <c r="BP201" s="17">
        <f t="shared" si="524"/>
        <v>0</v>
      </c>
      <c r="BQ201" s="17">
        <f t="shared" si="524"/>
        <v>9336120</v>
      </c>
      <c r="BR201" s="17">
        <f t="shared" si="524"/>
        <v>0</v>
      </c>
      <c r="BS201" s="17">
        <f t="shared" si="524"/>
        <v>0</v>
      </c>
      <c r="BT201" s="17">
        <f t="shared" si="524"/>
        <v>0</v>
      </c>
      <c r="BU201" s="17">
        <f t="shared" si="524"/>
        <v>0</v>
      </c>
      <c r="BV201" s="17">
        <f t="shared" si="524"/>
        <v>0</v>
      </c>
      <c r="BW201" s="17">
        <f t="shared" si="524"/>
        <v>0</v>
      </c>
      <c r="BX201" s="17">
        <f t="shared" si="524"/>
        <v>0</v>
      </c>
      <c r="BY201" s="17">
        <f t="shared" si="524"/>
        <v>0</v>
      </c>
      <c r="BZ201" s="17">
        <f t="shared" si="524"/>
        <v>0</v>
      </c>
      <c r="CA201" s="17">
        <f t="shared" si="524"/>
        <v>0</v>
      </c>
      <c r="CB201" s="17">
        <f t="shared" si="524"/>
        <v>0</v>
      </c>
      <c r="CC201" s="17">
        <f t="shared" si="524"/>
        <v>0</v>
      </c>
      <c r="CD201" s="17">
        <f t="shared" si="524"/>
        <v>0</v>
      </c>
      <c r="CE201" s="17">
        <f t="shared" si="524"/>
        <v>0</v>
      </c>
      <c r="CF201" s="17">
        <f t="shared" si="524"/>
        <v>0</v>
      </c>
      <c r="CG201" s="17">
        <f t="shared" si="524"/>
        <v>0</v>
      </c>
      <c r="CH201" s="17">
        <f t="shared" si="524"/>
        <v>0</v>
      </c>
      <c r="CI201" s="17">
        <f t="shared" si="524"/>
        <v>0</v>
      </c>
      <c r="CJ201" s="17">
        <f t="shared" si="524"/>
        <v>0</v>
      </c>
      <c r="CK201" s="17">
        <f t="shared" si="524"/>
        <v>0</v>
      </c>
      <c r="CL201" s="17">
        <f t="shared" si="524"/>
        <v>0</v>
      </c>
      <c r="CM201" s="17">
        <f t="shared" si="524"/>
        <v>0</v>
      </c>
      <c r="CN201" s="17">
        <f t="shared" si="524"/>
        <v>0</v>
      </c>
      <c r="CO201" s="64"/>
      <c r="CP201" s="64"/>
      <c r="CQ201" s="64"/>
      <c r="CR201" s="64"/>
      <c r="CS201" s="51"/>
      <c r="GP201" s="44"/>
    </row>
    <row r="202" spans="1:198" ht="15.6" x14ac:dyDescent="0.3">
      <c r="A202" s="90" t="s">
        <v>1</v>
      </c>
      <c r="B202" s="19" t="s">
        <v>52</v>
      </c>
      <c r="C202" s="20" t="s">
        <v>261</v>
      </c>
      <c r="D202" s="18">
        <f>SUM(E202+CA202)</f>
        <v>9336120</v>
      </c>
      <c r="E202" s="18">
        <f>SUM(F202+BA202)</f>
        <v>9336120</v>
      </c>
      <c r="F202" s="18">
        <f>SUM(G202+H202+I202+P202+S202+T202+U202+AE202+AD202)</f>
        <v>0</v>
      </c>
      <c r="G202" s="18">
        <v>0</v>
      </c>
      <c r="H202" s="18">
        <v>0</v>
      </c>
      <c r="I202" s="18">
        <f t="shared" si="327"/>
        <v>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f t="shared" si="328"/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f t="shared" ref="U202" si="525">SUM(V202:AC202)</f>
        <v>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0</v>
      </c>
      <c r="AC202" s="18">
        <v>0</v>
      </c>
      <c r="AD202" s="18">
        <v>0</v>
      </c>
      <c r="AE202" s="18">
        <f>SUM(AF202:AZ202)</f>
        <v>0</v>
      </c>
      <c r="AF202" s="18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v>0</v>
      </c>
      <c r="AL202" s="18">
        <v>0</v>
      </c>
      <c r="AM202" s="18">
        <v>0</v>
      </c>
      <c r="AN202" s="18">
        <v>0</v>
      </c>
      <c r="AO202" s="18">
        <v>0</v>
      </c>
      <c r="AP202" s="18">
        <v>0</v>
      </c>
      <c r="AQ202" s="18">
        <v>0</v>
      </c>
      <c r="AR202" s="18">
        <v>0</v>
      </c>
      <c r="AS202" s="18">
        <v>0</v>
      </c>
      <c r="AT202" s="18"/>
      <c r="AU202" s="18"/>
      <c r="AV202" s="18">
        <v>0</v>
      </c>
      <c r="AW202" s="18">
        <v>0</v>
      </c>
      <c r="AX202" s="18">
        <v>0</v>
      </c>
      <c r="AY202" s="18"/>
      <c r="AZ202" s="18">
        <v>0</v>
      </c>
      <c r="BA202" s="18">
        <f>SUM(BB202+BF202+BJ202+BL202+BO202)</f>
        <v>9336120</v>
      </c>
      <c r="BB202" s="18">
        <f>SUM(BC202:BE202)</f>
        <v>0</v>
      </c>
      <c r="BC202" s="18">
        <v>0</v>
      </c>
      <c r="BD202" s="18">
        <v>0</v>
      </c>
      <c r="BE202" s="18">
        <v>0</v>
      </c>
      <c r="BF202" s="18">
        <f>SUM(BI202:BI202)</f>
        <v>0</v>
      </c>
      <c r="BG202" s="18">
        <v>0</v>
      </c>
      <c r="BH202" s="18">
        <v>0</v>
      </c>
      <c r="BI202" s="18">
        <v>0</v>
      </c>
      <c r="BJ202" s="18">
        <v>0</v>
      </c>
      <c r="BK202" s="18">
        <v>0</v>
      </c>
      <c r="BL202" s="18">
        <f t="shared" si="331"/>
        <v>0</v>
      </c>
      <c r="BM202" s="18">
        <v>0</v>
      </c>
      <c r="BN202" s="18">
        <v>0</v>
      </c>
      <c r="BO202" s="18">
        <f>SUM(BP202:BZ202)</f>
        <v>9336120</v>
      </c>
      <c r="BP202" s="18">
        <v>0</v>
      </c>
      <c r="BQ202" s="21">
        <f>13158360-3822240</f>
        <v>9336120</v>
      </c>
      <c r="BR202" s="18">
        <v>0</v>
      </c>
      <c r="BS202" s="18">
        <v>0</v>
      </c>
      <c r="BT202" s="18">
        <v>0</v>
      </c>
      <c r="BU202" s="18">
        <v>0</v>
      </c>
      <c r="BV202" s="18">
        <v>0</v>
      </c>
      <c r="BW202" s="18">
        <v>0</v>
      </c>
      <c r="BX202" s="18">
        <v>0</v>
      </c>
      <c r="BY202" s="18">
        <v>0</v>
      </c>
      <c r="BZ202" s="18">
        <v>0</v>
      </c>
      <c r="CA202" s="18">
        <f>SUM(CB202+CN202)</f>
        <v>0</v>
      </c>
      <c r="CB202" s="18">
        <f>SUM(CC202+CF202+CK202)</f>
        <v>0</v>
      </c>
      <c r="CC202" s="18">
        <f t="shared" si="332"/>
        <v>0</v>
      </c>
      <c r="CD202" s="18">
        <v>0</v>
      </c>
      <c r="CE202" s="18">
        <v>0</v>
      </c>
      <c r="CF202" s="18">
        <f>SUM(CG202:CJ202)</f>
        <v>0</v>
      </c>
      <c r="CG202" s="18">
        <v>0</v>
      </c>
      <c r="CH202" s="18">
        <v>0</v>
      </c>
      <c r="CI202" s="18">
        <v>0</v>
      </c>
      <c r="CJ202" s="18">
        <v>0</v>
      </c>
      <c r="CK202" s="18">
        <f>SUM(CL202:CM202)</f>
        <v>0</v>
      </c>
      <c r="CL202" s="18">
        <v>0</v>
      </c>
      <c r="CM202" s="18">
        <v>0</v>
      </c>
      <c r="CN202" s="18">
        <v>0</v>
      </c>
      <c r="CO202" s="65"/>
      <c r="CP202" s="65"/>
      <c r="CQ202" s="65"/>
      <c r="CR202" s="65"/>
      <c r="CS202" s="46"/>
      <c r="GP202" s="52"/>
    </row>
    <row r="203" spans="1:198" ht="31.2" x14ac:dyDescent="0.3">
      <c r="A203" s="89" t="s">
        <v>262</v>
      </c>
      <c r="B203" s="15" t="s">
        <v>1</v>
      </c>
      <c r="C203" s="16" t="s">
        <v>504</v>
      </c>
      <c r="D203" s="17">
        <f t="shared" ref="D203:AS203" si="526">SUM(D204:D210)</f>
        <v>186418935</v>
      </c>
      <c r="E203" s="17">
        <f t="shared" si="526"/>
        <v>186410471</v>
      </c>
      <c r="F203" s="17">
        <f t="shared" si="526"/>
        <v>11383571</v>
      </c>
      <c r="G203" s="17">
        <f t="shared" si="526"/>
        <v>1906797</v>
      </c>
      <c r="H203" s="17">
        <f t="shared" si="526"/>
        <v>199235</v>
      </c>
      <c r="I203" s="17">
        <f t="shared" si="526"/>
        <v>2006021</v>
      </c>
      <c r="J203" s="17">
        <f t="shared" si="526"/>
        <v>0</v>
      </c>
      <c r="K203" s="17">
        <f t="shared" si="526"/>
        <v>0</v>
      </c>
      <c r="L203" s="17">
        <f t="shared" si="526"/>
        <v>0</v>
      </c>
      <c r="M203" s="17">
        <f t="shared" si="526"/>
        <v>0</v>
      </c>
      <c r="N203" s="17">
        <f t="shared" si="526"/>
        <v>344136</v>
      </c>
      <c r="O203" s="17">
        <f t="shared" si="526"/>
        <v>1661885</v>
      </c>
      <c r="P203" s="17">
        <f t="shared" si="526"/>
        <v>0</v>
      </c>
      <c r="Q203" s="17">
        <f t="shared" si="526"/>
        <v>0</v>
      </c>
      <c r="R203" s="17">
        <f t="shared" si="526"/>
        <v>0</v>
      </c>
      <c r="S203" s="17">
        <f t="shared" si="526"/>
        <v>0</v>
      </c>
      <c r="T203" s="17">
        <f t="shared" si="526"/>
        <v>71833</v>
      </c>
      <c r="U203" s="17">
        <f t="shared" si="526"/>
        <v>0</v>
      </c>
      <c r="V203" s="17">
        <f t="shared" si="526"/>
        <v>0</v>
      </c>
      <c r="W203" s="17">
        <f t="shared" si="526"/>
        <v>0</v>
      </c>
      <c r="X203" s="17">
        <f t="shared" si="526"/>
        <v>0</v>
      </c>
      <c r="Y203" s="17">
        <f t="shared" si="526"/>
        <v>0</v>
      </c>
      <c r="Z203" s="17">
        <f t="shared" si="526"/>
        <v>0</v>
      </c>
      <c r="AA203" s="17">
        <f t="shared" si="526"/>
        <v>0</v>
      </c>
      <c r="AB203" s="17">
        <f t="shared" si="526"/>
        <v>0</v>
      </c>
      <c r="AC203" s="17">
        <f t="shared" si="526"/>
        <v>0</v>
      </c>
      <c r="AD203" s="17">
        <f t="shared" si="526"/>
        <v>0</v>
      </c>
      <c r="AE203" s="17">
        <f t="shared" si="526"/>
        <v>7199685</v>
      </c>
      <c r="AF203" s="17">
        <f t="shared" si="526"/>
        <v>0</v>
      </c>
      <c r="AG203" s="17">
        <f t="shared" si="526"/>
        <v>0</v>
      </c>
      <c r="AH203" s="17">
        <f t="shared" si="526"/>
        <v>0</v>
      </c>
      <c r="AI203" s="17">
        <f t="shared" si="526"/>
        <v>0</v>
      </c>
      <c r="AJ203" s="17">
        <f t="shared" si="526"/>
        <v>0</v>
      </c>
      <c r="AK203" s="17">
        <f t="shared" si="526"/>
        <v>0</v>
      </c>
      <c r="AL203" s="17">
        <f t="shared" si="526"/>
        <v>0</v>
      </c>
      <c r="AM203" s="17">
        <f t="shared" si="526"/>
        <v>0</v>
      </c>
      <c r="AN203" s="17">
        <f t="shared" si="526"/>
        <v>0</v>
      </c>
      <c r="AO203" s="17">
        <f t="shared" si="526"/>
        <v>0</v>
      </c>
      <c r="AP203" s="17">
        <f t="shared" si="526"/>
        <v>0</v>
      </c>
      <c r="AQ203" s="17">
        <f t="shared" si="526"/>
        <v>0</v>
      </c>
      <c r="AR203" s="17">
        <f t="shared" si="526"/>
        <v>0</v>
      </c>
      <c r="AS203" s="17">
        <f t="shared" si="526"/>
        <v>0</v>
      </c>
      <c r="AT203" s="17"/>
      <c r="AU203" s="17"/>
      <c r="AV203" s="17">
        <f>SUM(AV204:AV210)</f>
        <v>6911687</v>
      </c>
      <c r="AW203" s="17">
        <f>SUM(AW204:AW210)</f>
        <v>23367</v>
      </c>
      <c r="AX203" s="17">
        <f>SUM(AX204:AX210)</f>
        <v>0</v>
      </c>
      <c r="AY203" s="17"/>
      <c r="AZ203" s="17">
        <f t="shared" ref="AZ203:CM203" si="527">SUM(AZ204:AZ210)</f>
        <v>264631</v>
      </c>
      <c r="BA203" s="17">
        <f t="shared" si="527"/>
        <v>175026900</v>
      </c>
      <c r="BB203" s="17">
        <f t="shared" si="527"/>
        <v>0</v>
      </c>
      <c r="BC203" s="17">
        <f t="shared" si="527"/>
        <v>0</v>
      </c>
      <c r="BD203" s="17">
        <f t="shared" si="527"/>
        <v>0</v>
      </c>
      <c r="BE203" s="17">
        <f t="shared" si="527"/>
        <v>0</v>
      </c>
      <c r="BF203" s="17">
        <f t="shared" si="527"/>
        <v>0</v>
      </c>
      <c r="BG203" s="17">
        <f t="shared" si="527"/>
        <v>0</v>
      </c>
      <c r="BH203" s="17">
        <f t="shared" si="527"/>
        <v>0</v>
      </c>
      <c r="BI203" s="17">
        <f t="shared" si="527"/>
        <v>0</v>
      </c>
      <c r="BJ203" s="17">
        <f t="shared" si="527"/>
        <v>0</v>
      </c>
      <c r="BK203" s="17">
        <f t="shared" si="527"/>
        <v>0</v>
      </c>
      <c r="BL203" s="17">
        <f t="shared" si="527"/>
        <v>0</v>
      </c>
      <c r="BM203" s="17">
        <f t="shared" si="527"/>
        <v>0</v>
      </c>
      <c r="BN203" s="17">
        <f t="shared" si="527"/>
        <v>0</v>
      </c>
      <c r="BO203" s="17">
        <f t="shared" si="527"/>
        <v>175026900</v>
      </c>
      <c r="BP203" s="17">
        <f t="shared" si="527"/>
        <v>0</v>
      </c>
      <c r="BQ203" s="17">
        <f t="shared" si="527"/>
        <v>0</v>
      </c>
      <c r="BR203" s="17">
        <f t="shared" si="527"/>
        <v>0</v>
      </c>
      <c r="BS203" s="17">
        <f t="shared" si="527"/>
        <v>0</v>
      </c>
      <c r="BT203" s="17">
        <f t="shared" si="527"/>
        <v>0</v>
      </c>
      <c r="BU203" s="17">
        <f t="shared" si="527"/>
        <v>0</v>
      </c>
      <c r="BV203" s="17">
        <f t="shared" si="527"/>
        <v>0</v>
      </c>
      <c r="BW203" s="17">
        <f t="shared" si="527"/>
        <v>1013250</v>
      </c>
      <c r="BX203" s="17">
        <f t="shared" si="527"/>
        <v>286944</v>
      </c>
      <c r="BY203" s="17">
        <f t="shared" si="527"/>
        <v>98711974</v>
      </c>
      <c r="BZ203" s="17">
        <f t="shared" si="527"/>
        <v>75014732</v>
      </c>
      <c r="CA203" s="17">
        <f t="shared" si="527"/>
        <v>8464</v>
      </c>
      <c r="CB203" s="17">
        <f t="shared" si="527"/>
        <v>8464</v>
      </c>
      <c r="CC203" s="17">
        <f t="shared" si="527"/>
        <v>8464</v>
      </c>
      <c r="CD203" s="17">
        <f t="shared" si="527"/>
        <v>0</v>
      </c>
      <c r="CE203" s="17">
        <f t="shared" si="527"/>
        <v>8464</v>
      </c>
      <c r="CF203" s="17">
        <f t="shared" si="527"/>
        <v>0</v>
      </c>
      <c r="CG203" s="17">
        <f t="shared" si="527"/>
        <v>0</v>
      </c>
      <c r="CH203" s="17">
        <f t="shared" si="527"/>
        <v>0</v>
      </c>
      <c r="CI203" s="17">
        <f t="shared" si="527"/>
        <v>0</v>
      </c>
      <c r="CJ203" s="17">
        <f t="shared" si="527"/>
        <v>0</v>
      </c>
      <c r="CK203" s="17">
        <f t="shared" si="527"/>
        <v>0</v>
      </c>
      <c r="CL203" s="17">
        <f t="shared" si="527"/>
        <v>0</v>
      </c>
      <c r="CM203" s="17">
        <f t="shared" si="527"/>
        <v>0</v>
      </c>
      <c r="CN203" s="17">
        <f>SUM(CN204:CN210)</f>
        <v>0</v>
      </c>
      <c r="CO203" s="64"/>
      <c r="CP203" s="64"/>
      <c r="CQ203" s="64"/>
      <c r="CR203" s="64"/>
      <c r="CS203" s="51"/>
    </row>
    <row r="204" spans="1:198" ht="31.2" x14ac:dyDescent="0.3">
      <c r="A204" s="90" t="s">
        <v>1</v>
      </c>
      <c r="B204" s="19" t="s">
        <v>44</v>
      </c>
      <c r="C204" s="20" t="s">
        <v>472</v>
      </c>
      <c r="D204" s="18">
        <f t="shared" ref="D204:D210" si="528">SUM(E204+CA204)</f>
        <v>1223375</v>
      </c>
      <c r="E204" s="18">
        <f t="shared" ref="E204:E210" si="529">SUM(F204+BA204)</f>
        <v>1223375</v>
      </c>
      <c r="F204" s="18">
        <f t="shared" ref="F204:F210" si="530">SUM(G204+H204+I204+P204+S204+T204+U204+AE204+AD204)</f>
        <v>809142</v>
      </c>
      <c r="G204" s="21">
        <v>532230</v>
      </c>
      <c r="H204" s="21">
        <v>129208</v>
      </c>
      <c r="I204" s="18">
        <f t="shared" si="327"/>
        <v>147704</v>
      </c>
      <c r="J204" s="21">
        <v>0</v>
      </c>
      <c r="K204" s="21">
        <v>0</v>
      </c>
      <c r="L204" s="21">
        <v>0</v>
      </c>
      <c r="M204" s="21">
        <v>0</v>
      </c>
      <c r="N204" s="21">
        <f>186682-38978</f>
        <v>147704</v>
      </c>
      <c r="O204" s="21">
        <v>0</v>
      </c>
      <c r="P204" s="18">
        <f t="shared" si="328"/>
        <v>0</v>
      </c>
      <c r="Q204" s="21">
        <v>0</v>
      </c>
      <c r="R204" s="21">
        <v>0</v>
      </c>
      <c r="S204" s="21">
        <v>0</v>
      </c>
      <c r="T204" s="21">
        <v>0</v>
      </c>
      <c r="U204" s="18">
        <f t="shared" ref="U204:U210" si="531">SUM(V204:AC204)</f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  <c r="AB204" s="18">
        <v>0</v>
      </c>
      <c r="AC204" s="18">
        <v>0</v>
      </c>
      <c r="AD204" s="18">
        <v>0</v>
      </c>
      <c r="AE204" s="18">
        <f t="shared" ref="AE204:AE210" si="532">SUM(AF204:AZ204)</f>
        <v>0</v>
      </c>
      <c r="AF204" s="18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v>0</v>
      </c>
      <c r="AL204" s="18">
        <v>0</v>
      </c>
      <c r="AM204" s="18">
        <v>0</v>
      </c>
      <c r="AN204" s="18">
        <v>0</v>
      </c>
      <c r="AO204" s="18">
        <v>0</v>
      </c>
      <c r="AP204" s="18">
        <v>0</v>
      </c>
      <c r="AQ204" s="18">
        <v>0</v>
      </c>
      <c r="AR204" s="18">
        <v>0</v>
      </c>
      <c r="AS204" s="18">
        <v>0</v>
      </c>
      <c r="AT204" s="18">
        <v>0</v>
      </c>
      <c r="AU204" s="18">
        <v>0</v>
      </c>
      <c r="AV204" s="18">
        <v>0</v>
      </c>
      <c r="AW204" s="21">
        <v>0</v>
      </c>
      <c r="AX204" s="21">
        <v>0</v>
      </c>
      <c r="AY204" s="21">
        <v>0</v>
      </c>
      <c r="AZ204" s="21">
        <v>0</v>
      </c>
      <c r="BA204" s="18">
        <f t="shared" ref="BA204:BA210" si="533">SUM(BB204+BF204+BJ204+BL204+BO204)</f>
        <v>414233</v>
      </c>
      <c r="BB204" s="18">
        <f t="shared" ref="BB204:BB210" si="534">SUM(BC204:BE204)</f>
        <v>0</v>
      </c>
      <c r="BC204" s="18">
        <v>0</v>
      </c>
      <c r="BD204" s="18">
        <v>0</v>
      </c>
      <c r="BE204" s="18">
        <v>0</v>
      </c>
      <c r="BF204" s="18">
        <f t="shared" ref="BF204:BF210" si="535">SUM(BI204:BI204)</f>
        <v>0</v>
      </c>
      <c r="BG204" s="18">
        <v>0</v>
      </c>
      <c r="BH204" s="18">
        <v>0</v>
      </c>
      <c r="BI204" s="18">
        <v>0</v>
      </c>
      <c r="BJ204" s="18">
        <v>0</v>
      </c>
      <c r="BK204" s="18">
        <v>0</v>
      </c>
      <c r="BL204" s="18">
        <f t="shared" si="331"/>
        <v>0</v>
      </c>
      <c r="BM204" s="18">
        <v>0</v>
      </c>
      <c r="BN204" s="18">
        <v>0</v>
      </c>
      <c r="BO204" s="18">
        <f t="shared" ref="BO204:BO210" si="536">SUM(BP204:BZ204)</f>
        <v>414233</v>
      </c>
      <c r="BP204" s="18">
        <v>0</v>
      </c>
      <c r="BQ204" s="18">
        <v>0</v>
      </c>
      <c r="BR204" s="18">
        <v>0</v>
      </c>
      <c r="BS204" s="18">
        <v>0</v>
      </c>
      <c r="BT204" s="18">
        <v>0</v>
      </c>
      <c r="BU204" s="18">
        <v>0</v>
      </c>
      <c r="BV204" s="18">
        <v>0</v>
      </c>
      <c r="BW204" s="18">
        <v>0</v>
      </c>
      <c r="BX204" s="21">
        <v>0</v>
      </c>
      <c r="BY204" s="21">
        <f>562929-148696</f>
        <v>414233</v>
      </c>
      <c r="BZ204" s="21">
        <v>0</v>
      </c>
      <c r="CA204" s="18">
        <f t="shared" ref="CA204:CA210" si="537">SUM(CB204+CN204)</f>
        <v>0</v>
      </c>
      <c r="CB204" s="18">
        <f t="shared" ref="CB204:CB210" si="538">SUM(CC204+CF204+CK204)</f>
        <v>0</v>
      </c>
      <c r="CC204" s="18">
        <f t="shared" si="332"/>
        <v>0</v>
      </c>
      <c r="CD204" s="18">
        <v>0</v>
      </c>
      <c r="CE204" s="18">
        <v>0</v>
      </c>
      <c r="CF204" s="18">
        <f t="shared" ref="CF204:CF210" si="539">SUM(CG204:CJ204)</f>
        <v>0</v>
      </c>
      <c r="CG204" s="18">
        <v>0</v>
      </c>
      <c r="CH204" s="18">
        <v>0</v>
      </c>
      <c r="CI204" s="18">
        <v>0</v>
      </c>
      <c r="CJ204" s="18">
        <v>0</v>
      </c>
      <c r="CK204" s="18">
        <f t="shared" ref="CK204:CK210" si="540">SUM(CL204:CM204)</f>
        <v>0</v>
      </c>
      <c r="CL204" s="18">
        <v>0</v>
      </c>
      <c r="CM204" s="18">
        <v>0</v>
      </c>
      <c r="CN204" s="18">
        <v>0</v>
      </c>
      <c r="CO204" s="65"/>
      <c r="CP204" s="65"/>
      <c r="CQ204" s="65"/>
      <c r="CR204" s="65"/>
      <c r="CS204" s="46"/>
      <c r="GP204" s="52"/>
    </row>
    <row r="205" spans="1:198" ht="31.2" x14ac:dyDescent="0.3">
      <c r="A205" s="90" t="s">
        <v>1</v>
      </c>
      <c r="B205" s="19" t="s">
        <v>41</v>
      </c>
      <c r="C205" s="20" t="s">
        <v>469</v>
      </c>
      <c r="D205" s="18">
        <f t="shared" si="528"/>
        <v>1139044</v>
      </c>
      <c r="E205" s="18">
        <f t="shared" si="529"/>
        <v>1130580</v>
      </c>
      <c r="F205" s="18">
        <f t="shared" si="530"/>
        <v>872738</v>
      </c>
      <c r="G205" s="21">
        <v>534446</v>
      </c>
      <c r="H205" s="21">
        <v>70027</v>
      </c>
      <c r="I205" s="18">
        <f t="shared" si="327"/>
        <v>196432</v>
      </c>
      <c r="J205" s="21">
        <v>0</v>
      </c>
      <c r="K205" s="21">
        <v>0</v>
      </c>
      <c r="L205" s="21">
        <v>0</v>
      </c>
      <c r="M205" s="21">
        <v>0</v>
      </c>
      <c r="N205" s="21">
        <f>295030-98598</f>
        <v>196432</v>
      </c>
      <c r="O205" s="21">
        <v>0</v>
      </c>
      <c r="P205" s="18">
        <f t="shared" si="328"/>
        <v>0</v>
      </c>
      <c r="Q205" s="21">
        <v>0</v>
      </c>
      <c r="R205" s="21">
        <v>0</v>
      </c>
      <c r="S205" s="21">
        <v>0</v>
      </c>
      <c r="T205" s="21">
        <v>71833</v>
      </c>
      <c r="U205" s="18">
        <f t="shared" si="531"/>
        <v>0</v>
      </c>
      <c r="V205" s="18">
        <v>0</v>
      </c>
      <c r="W205" s="18">
        <v>0</v>
      </c>
      <c r="X205" s="18">
        <v>0</v>
      </c>
      <c r="Y205" s="18">
        <v>0</v>
      </c>
      <c r="Z205" s="18">
        <v>0</v>
      </c>
      <c r="AA205" s="18">
        <v>0</v>
      </c>
      <c r="AB205" s="18">
        <v>0</v>
      </c>
      <c r="AC205" s="18">
        <v>0</v>
      </c>
      <c r="AD205" s="18">
        <v>0</v>
      </c>
      <c r="AE205" s="18">
        <f t="shared" si="532"/>
        <v>0</v>
      </c>
      <c r="AF205" s="18">
        <v>0</v>
      </c>
      <c r="AG205" s="18">
        <v>0</v>
      </c>
      <c r="AH205" s="18">
        <v>0</v>
      </c>
      <c r="AI205" s="18">
        <v>0</v>
      </c>
      <c r="AJ205" s="18">
        <v>0</v>
      </c>
      <c r="AK205" s="18">
        <v>0</v>
      </c>
      <c r="AL205" s="18">
        <v>0</v>
      </c>
      <c r="AM205" s="18">
        <v>0</v>
      </c>
      <c r="AN205" s="18">
        <v>0</v>
      </c>
      <c r="AO205" s="18">
        <v>0</v>
      </c>
      <c r="AP205" s="18">
        <v>0</v>
      </c>
      <c r="AQ205" s="18">
        <v>0</v>
      </c>
      <c r="AR205" s="18">
        <v>0</v>
      </c>
      <c r="AS205" s="18">
        <v>0</v>
      </c>
      <c r="AT205" s="18">
        <v>0</v>
      </c>
      <c r="AU205" s="18">
        <v>0</v>
      </c>
      <c r="AV205" s="18">
        <v>0</v>
      </c>
      <c r="AW205" s="21">
        <v>0</v>
      </c>
      <c r="AX205" s="21">
        <v>0</v>
      </c>
      <c r="AY205" s="21">
        <v>0</v>
      </c>
      <c r="AZ205" s="21">
        <v>0</v>
      </c>
      <c r="BA205" s="18">
        <f t="shared" si="533"/>
        <v>257842</v>
      </c>
      <c r="BB205" s="18">
        <f t="shared" si="534"/>
        <v>0</v>
      </c>
      <c r="BC205" s="18">
        <v>0</v>
      </c>
      <c r="BD205" s="18">
        <v>0</v>
      </c>
      <c r="BE205" s="18">
        <v>0</v>
      </c>
      <c r="BF205" s="18">
        <f t="shared" si="535"/>
        <v>0</v>
      </c>
      <c r="BG205" s="18">
        <v>0</v>
      </c>
      <c r="BH205" s="18">
        <v>0</v>
      </c>
      <c r="BI205" s="18">
        <v>0</v>
      </c>
      <c r="BJ205" s="18">
        <v>0</v>
      </c>
      <c r="BK205" s="18">
        <v>0</v>
      </c>
      <c r="BL205" s="18">
        <f t="shared" si="331"/>
        <v>0</v>
      </c>
      <c r="BM205" s="18">
        <v>0</v>
      </c>
      <c r="BN205" s="18">
        <v>0</v>
      </c>
      <c r="BO205" s="18">
        <f t="shared" si="536"/>
        <v>257842</v>
      </c>
      <c r="BP205" s="18">
        <v>0</v>
      </c>
      <c r="BQ205" s="18">
        <v>0</v>
      </c>
      <c r="BR205" s="18">
        <v>0</v>
      </c>
      <c r="BS205" s="18">
        <v>0</v>
      </c>
      <c r="BT205" s="18">
        <v>0</v>
      </c>
      <c r="BU205" s="18">
        <v>0</v>
      </c>
      <c r="BV205" s="18">
        <v>0</v>
      </c>
      <c r="BW205" s="18">
        <v>0</v>
      </c>
      <c r="BX205" s="21">
        <v>0</v>
      </c>
      <c r="BY205" s="21">
        <f>757842-500000</f>
        <v>257842</v>
      </c>
      <c r="BZ205" s="21">
        <v>0</v>
      </c>
      <c r="CA205" s="18">
        <f t="shared" si="537"/>
        <v>8464</v>
      </c>
      <c r="CB205" s="18">
        <f t="shared" si="538"/>
        <v>8464</v>
      </c>
      <c r="CC205" s="18">
        <f t="shared" si="332"/>
        <v>8464</v>
      </c>
      <c r="CD205" s="18">
        <v>0</v>
      </c>
      <c r="CE205" s="21">
        <f>42322-33858</f>
        <v>8464</v>
      </c>
      <c r="CF205" s="18">
        <f t="shared" si="539"/>
        <v>0</v>
      </c>
      <c r="CG205" s="18">
        <v>0</v>
      </c>
      <c r="CH205" s="18">
        <v>0</v>
      </c>
      <c r="CI205" s="18">
        <v>0</v>
      </c>
      <c r="CJ205" s="18">
        <v>0</v>
      </c>
      <c r="CK205" s="18">
        <f t="shared" si="540"/>
        <v>0</v>
      </c>
      <c r="CL205" s="18">
        <v>0</v>
      </c>
      <c r="CM205" s="18">
        <v>0</v>
      </c>
      <c r="CN205" s="18">
        <v>0</v>
      </c>
      <c r="CO205" s="65"/>
      <c r="CP205" s="65"/>
      <c r="CQ205" s="65"/>
      <c r="CR205" s="65"/>
      <c r="CS205" s="46"/>
    </row>
    <row r="206" spans="1:198" ht="27.6" customHeight="1" x14ac:dyDescent="0.3">
      <c r="A206" s="90" t="s">
        <v>1</v>
      </c>
      <c r="B206" s="19" t="s">
        <v>52</v>
      </c>
      <c r="C206" s="20" t="s">
        <v>470</v>
      </c>
      <c r="D206" s="18">
        <f t="shared" si="528"/>
        <v>96022391</v>
      </c>
      <c r="E206" s="18">
        <f t="shared" si="529"/>
        <v>96022391</v>
      </c>
      <c r="F206" s="18">
        <f t="shared" si="530"/>
        <v>8838203</v>
      </c>
      <c r="G206" s="21">
        <v>0</v>
      </c>
      <c r="H206" s="21">
        <v>0</v>
      </c>
      <c r="I206" s="18">
        <f>SUM(J206:O206)</f>
        <v>1661885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f>2261885-600000</f>
        <v>1661885</v>
      </c>
      <c r="P206" s="18">
        <f>SUM(Q206:R206)</f>
        <v>0</v>
      </c>
      <c r="Q206" s="21">
        <v>0</v>
      </c>
      <c r="R206" s="21">
        <v>0</v>
      </c>
      <c r="S206" s="21">
        <v>0</v>
      </c>
      <c r="T206" s="21">
        <v>0</v>
      </c>
      <c r="U206" s="18">
        <f t="shared" si="531"/>
        <v>0</v>
      </c>
      <c r="V206" s="18">
        <v>0</v>
      </c>
      <c r="W206" s="18">
        <v>0</v>
      </c>
      <c r="X206" s="18">
        <v>0</v>
      </c>
      <c r="Y206" s="18">
        <v>0</v>
      </c>
      <c r="Z206" s="18">
        <v>0</v>
      </c>
      <c r="AA206" s="18">
        <v>0</v>
      </c>
      <c r="AB206" s="18">
        <v>0</v>
      </c>
      <c r="AC206" s="18">
        <v>0</v>
      </c>
      <c r="AD206" s="18">
        <v>0</v>
      </c>
      <c r="AE206" s="18">
        <f t="shared" si="532"/>
        <v>7176318</v>
      </c>
      <c r="AF206" s="18">
        <v>0</v>
      </c>
      <c r="AG206" s="18">
        <v>0</v>
      </c>
      <c r="AH206" s="18">
        <v>0</v>
      </c>
      <c r="AI206" s="18">
        <v>0</v>
      </c>
      <c r="AJ206" s="18">
        <v>0</v>
      </c>
      <c r="AK206" s="18">
        <v>0</v>
      </c>
      <c r="AL206" s="18">
        <v>0</v>
      </c>
      <c r="AM206" s="18">
        <v>0</v>
      </c>
      <c r="AN206" s="18">
        <v>0</v>
      </c>
      <c r="AO206" s="18">
        <v>0</v>
      </c>
      <c r="AP206" s="18">
        <v>0</v>
      </c>
      <c r="AQ206" s="18">
        <v>0</v>
      </c>
      <c r="AR206" s="18">
        <v>0</v>
      </c>
      <c r="AS206" s="18">
        <v>0</v>
      </c>
      <c r="AT206" s="18">
        <v>0</v>
      </c>
      <c r="AU206" s="18">
        <v>0</v>
      </c>
      <c r="AV206" s="18">
        <f>14508006-7596319</f>
        <v>6911687</v>
      </c>
      <c r="AW206" s="21">
        <v>0</v>
      </c>
      <c r="AX206" s="21">
        <v>0</v>
      </c>
      <c r="AY206" s="21">
        <v>0</v>
      </c>
      <c r="AZ206" s="21">
        <f>285631-21000</f>
        <v>264631</v>
      </c>
      <c r="BA206" s="18">
        <f t="shared" si="533"/>
        <v>87184188</v>
      </c>
      <c r="BB206" s="18">
        <f t="shared" si="534"/>
        <v>0</v>
      </c>
      <c r="BC206" s="18">
        <v>0</v>
      </c>
      <c r="BD206" s="18">
        <v>0</v>
      </c>
      <c r="BE206" s="18">
        <v>0</v>
      </c>
      <c r="BF206" s="18">
        <f t="shared" si="535"/>
        <v>0</v>
      </c>
      <c r="BG206" s="18">
        <v>0</v>
      </c>
      <c r="BH206" s="18">
        <v>0</v>
      </c>
      <c r="BI206" s="18">
        <v>0</v>
      </c>
      <c r="BJ206" s="18">
        <v>0</v>
      </c>
      <c r="BK206" s="18">
        <v>0</v>
      </c>
      <c r="BL206" s="18">
        <f>SUM(BM206)</f>
        <v>0</v>
      </c>
      <c r="BM206" s="18">
        <v>0</v>
      </c>
      <c r="BN206" s="18">
        <v>0</v>
      </c>
      <c r="BO206" s="18">
        <f t="shared" si="536"/>
        <v>87184188</v>
      </c>
      <c r="BP206" s="18">
        <v>0</v>
      </c>
      <c r="BQ206" s="18">
        <v>0</v>
      </c>
      <c r="BR206" s="18">
        <v>0</v>
      </c>
      <c r="BS206" s="18">
        <v>0</v>
      </c>
      <c r="BT206" s="18">
        <v>0</v>
      </c>
      <c r="BU206" s="18">
        <v>0</v>
      </c>
      <c r="BV206" s="18">
        <v>0</v>
      </c>
      <c r="BW206" s="18">
        <f>1763250-750000</f>
        <v>1013250</v>
      </c>
      <c r="BX206" s="21">
        <v>286944</v>
      </c>
      <c r="BY206" s="21">
        <f>12069210-427969</f>
        <v>11641241</v>
      </c>
      <c r="BZ206" s="21">
        <f>22611343+23581410+28050000</f>
        <v>74242753</v>
      </c>
      <c r="CA206" s="18">
        <f t="shared" si="537"/>
        <v>0</v>
      </c>
      <c r="CB206" s="18">
        <f t="shared" si="538"/>
        <v>0</v>
      </c>
      <c r="CC206" s="18">
        <f>SUM(CD206:CE206)</f>
        <v>0</v>
      </c>
      <c r="CD206" s="18">
        <v>0</v>
      </c>
      <c r="CE206" s="18"/>
      <c r="CF206" s="18">
        <f t="shared" si="539"/>
        <v>0</v>
      </c>
      <c r="CG206" s="18">
        <v>0</v>
      </c>
      <c r="CH206" s="18">
        <v>0</v>
      </c>
      <c r="CI206" s="18">
        <v>0</v>
      </c>
      <c r="CJ206" s="18">
        <v>0</v>
      </c>
      <c r="CK206" s="18">
        <f t="shared" si="540"/>
        <v>0</v>
      </c>
      <c r="CL206" s="18">
        <v>0</v>
      </c>
      <c r="CM206" s="18">
        <v>0</v>
      </c>
      <c r="CN206" s="18">
        <v>0</v>
      </c>
      <c r="CO206" s="65"/>
      <c r="CP206" s="65"/>
      <c r="CQ206" s="65"/>
      <c r="CR206" s="65"/>
      <c r="CS206" s="46"/>
    </row>
    <row r="207" spans="1:198" s="52" customFormat="1" ht="13.2" customHeight="1" x14ac:dyDescent="0.3">
      <c r="A207" s="90" t="s">
        <v>1</v>
      </c>
      <c r="B207" s="19" t="s">
        <v>52</v>
      </c>
      <c r="C207" s="20" t="s">
        <v>264</v>
      </c>
      <c r="D207" s="18">
        <f t="shared" si="528"/>
        <v>349939</v>
      </c>
      <c r="E207" s="18">
        <f>SUM(F207+BA207)</f>
        <v>349939</v>
      </c>
      <c r="F207" s="18">
        <f>SUM(G207+H207+I207+P207+S207+T207+U207+AE207+AD207)</f>
        <v>0</v>
      </c>
      <c r="G207" s="21">
        <v>0</v>
      </c>
      <c r="H207" s="21">
        <v>0</v>
      </c>
      <c r="I207" s="18">
        <f>SUM(J207:O207)</f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18">
        <f>SUM(Q207:R207)</f>
        <v>0</v>
      </c>
      <c r="Q207" s="21">
        <v>0</v>
      </c>
      <c r="R207" s="21">
        <v>0</v>
      </c>
      <c r="S207" s="21">
        <v>0</v>
      </c>
      <c r="T207" s="21">
        <v>0</v>
      </c>
      <c r="U207" s="18">
        <f>SUM(V207:AC207)</f>
        <v>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0</v>
      </c>
      <c r="AC207" s="18">
        <v>0</v>
      </c>
      <c r="AD207" s="18">
        <v>0</v>
      </c>
      <c r="AE207" s="18">
        <f>SUM(AF207:AZ207)</f>
        <v>0</v>
      </c>
      <c r="AF207" s="18">
        <v>0</v>
      </c>
      <c r="AG207" s="18">
        <v>0</v>
      </c>
      <c r="AH207" s="18">
        <v>0</v>
      </c>
      <c r="AI207" s="18">
        <v>0</v>
      </c>
      <c r="AJ207" s="18">
        <v>0</v>
      </c>
      <c r="AK207" s="18">
        <v>0</v>
      </c>
      <c r="AL207" s="18">
        <v>0</v>
      </c>
      <c r="AM207" s="18">
        <v>0</v>
      </c>
      <c r="AN207" s="18">
        <v>0</v>
      </c>
      <c r="AO207" s="18">
        <v>0</v>
      </c>
      <c r="AP207" s="18">
        <v>0</v>
      </c>
      <c r="AQ207" s="18">
        <v>0</v>
      </c>
      <c r="AR207" s="18">
        <v>0</v>
      </c>
      <c r="AS207" s="18">
        <v>0</v>
      </c>
      <c r="AT207" s="18">
        <v>0</v>
      </c>
      <c r="AU207" s="18">
        <v>0</v>
      </c>
      <c r="AV207" s="18">
        <v>0</v>
      </c>
      <c r="AW207" s="21"/>
      <c r="AX207" s="21">
        <v>0</v>
      </c>
      <c r="AY207" s="21">
        <v>0</v>
      </c>
      <c r="AZ207" s="21">
        <v>0</v>
      </c>
      <c r="BA207" s="18">
        <f>SUM(BB207+BF207+BJ207+BL207+BO207)</f>
        <v>349939</v>
      </c>
      <c r="BB207" s="18">
        <f>SUM(BC207:BE207)</f>
        <v>0</v>
      </c>
      <c r="BC207" s="18">
        <v>0</v>
      </c>
      <c r="BD207" s="18">
        <v>0</v>
      </c>
      <c r="BE207" s="18">
        <v>0</v>
      </c>
      <c r="BF207" s="18">
        <f>SUM(BI207:BI207)</f>
        <v>0</v>
      </c>
      <c r="BG207" s="18">
        <v>0</v>
      </c>
      <c r="BH207" s="18">
        <v>0</v>
      </c>
      <c r="BI207" s="18">
        <v>0</v>
      </c>
      <c r="BJ207" s="18">
        <v>0</v>
      </c>
      <c r="BK207" s="18">
        <v>0</v>
      </c>
      <c r="BL207" s="18">
        <f>SUM(BM207)</f>
        <v>0</v>
      </c>
      <c r="BM207" s="18">
        <v>0</v>
      </c>
      <c r="BN207" s="18">
        <v>0</v>
      </c>
      <c r="BO207" s="18">
        <f>SUM(BP207:BZ207)</f>
        <v>349939</v>
      </c>
      <c r="BP207" s="18">
        <v>0</v>
      </c>
      <c r="BQ207" s="18">
        <v>0</v>
      </c>
      <c r="BR207" s="18">
        <v>0</v>
      </c>
      <c r="BS207" s="18">
        <v>0</v>
      </c>
      <c r="BT207" s="18">
        <v>0</v>
      </c>
      <c r="BU207" s="18">
        <v>0</v>
      </c>
      <c r="BV207" s="18">
        <v>0</v>
      </c>
      <c r="BW207" s="18">
        <v>0</v>
      </c>
      <c r="BX207" s="21">
        <v>0</v>
      </c>
      <c r="BY207" s="21">
        <v>0</v>
      </c>
      <c r="BZ207" s="21">
        <f>399940-50001</f>
        <v>349939</v>
      </c>
      <c r="CA207" s="18">
        <f t="shared" si="537"/>
        <v>0</v>
      </c>
      <c r="CB207" s="18">
        <f t="shared" si="538"/>
        <v>0</v>
      </c>
      <c r="CC207" s="18">
        <f>SUM(CD207:CE207)</f>
        <v>0</v>
      </c>
      <c r="CD207" s="18">
        <v>0</v>
      </c>
      <c r="CE207" s="18">
        <v>0</v>
      </c>
      <c r="CF207" s="18">
        <f t="shared" si="539"/>
        <v>0</v>
      </c>
      <c r="CG207" s="18">
        <v>0</v>
      </c>
      <c r="CH207" s="18">
        <v>0</v>
      </c>
      <c r="CI207" s="18">
        <v>0</v>
      </c>
      <c r="CJ207" s="18">
        <v>0</v>
      </c>
      <c r="CK207" s="18">
        <f t="shared" si="540"/>
        <v>0</v>
      </c>
      <c r="CL207" s="18">
        <v>0</v>
      </c>
      <c r="CM207" s="18">
        <v>0</v>
      </c>
      <c r="CN207" s="18">
        <v>0</v>
      </c>
      <c r="CO207" s="65"/>
      <c r="CP207" s="65"/>
      <c r="CQ207" s="65"/>
      <c r="CR207" s="65"/>
      <c r="CS207" s="46"/>
      <c r="GP207" s="44"/>
    </row>
    <row r="208" spans="1:198" ht="14.4" customHeight="1" x14ac:dyDescent="0.3">
      <c r="A208" s="90" t="s">
        <v>1</v>
      </c>
      <c r="B208" s="19" t="s">
        <v>52</v>
      </c>
      <c r="C208" s="20" t="s">
        <v>471</v>
      </c>
      <c r="D208" s="18">
        <f t="shared" si="528"/>
        <v>81509010</v>
      </c>
      <c r="E208" s="18">
        <f t="shared" si="529"/>
        <v>81509010</v>
      </c>
      <c r="F208" s="18">
        <f t="shared" si="530"/>
        <v>0</v>
      </c>
      <c r="G208" s="21">
        <v>0</v>
      </c>
      <c r="H208" s="21">
        <v>0</v>
      </c>
      <c r="I208" s="18">
        <f t="shared" si="327"/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18">
        <f t="shared" si="328"/>
        <v>0</v>
      </c>
      <c r="Q208" s="21">
        <v>0</v>
      </c>
      <c r="R208" s="21">
        <v>0</v>
      </c>
      <c r="S208" s="21">
        <v>0</v>
      </c>
      <c r="T208" s="21">
        <v>0</v>
      </c>
      <c r="U208" s="18">
        <f t="shared" si="531"/>
        <v>0</v>
      </c>
      <c r="V208" s="18">
        <v>0</v>
      </c>
      <c r="W208" s="18">
        <v>0</v>
      </c>
      <c r="X208" s="18">
        <v>0</v>
      </c>
      <c r="Y208" s="18">
        <v>0</v>
      </c>
      <c r="Z208" s="18">
        <v>0</v>
      </c>
      <c r="AA208" s="18">
        <v>0</v>
      </c>
      <c r="AB208" s="18">
        <v>0</v>
      </c>
      <c r="AC208" s="18">
        <v>0</v>
      </c>
      <c r="AD208" s="18">
        <v>0</v>
      </c>
      <c r="AE208" s="18">
        <f t="shared" si="532"/>
        <v>0</v>
      </c>
      <c r="AF208" s="18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v>0</v>
      </c>
      <c r="AL208" s="18">
        <v>0</v>
      </c>
      <c r="AM208" s="18">
        <v>0</v>
      </c>
      <c r="AN208" s="18">
        <v>0</v>
      </c>
      <c r="AO208" s="18">
        <v>0</v>
      </c>
      <c r="AP208" s="18">
        <v>0</v>
      </c>
      <c r="AQ208" s="18">
        <v>0</v>
      </c>
      <c r="AR208" s="18">
        <v>0</v>
      </c>
      <c r="AS208" s="18">
        <v>0</v>
      </c>
      <c r="AT208" s="18">
        <v>0</v>
      </c>
      <c r="AU208" s="18">
        <v>0</v>
      </c>
      <c r="AV208" s="18">
        <v>0</v>
      </c>
      <c r="AW208" s="21">
        <v>0</v>
      </c>
      <c r="AX208" s="21">
        <v>0</v>
      </c>
      <c r="AY208" s="21">
        <v>0</v>
      </c>
      <c r="AZ208" s="21">
        <v>0</v>
      </c>
      <c r="BA208" s="18">
        <f t="shared" si="533"/>
        <v>81509010</v>
      </c>
      <c r="BB208" s="18">
        <f t="shared" si="534"/>
        <v>0</v>
      </c>
      <c r="BC208" s="18">
        <v>0</v>
      </c>
      <c r="BD208" s="18">
        <v>0</v>
      </c>
      <c r="BE208" s="18">
        <v>0</v>
      </c>
      <c r="BF208" s="18">
        <f t="shared" si="535"/>
        <v>0</v>
      </c>
      <c r="BG208" s="18">
        <v>0</v>
      </c>
      <c r="BH208" s="18">
        <v>0</v>
      </c>
      <c r="BI208" s="18">
        <v>0</v>
      </c>
      <c r="BJ208" s="18">
        <v>0</v>
      </c>
      <c r="BK208" s="18">
        <v>0</v>
      </c>
      <c r="BL208" s="18">
        <f t="shared" si="331"/>
        <v>0</v>
      </c>
      <c r="BM208" s="18">
        <v>0</v>
      </c>
      <c r="BN208" s="18">
        <v>0</v>
      </c>
      <c r="BO208" s="18">
        <f t="shared" si="536"/>
        <v>81509010</v>
      </c>
      <c r="BP208" s="18">
        <v>0</v>
      </c>
      <c r="BQ208" s="18">
        <v>0</v>
      </c>
      <c r="BR208" s="18">
        <v>0</v>
      </c>
      <c r="BS208" s="18">
        <v>0</v>
      </c>
      <c r="BT208" s="18">
        <v>0</v>
      </c>
      <c r="BU208" s="18">
        <v>0</v>
      </c>
      <c r="BV208" s="18">
        <v>0</v>
      </c>
      <c r="BW208" s="18">
        <v>0</v>
      </c>
      <c r="BX208" s="21">
        <v>0</v>
      </c>
      <c r="BY208" s="21">
        <f>64134157+22635595-5682782</f>
        <v>81086970</v>
      </c>
      <c r="BZ208" s="21">
        <v>422040</v>
      </c>
      <c r="CA208" s="18">
        <f t="shared" si="537"/>
        <v>0</v>
      </c>
      <c r="CB208" s="18">
        <f t="shared" si="538"/>
        <v>0</v>
      </c>
      <c r="CC208" s="18">
        <f t="shared" si="332"/>
        <v>0</v>
      </c>
      <c r="CD208" s="18">
        <v>0</v>
      </c>
      <c r="CE208" s="18">
        <v>0</v>
      </c>
      <c r="CF208" s="18">
        <f t="shared" si="539"/>
        <v>0</v>
      </c>
      <c r="CG208" s="18">
        <v>0</v>
      </c>
      <c r="CH208" s="18">
        <v>0</v>
      </c>
      <c r="CI208" s="18">
        <v>0</v>
      </c>
      <c r="CJ208" s="18">
        <v>0</v>
      </c>
      <c r="CK208" s="18">
        <f t="shared" si="540"/>
        <v>0</v>
      </c>
      <c r="CL208" s="18">
        <v>0</v>
      </c>
      <c r="CM208" s="18">
        <v>0</v>
      </c>
      <c r="CN208" s="18">
        <v>0</v>
      </c>
      <c r="CO208" s="65"/>
      <c r="CP208" s="65"/>
      <c r="CQ208" s="65"/>
      <c r="CR208" s="65"/>
      <c r="CS208" s="46"/>
    </row>
    <row r="209" spans="1:198" ht="28.2" customHeight="1" x14ac:dyDescent="0.3">
      <c r="A209" s="90" t="s">
        <v>1</v>
      </c>
      <c r="B209" s="19" t="s">
        <v>52</v>
      </c>
      <c r="C209" s="20" t="s">
        <v>263</v>
      </c>
      <c r="D209" s="18">
        <f t="shared" si="528"/>
        <v>5311688</v>
      </c>
      <c r="E209" s="18">
        <f t="shared" si="529"/>
        <v>5311688</v>
      </c>
      <c r="F209" s="18">
        <f t="shared" si="530"/>
        <v>0</v>
      </c>
      <c r="G209" s="21">
        <v>0</v>
      </c>
      <c r="H209" s="21">
        <v>0</v>
      </c>
      <c r="I209" s="18">
        <f>SUM(J209:O209)</f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18">
        <f>SUM(Q209:R209)</f>
        <v>0</v>
      </c>
      <c r="Q209" s="21">
        <v>0</v>
      </c>
      <c r="R209" s="21">
        <v>0</v>
      </c>
      <c r="S209" s="21">
        <v>0</v>
      </c>
      <c r="T209" s="21">
        <v>0</v>
      </c>
      <c r="U209" s="18">
        <f t="shared" si="531"/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  <c r="AB209" s="18">
        <v>0</v>
      </c>
      <c r="AC209" s="18">
        <v>0</v>
      </c>
      <c r="AD209" s="18">
        <v>0</v>
      </c>
      <c r="AE209" s="18">
        <f t="shared" si="532"/>
        <v>0</v>
      </c>
      <c r="AF209" s="18">
        <v>0</v>
      </c>
      <c r="AG209" s="18">
        <v>0</v>
      </c>
      <c r="AH209" s="18">
        <v>0</v>
      </c>
      <c r="AI209" s="18">
        <v>0</v>
      </c>
      <c r="AJ209" s="18">
        <v>0</v>
      </c>
      <c r="AK209" s="18">
        <v>0</v>
      </c>
      <c r="AL209" s="18">
        <v>0</v>
      </c>
      <c r="AM209" s="18">
        <v>0</v>
      </c>
      <c r="AN209" s="18">
        <v>0</v>
      </c>
      <c r="AO209" s="18">
        <v>0</v>
      </c>
      <c r="AP209" s="18">
        <v>0</v>
      </c>
      <c r="AQ209" s="18">
        <v>0</v>
      </c>
      <c r="AR209" s="18">
        <v>0</v>
      </c>
      <c r="AS209" s="18">
        <v>0</v>
      </c>
      <c r="AT209" s="18">
        <v>0</v>
      </c>
      <c r="AU209" s="18">
        <v>0</v>
      </c>
      <c r="AV209" s="18">
        <v>0</v>
      </c>
      <c r="AW209" s="21">
        <v>0</v>
      </c>
      <c r="AX209" s="21">
        <v>0</v>
      </c>
      <c r="AY209" s="21">
        <v>0</v>
      </c>
      <c r="AZ209" s="21">
        <v>0</v>
      </c>
      <c r="BA209" s="18">
        <f t="shared" si="533"/>
        <v>5311688</v>
      </c>
      <c r="BB209" s="18">
        <f t="shared" si="534"/>
        <v>0</v>
      </c>
      <c r="BC209" s="18">
        <v>0</v>
      </c>
      <c r="BD209" s="18">
        <v>0</v>
      </c>
      <c r="BE209" s="18">
        <v>0</v>
      </c>
      <c r="BF209" s="18">
        <f t="shared" si="535"/>
        <v>0</v>
      </c>
      <c r="BG209" s="18">
        <v>0</v>
      </c>
      <c r="BH209" s="18">
        <v>0</v>
      </c>
      <c r="BI209" s="18">
        <v>0</v>
      </c>
      <c r="BJ209" s="18">
        <v>0</v>
      </c>
      <c r="BK209" s="18">
        <v>0</v>
      </c>
      <c r="BL209" s="18">
        <f>SUM(BM209)</f>
        <v>0</v>
      </c>
      <c r="BM209" s="18">
        <v>0</v>
      </c>
      <c r="BN209" s="18">
        <v>0</v>
      </c>
      <c r="BO209" s="18">
        <f t="shared" si="536"/>
        <v>5311688</v>
      </c>
      <c r="BP209" s="18">
        <v>0</v>
      </c>
      <c r="BQ209" s="18">
        <v>0</v>
      </c>
      <c r="BR209" s="18">
        <v>0</v>
      </c>
      <c r="BS209" s="18">
        <v>0</v>
      </c>
      <c r="BT209" s="18">
        <v>0</v>
      </c>
      <c r="BU209" s="18">
        <v>0</v>
      </c>
      <c r="BV209" s="18">
        <v>0</v>
      </c>
      <c r="BW209" s="18">
        <v>0</v>
      </c>
      <c r="BX209" s="21">
        <v>0</v>
      </c>
      <c r="BY209" s="21">
        <f>5311761-73</f>
        <v>5311688</v>
      </c>
      <c r="BZ209" s="21">
        <v>0</v>
      </c>
      <c r="CA209" s="18">
        <f t="shared" si="537"/>
        <v>0</v>
      </c>
      <c r="CB209" s="18">
        <f t="shared" si="538"/>
        <v>0</v>
      </c>
      <c r="CC209" s="18">
        <f>SUM(CD209:CE209)</f>
        <v>0</v>
      </c>
      <c r="CD209" s="18">
        <v>0</v>
      </c>
      <c r="CE209" s="18">
        <v>0</v>
      </c>
      <c r="CF209" s="18">
        <f t="shared" si="539"/>
        <v>0</v>
      </c>
      <c r="CG209" s="18">
        <v>0</v>
      </c>
      <c r="CH209" s="18">
        <v>0</v>
      </c>
      <c r="CI209" s="18">
        <v>0</v>
      </c>
      <c r="CJ209" s="18">
        <v>0</v>
      </c>
      <c r="CK209" s="18">
        <f t="shared" si="540"/>
        <v>0</v>
      </c>
      <c r="CL209" s="18">
        <v>0</v>
      </c>
      <c r="CM209" s="18">
        <v>0</v>
      </c>
      <c r="CN209" s="18">
        <v>0</v>
      </c>
      <c r="CO209" s="65"/>
      <c r="CP209" s="65"/>
      <c r="CQ209" s="65"/>
      <c r="CR209" s="65"/>
      <c r="CS209" s="46"/>
    </row>
    <row r="210" spans="1:198" ht="15.6" x14ac:dyDescent="0.3">
      <c r="A210" s="90" t="s">
        <v>1</v>
      </c>
      <c r="B210" s="19" t="s">
        <v>148</v>
      </c>
      <c r="C210" s="20" t="s">
        <v>149</v>
      </c>
      <c r="D210" s="18">
        <f t="shared" si="528"/>
        <v>863488</v>
      </c>
      <c r="E210" s="18">
        <f t="shared" si="529"/>
        <v>863488</v>
      </c>
      <c r="F210" s="18">
        <f t="shared" si="530"/>
        <v>863488</v>
      </c>
      <c r="G210" s="21">
        <v>840121</v>
      </c>
      <c r="H210" s="21">
        <v>0</v>
      </c>
      <c r="I210" s="18">
        <f t="shared" ref="I210" si="541">SUM(J210:O210)</f>
        <v>0</v>
      </c>
      <c r="J210" s="21">
        <v>0</v>
      </c>
      <c r="K210" s="21">
        <f>7500-7500</f>
        <v>0</v>
      </c>
      <c r="L210" s="21">
        <v>0</v>
      </c>
      <c r="M210" s="21">
        <v>0</v>
      </c>
      <c r="N210" s="21">
        <v>0</v>
      </c>
      <c r="O210" s="21">
        <v>0</v>
      </c>
      <c r="P210" s="18">
        <f t="shared" ref="P210" si="542">SUM(Q210:R210)</f>
        <v>0</v>
      </c>
      <c r="Q210" s="21">
        <v>0</v>
      </c>
      <c r="R210" s="21">
        <v>0</v>
      </c>
      <c r="S210" s="21">
        <v>0</v>
      </c>
      <c r="T210" s="21">
        <v>0</v>
      </c>
      <c r="U210" s="18">
        <f t="shared" si="531"/>
        <v>0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  <c r="AB210" s="18">
        <v>0</v>
      </c>
      <c r="AC210" s="18">
        <v>0</v>
      </c>
      <c r="AD210" s="18">
        <v>0</v>
      </c>
      <c r="AE210" s="18">
        <f t="shared" si="532"/>
        <v>23367</v>
      </c>
      <c r="AF210" s="18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v>0</v>
      </c>
      <c r="AL210" s="18">
        <v>0</v>
      </c>
      <c r="AM210" s="18">
        <v>0</v>
      </c>
      <c r="AN210" s="18">
        <v>0</v>
      </c>
      <c r="AO210" s="18">
        <v>0</v>
      </c>
      <c r="AP210" s="18">
        <v>0</v>
      </c>
      <c r="AQ210" s="18">
        <v>0</v>
      </c>
      <c r="AR210" s="18">
        <v>0</v>
      </c>
      <c r="AS210" s="18">
        <v>0</v>
      </c>
      <c r="AT210" s="18">
        <v>0</v>
      </c>
      <c r="AU210" s="18">
        <v>0</v>
      </c>
      <c r="AV210" s="18">
        <v>0</v>
      </c>
      <c r="AW210" s="21">
        <v>23367</v>
      </c>
      <c r="AX210" s="21">
        <v>0</v>
      </c>
      <c r="AY210" s="21">
        <v>0</v>
      </c>
      <c r="AZ210" s="21">
        <v>0</v>
      </c>
      <c r="BA210" s="18">
        <f t="shared" si="533"/>
        <v>0</v>
      </c>
      <c r="BB210" s="18">
        <f t="shared" si="534"/>
        <v>0</v>
      </c>
      <c r="BC210" s="18">
        <v>0</v>
      </c>
      <c r="BD210" s="18">
        <v>0</v>
      </c>
      <c r="BE210" s="18">
        <v>0</v>
      </c>
      <c r="BF210" s="18">
        <f t="shared" si="535"/>
        <v>0</v>
      </c>
      <c r="BG210" s="18">
        <v>0</v>
      </c>
      <c r="BH210" s="18">
        <v>0</v>
      </c>
      <c r="BI210" s="18">
        <v>0</v>
      </c>
      <c r="BJ210" s="18">
        <v>0</v>
      </c>
      <c r="BK210" s="18">
        <v>0</v>
      </c>
      <c r="BL210" s="18">
        <f t="shared" ref="BL210" si="543">SUM(BM210)</f>
        <v>0</v>
      </c>
      <c r="BM210" s="18">
        <v>0</v>
      </c>
      <c r="BN210" s="18">
        <v>0</v>
      </c>
      <c r="BO210" s="18">
        <f t="shared" si="536"/>
        <v>0</v>
      </c>
      <c r="BP210" s="18">
        <v>0</v>
      </c>
      <c r="BQ210" s="18">
        <v>0</v>
      </c>
      <c r="BR210" s="18">
        <v>0</v>
      </c>
      <c r="BS210" s="18">
        <v>0</v>
      </c>
      <c r="BT210" s="18">
        <v>0</v>
      </c>
      <c r="BU210" s="18">
        <v>0</v>
      </c>
      <c r="BV210" s="18">
        <v>0</v>
      </c>
      <c r="BW210" s="18">
        <v>0</v>
      </c>
      <c r="BX210" s="21">
        <v>0</v>
      </c>
      <c r="BY210" s="21">
        <v>0</v>
      </c>
      <c r="BZ210" s="21">
        <v>0</v>
      </c>
      <c r="CA210" s="18">
        <f t="shared" si="537"/>
        <v>0</v>
      </c>
      <c r="CB210" s="18">
        <f t="shared" si="538"/>
        <v>0</v>
      </c>
      <c r="CC210" s="18">
        <f t="shared" ref="CC210" si="544">SUM(CD210:CE210)</f>
        <v>0</v>
      </c>
      <c r="CD210" s="18">
        <v>0</v>
      </c>
      <c r="CE210" s="18"/>
      <c r="CF210" s="18">
        <f t="shared" si="539"/>
        <v>0</v>
      </c>
      <c r="CG210" s="18">
        <v>0</v>
      </c>
      <c r="CH210" s="18">
        <v>0</v>
      </c>
      <c r="CI210" s="18">
        <v>0</v>
      </c>
      <c r="CJ210" s="18">
        <v>0</v>
      </c>
      <c r="CK210" s="18">
        <f t="shared" si="540"/>
        <v>0</v>
      </c>
      <c r="CL210" s="18">
        <v>0</v>
      </c>
      <c r="CM210" s="18">
        <v>0</v>
      </c>
      <c r="CN210" s="18">
        <v>0</v>
      </c>
      <c r="CO210" s="65"/>
      <c r="CP210" s="65"/>
      <c r="CQ210" s="65"/>
      <c r="CR210" s="65"/>
      <c r="CS210" s="46"/>
      <c r="GP210" s="52"/>
    </row>
    <row r="211" spans="1:198" ht="31.2" x14ac:dyDescent="0.3">
      <c r="A211" s="89" t="s">
        <v>266</v>
      </c>
      <c r="B211" s="15" t="s">
        <v>1</v>
      </c>
      <c r="C211" s="16" t="s">
        <v>322</v>
      </c>
      <c r="D211" s="17">
        <f t="shared" ref="D211:AS211" si="545">SUM(D212:D221)</f>
        <v>195712492</v>
      </c>
      <c r="E211" s="17">
        <f t="shared" si="545"/>
        <v>195712492</v>
      </c>
      <c r="F211" s="17">
        <f t="shared" si="545"/>
        <v>195712492</v>
      </c>
      <c r="G211" s="17">
        <f t="shared" si="545"/>
        <v>0</v>
      </c>
      <c r="H211" s="17">
        <f t="shared" si="545"/>
        <v>0</v>
      </c>
      <c r="I211" s="17">
        <f t="shared" si="545"/>
        <v>0</v>
      </c>
      <c r="J211" s="17">
        <f t="shared" si="545"/>
        <v>0</v>
      </c>
      <c r="K211" s="17">
        <f t="shared" si="545"/>
        <v>0</v>
      </c>
      <c r="L211" s="17">
        <f t="shared" si="545"/>
        <v>0</v>
      </c>
      <c r="M211" s="17">
        <f t="shared" si="545"/>
        <v>0</v>
      </c>
      <c r="N211" s="17">
        <f t="shared" si="545"/>
        <v>0</v>
      </c>
      <c r="O211" s="17">
        <f t="shared" si="545"/>
        <v>0</v>
      </c>
      <c r="P211" s="17">
        <f t="shared" si="545"/>
        <v>0</v>
      </c>
      <c r="Q211" s="17">
        <f t="shared" si="545"/>
        <v>0</v>
      </c>
      <c r="R211" s="17">
        <f t="shared" si="545"/>
        <v>0</v>
      </c>
      <c r="S211" s="17">
        <f t="shared" si="545"/>
        <v>0</v>
      </c>
      <c r="T211" s="17">
        <f t="shared" si="545"/>
        <v>0</v>
      </c>
      <c r="U211" s="17">
        <f t="shared" si="545"/>
        <v>195712492</v>
      </c>
      <c r="V211" s="17">
        <f t="shared" si="545"/>
        <v>0</v>
      </c>
      <c r="W211" s="17">
        <f t="shared" si="545"/>
        <v>0</v>
      </c>
      <c r="X211" s="17">
        <f t="shared" si="545"/>
        <v>0</v>
      </c>
      <c r="Y211" s="17">
        <f t="shared" si="545"/>
        <v>0</v>
      </c>
      <c r="Z211" s="17">
        <f t="shared" si="545"/>
        <v>0</v>
      </c>
      <c r="AA211" s="17">
        <f t="shared" si="545"/>
        <v>0</v>
      </c>
      <c r="AB211" s="17">
        <f t="shared" si="545"/>
        <v>195712492</v>
      </c>
      <c r="AC211" s="17">
        <f t="shared" si="545"/>
        <v>0</v>
      </c>
      <c r="AD211" s="17">
        <f t="shared" si="545"/>
        <v>0</v>
      </c>
      <c r="AE211" s="17">
        <f t="shared" si="545"/>
        <v>0</v>
      </c>
      <c r="AF211" s="17">
        <f t="shared" si="545"/>
        <v>0</v>
      </c>
      <c r="AG211" s="17">
        <f t="shared" si="545"/>
        <v>0</v>
      </c>
      <c r="AH211" s="17">
        <f t="shared" si="545"/>
        <v>0</v>
      </c>
      <c r="AI211" s="17">
        <f t="shared" si="545"/>
        <v>0</v>
      </c>
      <c r="AJ211" s="17">
        <f t="shared" si="545"/>
        <v>0</v>
      </c>
      <c r="AK211" s="17">
        <f t="shared" si="545"/>
        <v>0</v>
      </c>
      <c r="AL211" s="17">
        <f t="shared" si="545"/>
        <v>0</v>
      </c>
      <c r="AM211" s="17">
        <f t="shared" si="545"/>
        <v>0</v>
      </c>
      <c r="AN211" s="17">
        <f t="shared" si="545"/>
        <v>0</v>
      </c>
      <c r="AO211" s="17">
        <f t="shared" si="545"/>
        <v>0</v>
      </c>
      <c r="AP211" s="17">
        <f t="shared" si="545"/>
        <v>0</v>
      </c>
      <c r="AQ211" s="17">
        <f t="shared" si="545"/>
        <v>0</v>
      </c>
      <c r="AR211" s="17">
        <f t="shared" si="545"/>
        <v>0</v>
      </c>
      <c r="AS211" s="17">
        <f t="shared" si="545"/>
        <v>0</v>
      </c>
      <c r="AT211" s="17"/>
      <c r="AU211" s="17"/>
      <c r="AV211" s="17">
        <f>SUM(AV212:AV221)</f>
        <v>0</v>
      </c>
      <c r="AW211" s="17">
        <f>SUM(AW212:AW221)</f>
        <v>0</v>
      </c>
      <c r="AX211" s="17">
        <f>SUM(AX212:AX221)</f>
        <v>0</v>
      </c>
      <c r="AY211" s="17"/>
      <c r="AZ211" s="17">
        <f t="shared" ref="AZ211:CM211" si="546">SUM(AZ212:AZ221)</f>
        <v>0</v>
      </c>
      <c r="BA211" s="17">
        <f t="shared" si="546"/>
        <v>0</v>
      </c>
      <c r="BB211" s="17">
        <f t="shared" si="546"/>
        <v>0</v>
      </c>
      <c r="BC211" s="17">
        <f t="shared" si="546"/>
        <v>0</v>
      </c>
      <c r="BD211" s="17">
        <f t="shared" si="546"/>
        <v>0</v>
      </c>
      <c r="BE211" s="17">
        <f t="shared" si="546"/>
        <v>0</v>
      </c>
      <c r="BF211" s="17">
        <f t="shared" si="546"/>
        <v>0</v>
      </c>
      <c r="BG211" s="17">
        <f t="shared" si="546"/>
        <v>0</v>
      </c>
      <c r="BH211" s="17">
        <f t="shared" ref="BH211" si="547">SUM(BH212:BH221)</f>
        <v>0</v>
      </c>
      <c r="BI211" s="17">
        <f t="shared" si="546"/>
        <v>0</v>
      </c>
      <c r="BJ211" s="17">
        <f t="shared" si="546"/>
        <v>0</v>
      </c>
      <c r="BK211" s="17">
        <f t="shared" ref="BK211" si="548">SUM(BK212:BK221)</f>
        <v>0</v>
      </c>
      <c r="BL211" s="17">
        <f t="shared" si="546"/>
        <v>0</v>
      </c>
      <c r="BM211" s="17">
        <f t="shared" si="546"/>
        <v>0</v>
      </c>
      <c r="BN211" s="17">
        <f t="shared" si="546"/>
        <v>0</v>
      </c>
      <c r="BO211" s="17">
        <f t="shared" si="546"/>
        <v>0</v>
      </c>
      <c r="BP211" s="17">
        <f t="shared" si="546"/>
        <v>0</v>
      </c>
      <c r="BQ211" s="17">
        <f t="shared" si="546"/>
        <v>0</v>
      </c>
      <c r="BR211" s="17">
        <f t="shared" si="546"/>
        <v>0</v>
      </c>
      <c r="BS211" s="17">
        <f t="shared" si="546"/>
        <v>0</v>
      </c>
      <c r="BT211" s="17">
        <f t="shared" si="546"/>
        <v>0</v>
      </c>
      <c r="BU211" s="17">
        <f t="shared" si="546"/>
        <v>0</v>
      </c>
      <c r="BV211" s="17">
        <f t="shared" si="546"/>
        <v>0</v>
      </c>
      <c r="BW211" s="17">
        <f t="shared" si="546"/>
        <v>0</v>
      </c>
      <c r="BX211" s="17">
        <f t="shared" si="546"/>
        <v>0</v>
      </c>
      <c r="BY211" s="17">
        <f t="shared" si="546"/>
        <v>0</v>
      </c>
      <c r="BZ211" s="17">
        <f t="shared" si="546"/>
        <v>0</v>
      </c>
      <c r="CA211" s="17">
        <f t="shared" si="546"/>
        <v>0</v>
      </c>
      <c r="CB211" s="17">
        <f t="shared" si="546"/>
        <v>0</v>
      </c>
      <c r="CC211" s="17">
        <f t="shared" si="546"/>
        <v>0</v>
      </c>
      <c r="CD211" s="17">
        <f t="shared" si="546"/>
        <v>0</v>
      </c>
      <c r="CE211" s="17">
        <f t="shared" si="546"/>
        <v>0</v>
      </c>
      <c r="CF211" s="17">
        <f t="shared" si="546"/>
        <v>0</v>
      </c>
      <c r="CG211" s="17">
        <f t="shared" si="546"/>
        <v>0</v>
      </c>
      <c r="CH211" s="17">
        <f t="shared" si="546"/>
        <v>0</v>
      </c>
      <c r="CI211" s="17">
        <f t="shared" si="546"/>
        <v>0</v>
      </c>
      <c r="CJ211" s="17">
        <f t="shared" ref="CJ211" si="549">SUM(CJ212:CJ221)</f>
        <v>0</v>
      </c>
      <c r="CK211" s="17">
        <f t="shared" si="546"/>
        <v>0</v>
      </c>
      <c r="CL211" s="17">
        <f t="shared" si="546"/>
        <v>0</v>
      </c>
      <c r="CM211" s="17">
        <f t="shared" si="546"/>
        <v>0</v>
      </c>
      <c r="CN211" s="17">
        <f t="shared" ref="CN211" si="550">SUM(CN212:CN221)</f>
        <v>0</v>
      </c>
      <c r="CO211" s="64"/>
      <c r="CP211" s="64"/>
      <c r="CQ211" s="64"/>
      <c r="CR211" s="64"/>
      <c r="CS211" s="51"/>
    </row>
    <row r="212" spans="1:198" ht="31.2" x14ac:dyDescent="0.3">
      <c r="A212" s="90" t="s">
        <v>1</v>
      </c>
      <c r="B212" s="30" t="s">
        <v>50</v>
      </c>
      <c r="C212" s="27" t="s">
        <v>526</v>
      </c>
      <c r="D212" s="18">
        <f t="shared" ref="D212:D220" si="551">SUM(E212+CA212)</f>
        <v>168450297</v>
      </c>
      <c r="E212" s="18">
        <f t="shared" ref="E212:E221" si="552">SUM(F212+BA212)</f>
        <v>168450297</v>
      </c>
      <c r="F212" s="18">
        <f t="shared" ref="F212:F221" si="553">SUM(G212+H212+I212+P212+S212+T212+U212+AE212+AD212)</f>
        <v>168450297</v>
      </c>
      <c r="G212" s="18">
        <v>0</v>
      </c>
      <c r="H212" s="18">
        <v>0</v>
      </c>
      <c r="I212" s="18">
        <f t="shared" ref="I212:I221" si="554">SUM(J212:O212)</f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  <c r="O212" s="18">
        <v>0</v>
      </c>
      <c r="P212" s="18">
        <f t="shared" ref="P212:P221" si="555">SUM(Q212:R212)</f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f t="shared" ref="U212:U221" si="556">SUM(V212:AC212)</f>
        <v>168450297</v>
      </c>
      <c r="V212" s="18">
        <v>0</v>
      </c>
      <c r="W212" s="18">
        <v>0</v>
      </c>
      <c r="X212" s="18">
        <v>0</v>
      </c>
      <c r="Y212" s="18">
        <v>0</v>
      </c>
      <c r="Z212" s="18">
        <v>0</v>
      </c>
      <c r="AA212" s="18">
        <v>0</v>
      </c>
      <c r="AB212" s="21">
        <f>84016776+84433521</f>
        <v>168450297</v>
      </c>
      <c r="AC212" s="18">
        <v>0</v>
      </c>
      <c r="AD212" s="18">
        <v>0</v>
      </c>
      <c r="AE212" s="18">
        <f t="shared" ref="AE212:AE221" si="557">SUM(AF212:AZ212)</f>
        <v>0</v>
      </c>
      <c r="AF212" s="18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v>0</v>
      </c>
      <c r="AL212" s="18">
        <v>0</v>
      </c>
      <c r="AM212" s="18">
        <v>0</v>
      </c>
      <c r="AN212" s="18">
        <v>0</v>
      </c>
      <c r="AO212" s="18">
        <v>0</v>
      </c>
      <c r="AP212" s="18">
        <v>0</v>
      </c>
      <c r="AQ212" s="18">
        <v>0</v>
      </c>
      <c r="AR212" s="18">
        <v>0</v>
      </c>
      <c r="AS212" s="18">
        <v>0</v>
      </c>
      <c r="AT212" s="18"/>
      <c r="AU212" s="18"/>
      <c r="AV212" s="18">
        <v>0</v>
      </c>
      <c r="AW212" s="18">
        <v>0</v>
      </c>
      <c r="AX212" s="18">
        <v>0</v>
      </c>
      <c r="AY212" s="18"/>
      <c r="AZ212" s="18">
        <v>0</v>
      </c>
      <c r="BA212" s="18">
        <f t="shared" ref="BA212:BA221" si="558">SUM(BB212+BF212+BJ212+BL212+BO212)</f>
        <v>0</v>
      </c>
      <c r="BB212" s="18">
        <f t="shared" ref="BB212:BB221" si="559">SUM(BC212:BE212)</f>
        <v>0</v>
      </c>
      <c r="BC212" s="18">
        <v>0</v>
      </c>
      <c r="BD212" s="18">
        <v>0</v>
      </c>
      <c r="BE212" s="18">
        <v>0</v>
      </c>
      <c r="BF212" s="18">
        <f t="shared" ref="BF212:BF221" si="560">SUM(BI212:BI212)</f>
        <v>0</v>
      </c>
      <c r="BG212" s="18">
        <v>0</v>
      </c>
      <c r="BH212" s="18">
        <v>0</v>
      </c>
      <c r="BI212" s="18">
        <v>0</v>
      </c>
      <c r="BJ212" s="18">
        <v>0</v>
      </c>
      <c r="BK212" s="18">
        <v>0</v>
      </c>
      <c r="BL212" s="18">
        <f t="shared" ref="BL212:BL221" si="561">SUM(BM212)</f>
        <v>0</v>
      </c>
      <c r="BM212" s="18">
        <v>0</v>
      </c>
      <c r="BN212" s="18">
        <v>0</v>
      </c>
      <c r="BO212" s="18">
        <f t="shared" ref="BO212:BO221" si="562">SUM(BP212:BZ212)</f>
        <v>0</v>
      </c>
      <c r="BP212" s="18">
        <v>0</v>
      </c>
      <c r="BQ212" s="18">
        <v>0</v>
      </c>
      <c r="BR212" s="18">
        <v>0</v>
      </c>
      <c r="BS212" s="18">
        <v>0</v>
      </c>
      <c r="BT212" s="18">
        <v>0</v>
      </c>
      <c r="BU212" s="18">
        <v>0</v>
      </c>
      <c r="BV212" s="18">
        <v>0</v>
      </c>
      <c r="BW212" s="18">
        <v>0</v>
      </c>
      <c r="BX212" s="18">
        <v>0</v>
      </c>
      <c r="BY212" s="18">
        <v>0</v>
      </c>
      <c r="BZ212" s="18">
        <v>0</v>
      </c>
      <c r="CA212" s="18">
        <f t="shared" ref="CA212:CA221" si="563">SUM(CB212+CN212)</f>
        <v>0</v>
      </c>
      <c r="CB212" s="18">
        <f t="shared" ref="CB212:CB221" si="564">SUM(CC212+CF212+CK212)</f>
        <v>0</v>
      </c>
      <c r="CC212" s="18">
        <f t="shared" ref="CC212:CC221" si="565">SUM(CD212:CE212)</f>
        <v>0</v>
      </c>
      <c r="CD212" s="18">
        <v>0</v>
      </c>
      <c r="CE212" s="18">
        <v>0</v>
      </c>
      <c r="CF212" s="18">
        <f t="shared" ref="CF212:CF221" si="566">SUM(CG212:CJ212)</f>
        <v>0</v>
      </c>
      <c r="CG212" s="18">
        <v>0</v>
      </c>
      <c r="CH212" s="18">
        <v>0</v>
      </c>
      <c r="CI212" s="18">
        <v>0</v>
      </c>
      <c r="CJ212" s="18">
        <v>0</v>
      </c>
      <c r="CK212" s="18">
        <f t="shared" ref="CK212:CK221" si="567">SUM(CL212:CM212)</f>
        <v>0</v>
      </c>
      <c r="CL212" s="18">
        <v>0</v>
      </c>
      <c r="CM212" s="18">
        <v>0</v>
      </c>
      <c r="CN212" s="18">
        <v>0</v>
      </c>
      <c r="CO212" s="65"/>
      <c r="CP212" s="65"/>
      <c r="CQ212" s="65"/>
      <c r="CR212" s="65"/>
      <c r="CS212" s="46"/>
    </row>
    <row r="213" spans="1:198" ht="15.6" x14ac:dyDescent="0.3">
      <c r="A213" s="90" t="s">
        <v>1</v>
      </c>
      <c r="B213" s="30" t="s">
        <v>267</v>
      </c>
      <c r="C213" s="27" t="s">
        <v>323</v>
      </c>
      <c r="D213" s="18">
        <f t="shared" si="551"/>
        <v>15223838</v>
      </c>
      <c r="E213" s="18">
        <f t="shared" si="552"/>
        <v>15223838</v>
      </c>
      <c r="F213" s="18">
        <f t="shared" si="553"/>
        <v>15223838</v>
      </c>
      <c r="G213" s="18">
        <v>0</v>
      </c>
      <c r="H213" s="18">
        <v>0</v>
      </c>
      <c r="I213" s="18">
        <f t="shared" si="554"/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f t="shared" si="555"/>
        <v>0</v>
      </c>
      <c r="Q213" s="18">
        <v>0</v>
      </c>
      <c r="R213" s="18">
        <v>0</v>
      </c>
      <c r="S213" s="18">
        <v>0</v>
      </c>
      <c r="T213" s="18">
        <v>0</v>
      </c>
      <c r="U213" s="18">
        <f t="shared" si="556"/>
        <v>15223838</v>
      </c>
      <c r="V213" s="18">
        <v>0</v>
      </c>
      <c r="W213" s="18">
        <v>0</v>
      </c>
      <c r="X213" s="18">
        <v>0</v>
      </c>
      <c r="Y213" s="18">
        <v>0</v>
      </c>
      <c r="Z213" s="18">
        <v>0</v>
      </c>
      <c r="AA213" s="18">
        <v>0</v>
      </c>
      <c r="AB213" s="21">
        <v>15223838</v>
      </c>
      <c r="AC213" s="18">
        <v>0</v>
      </c>
      <c r="AD213" s="18">
        <v>0</v>
      </c>
      <c r="AE213" s="18">
        <f t="shared" si="557"/>
        <v>0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v>0</v>
      </c>
      <c r="AL213" s="18">
        <v>0</v>
      </c>
      <c r="AM213" s="18">
        <v>0</v>
      </c>
      <c r="AN213" s="18">
        <v>0</v>
      </c>
      <c r="AO213" s="18">
        <v>0</v>
      </c>
      <c r="AP213" s="18">
        <v>0</v>
      </c>
      <c r="AQ213" s="18">
        <v>0</v>
      </c>
      <c r="AR213" s="18">
        <v>0</v>
      </c>
      <c r="AS213" s="18">
        <v>0</v>
      </c>
      <c r="AT213" s="18"/>
      <c r="AU213" s="18"/>
      <c r="AV213" s="18">
        <v>0</v>
      </c>
      <c r="AW213" s="18">
        <v>0</v>
      </c>
      <c r="AX213" s="18">
        <v>0</v>
      </c>
      <c r="AY213" s="18"/>
      <c r="AZ213" s="18">
        <v>0</v>
      </c>
      <c r="BA213" s="18">
        <f t="shared" si="558"/>
        <v>0</v>
      </c>
      <c r="BB213" s="18">
        <f t="shared" si="559"/>
        <v>0</v>
      </c>
      <c r="BC213" s="18">
        <v>0</v>
      </c>
      <c r="BD213" s="18">
        <v>0</v>
      </c>
      <c r="BE213" s="18">
        <v>0</v>
      </c>
      <c r="BF213" s="18">
        <f t="shared" si="560"/>
        <v>0</v>
      </c>
      <c r="BG213" s="18">
        <v>0</v>
      </c>
      <c r="BH213" s="18">
        <v>0</v>
      </c>
      <c r="BI213" s="18">
        <v>0</v>
      </c>
      <c r="BJ213" s="18">
        <v>0</v>
      </c>
      <c r="BK213" s="18">
        <v>0</v>
      </c>
      <c r="BL213" s="18">
        <f t="shared" si="561"/>
        <v>0</v>
      </c>
      <c r="BM213" s="18">
        <v>0</v>
      </c>
      <c r="BN213" s="18">
        <v>0</v>
      </c>
      <c r="BO213" s="18">
        <f t="shared" si="562"/>
        <v>0</v>
      </c>
      <c r="BP213" s="18">
        <v>0</v>
      </c>
      <c r="BQ213" s="18">
        <v>0</v>
      </c>
      <c r="BR213" s="18">
        <v>0</v>
      </c>
      <c r="BS213" s="18">
        <v>0</v>
      </c>
      <c r="BT213" s="18">
        <v>0</v>
      </c>
      <c r="BU213" s="18">
        <v>0</v>
      </c>
      <c r="BV213" s="18">
        <v>0</v>
      </c>
      <c r="BW213" s="18">
        <v>0</v>
      </c>
      <c r="BX213" s="18">
        <v>0</v>
      </c>
      <c r="BY213" s="18">
        <v>0</v>
      </c>
      <c r="BZ213" s="18">
        <v>0</v>
      </c>
      <c r="CA213" s="18">
        <f t="shared" si="563"/>
        <v>0</v>
      </c>
      <c r="CB213" s="18">
        <f t="shared" si="564"/>
        <v>0</v>
      </c>
      <c r="CC213" s="18">
        <f t="shared" si="565"/>
        <v>0</v>
      </c>
      <c r="CD213" s="18">
        <v>0</v>
      </c>
      <c r="CE213" s="18">
        <v>0</v>
      </c>
      <c r="CF213" s="18">
        <f t="shared" si="566"/>
        <v>0</v>
      </c>
      <c r="CG213" s="18">
        <v>0</v>
      </c>
      <c r="CH213" s="18">
        <v>0</v>
      </c>
      <c r="CI213" s="18">
        <v>0</v>
      </c>
      <c r="CJ213" s="18">
        <v>0</v>
      </c>
      <c r="CK213" s="18">
        <f t="shared" si="567"/>
        <v>0</v>
      </c>
      <c r="CL213" s="18">
        <v>0</v>
      </c>
      <c r="CM213" s="18">
        <v>0</v>
      </c>
      <c r="CN213" s="18">
        <v>0</v>
      </c>
      <c r="CO213" s="65"/>
      <c r="CP213" s="65"/>
      <c r="CQ213" s="65"/>
      <c r="CR213" s="65"/>
      <c r="CS213" s="46"/>
    </row>
    <row r="214" spans="1:198" ht="31.2" x14ac:dyDescent="0.3">
      <c r="A214" s="90" t="s">
        <v>1</v>
      </c>
      <c r="B214" s="30" t="s">
        <v>267</v>
      </c>
      <c r="C214" s="27" t="s">
        <v>324</v>
      </c>
      <c r="D214" s="18">
        <f t="shared" si="551"/>
        <v>315064</v>
      </c>
      <c r="E214" s="18">
        <f t="shared" si="552"/>
        <v>315064</v>
      </c>
      <c r="F214" s="18">
        <f t="shared" si="553"/>
        <v>315064</v>
      </c>
      <c r="G214" s="18">
        <v>0</v>
      </c>
      <c r="H214" s="18">
        <v>0</v>
      </c>
      <c r="I214" s="18">
        <f t="shared" si="554"/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f t="shared" si="555"/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f t="shared" si="556"/>
        <v>315064</v>
      </c>
      <c r="V214" s="18">
        <v>0</v>
      </c>
      <c r="W214" s="18">
        <v>0</v>
      </c>
      <c r="X214" s="18">
        <v>0</v>
      </c>
      <c r="Y214" s="18">
        <v>0</v>
      </c>
      <c r="Z214" s="18">
        <v>0</v>
      </c>
      <c r="AA214" s="18">
        <v>0</v>
      </c>
      <c r="AB214" s="21">
        <v>315064</v>
      </c>
      <c r="AC214" s="18">
        <v>0</v>
      </c>
      <c r="AD214" s="18">
        <v>0</v>
      </c>
      <c r="AE214" s="18">
        <f t="shared" si="557"/>
        <v>0</v>
      </c>
      <c r="AF214" s="18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v>0</v>
      </c>
      <c r="AL214" s="18">
        <v>0</v>
      </c>
      <c r="AM214" s="18">
        <v>0</v>
      </c>
      <c r="AN214" s="18">
        <v>0</v>
      </c>
      <c r="AO214" s="18">
        <v>0</v>
      </c>
      <c r="AP214" s="18">
        <v>0</v>
      </c>
      <c r="AQ214" s="18">
        <v>0</v>
      </c>
      <c r="AR214" s="18">
        <v>0</v>
      </c>
      <c r="AS214" s="18">
        <v>0</v>
      </c>
      <c r="AT214" s="18"/>
      <c r="AU214" s="18"/>
      <c r="AV214" s="18">
        <v>0</v>
      </c>
      <c r="AW214" s="18">
        <v>0</v>
      </c>
      <c r="AX214" s="18">
        <v>0</v>
      </c>
      <c r="AY214" s="18"/>
      <c r="AZ214" s="18">
        <v>0</v>
      </c>
      <c r="BA214" s="18">
        <f t="shared" si="558"/>
        <v>0</v>
      </c>
      <c r="BB214" s="18">
        <f t="shared" si="559"/>
        <v>0</v>
      </c>
      <c r="BC214" s="18">
        <v>0</v>
      </c>
      <c r="BD214" s="18">
        <v>0</v>
      </c>
      <c r="BE214" s="18">
        <v>0</v>
      </c>
      <c r="BF214" s="18">
        <f t="shared" si="560"/>
        <v>0</v>
      </c>
      <c r="BG214" s="18">
        <v>0</v>
      </c>
      <c r="BH214" s="18">
        <v>0</v>
      </c>
      <c r="BI214" s="18">
        <v>0</v>
      </c>
      <c r="BJ214" s="18">
        <v>0</v>
      </c>
      <c r="BK214" s="18">
        <v>0</v>
      </c>
      <c r="BL214" s="18">
        <f t="shared" si="561"/>
        <v>0</v>
      </c>
      <c r="BM214" s="18">
        <v>0</v>
      </c>
      <c r="BN214" s="18">
        <v>0</v>
      </c>
      <c r="BO214" s="18">
        <f t="shared" si="562"/>
        <v>0</v>
      </c>
      <c r="BP214" s="18">
        <v>0</v>
      </c>
      <c r="BQ214" s="18">
        <v>0</v>
      </c>
      <c r="BR214" s="18">
        <v>0</v>
      </c>
      <c r="BS214" s="18">
        <v>0</v>
      </c>
      <c r="BT214" s="18">
        <v>0</v>
      </c>
      <c r="BU214" s="18">
        <v>0</v>
      </c>
      <c r="BV214" s="18">
        <v>0</v>
      </c>
      <c r="BW214" s="18">
        <v>0</v>
      </c>
      <c r="BX214" s="18">
        <v>0</v>
      </c>
      <c r="BY214" s="18">
        <v>0</v>
      </c>
      <c r="BZ214" s="18">
        <v>0</v>
      </c>
      <c r="CA214" s="18">
        <f t="shared" si="563"/>
        <v>0</v>
      </c>
      <c r="CB214" s="18">
        <f t="shared" si="564"/>
        <v>0</v>
      </c>
      <c r="CC214" s="18">
        <f t="shared" si="565"/>
        <v>0</v>
      </c>
      <c r="CD214" s="18">
        <v>0</v>
      </c>
      <c r="CE214" s="18">
        <v>0</v>
      </c>
      <c r="CF214" s="18">
        <f t="shared" si="566"/>
        <v>0</v>
      </c>
      <c r="CG214" s="18">
        <v>0</v>
      </c>
      <c r="CH214" s="18">
        <v>0</v>
      </c>
      <c r="CI214" s="18">
        <v>0</v>
      </c>
      <c r="CJ214" s="18">
        <v>0</v>
      </c>
      <c r="CK214" s="18">
        <f t="shared" si="567"/>
        <v>0</v>
      </c>
      <c r="CL214" s="18">
        <v>0</v>
      </c>
      <c r="CM214" s="18">
        <v>0</v>
      </c>
      <c r="CN214" s="18">
        <v>0</v>
      </c>
      <c r="CO214" s="65"/>
      <c r="CP214" s="65"/>
      <c r="CQ214" s="65"/>
      <c r="CR214" s="65"/>
      <c r="CS214" s="46"/>
    </row>
    <row r="215" spans="1:198" ht="19.8" customHeight="1" x14ac:dyDescent="0.3">
      <c r="A215" s="90" t="s">
        <v>1</v>
      </c>
      <c r="B215" s="30" t="s">
        <v>267</v>
      </c>
      <c r="C215" s="27" t="s">
        <v>325</v>
      </c>
      <c r="D215" s="18">
        <f t="shared" si="551"/>
        <v>231193</v>
      </c>
      <c r="E215" s="18">
        <f t="shared" si="552"/>
        <v>231193</v>
      </c>
      <c r="F215" s="18">
        <f t="shared" si="553"/>
        <v>231193</v>
      </c>
      <c r="G215" s="18">
        <v>0</v>
      </c>
      <c r="H215" s="18">
        <v>0</v>
      </c>
      <c r="I215" s="18">
        <f t="shared" si="554"/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f t="shared" si="555"/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f t="shared" si="556"/>
        <v>231193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18">
        <v>0</v>
      </c>
      <c r="AB215" s="21">
        <v>231193</v>
      </c>
      <c r="AC215" s="18">
        <v>0</v>
      </c>
      <c r="AD215" s="18">
        <v>0</v>
      </c>
      <c r="AE215" s="18">
        <f t="shared" si="557"/>
        <v>0</v>
      </c>
      <c r="AF215" s="18">
        <v>0</v>
      </c>
      <c r="AG215" s="18">
        <v>0</v>
      </c>
      <c r="AH215" s="18">
        <v>0</v>
      </c>
      <c r="AI215" s="18">
        <v>0</v>
      </c>
      <c r="AJ215" s="18">
        <v>0</v>
      </c>
      <c r="AK215" s="18">
        <v>0</v>
      </c>
      <c r="AL215" s="18">
        <v>0</v>
      </c>
      <c r="AM215" s="18">
        <v>0</v>
      </c>
      <c r="AN215" s="18">
        <v>0</v>
      </c>
      <c r="AO215" s="18">
        <v>0</v>
      </c>
      <c r="AP215" s="18">
        <v>0</v>
      </c>
      <c r="AQ215" s="18">
        <v>0</v>
      </c>
      <c r="AR215" s="18">
        <v>0</v>
      </c>
      <c r="AS215" s="18">
        <v>0</v>
      </c>
      <c r="AT215" s="18"/>
      <c r="AU215" s="18"/>
      <c r="AV215" s="18">
        <v>0</v>
      </c>
      <c r="AW215" s="18">
        <v>0</v>
      </c>
      <c r="AX215" s="18">
        <v>0</v>
      </c>
      <c r="AY215" s="18"/>
      <c r="AZ215" s="18">
        <v>0</v>
      </c>
      <c r="BA215" s="18">
        <f t="shared" si="558"/>
        <v>0</v>
      </c>
      <c r="BB215" s="18">
        <f t="shared" si="559"/>
        <v>0</v>
      </c>
      <c r="BC215" s="18">
        <v>0</v>
      </c>
      <c r="BD215" s="18">
        <v>0</v>
      </c>
      <c r="BE215" s="18">
        <v>0</v>
      </c>
      <c r="BF215" s="18">
        <f t="shared" si="560"/>
        <v>0</v>
      </c>
      <c r="BG215" s="18">
        <v>0</v>
      </c>
      <c r="BH215" s="18">
        <v>0</v>
      </c>
      <c r="BI215" s="18">
        <v>0</v>
      </c>
      <c r="BJ215" s="18">
        <v>0</v>
      </c>
      <c r="BK215" s="18">
        <v>0</v>
      </c>
      <c r="BL215" s="18">
        <f t="shared" si="561"/>
        <v>0</v>
      </c>
      <c r="BM215" s="18">
        <v>0</v>
      </c>
      <c r="BN215" s="18">
        <v>0</v>
      </c>
      <c r="BO215" s="18">
        <f t="shared" si="562"/>
        <v>0</v>
      </c>
      <c r="BP215" s="18">
        <v>0</v>
      </c>
      <c r="BQ215" s="18">
        <v>0</v>
      </c>
      <c r="BR215" s="18">
        <v>0</v>
      </c>
      <c r="BS215" s="18">
        <v>0</v>
      </c>
      <c r="BT215" s="18">
        <v>0</v>
      </c>
      <c r="BU215" s="18">
        <v>0</v>
      </c>
      <c r="BV215" s="18">
        <v>0</v>
      </c>
      <c r="BW215" s="18">
        <v>0</v>
      </c>
      <c r="BX215" s="18">
        <v>0</v>
      </c>
      <c r="BY215" s="18">
        <v>0</v>
      </c>
      <c r="BZ215" s="18">
        <v>0</v>
      </c>
      <c r="CA215" s="18">
        <f t="shared" si="563"/>
        <v>0</v>
      </c>
      <c r="CB215" s="18">
        <f t="shared" si="564"/>
        <v>0</v>
      </c>
      <c r="CC215" s="18">
        <f t="shared" si="565"/>
        <v>0</v>
      </c>
      <c r="CD215" s="18">
        <v>0</v>
      </c>
      <c r="CE215" s="18">
        <v>0</v>
      </c>
      <c r="CF215" s="18">
        <f t="shared" si="566"/>
        <v>0</v>
      </c>
      <c r="CG215" s="18">
        <v>0</v>
      </c>
      <c r="CH215" s="18">
        <v>0</v>
      </c>
      <c r="CI215" s="18">
        <v>0</v>
      </c>
      <c r="CJ215" s="18">
        <v>0</v>
      </c>
      <c r="CK215" s="18">
        <f t="shared" si="567"/>
        <v>0</v>
      </c>
      <c r="CL215" s="18">
        <v>0</v>
      </c>
      <c r="CM215" s="18">
        <v>0</v>
      </c>
      <c r="CN215" s="18">
        <v>0</v>
      </c>
      <c r="CO215" s="65"/>
      <c r="CP215" s="65"/>
      <c r="CQ215" s="65"/>
      <c r="CR215" s="65"/>
      <c r="CS215" s="46"/>
    </row>
    <row r="216" spans="1:198" ht="15.6" x14ac:dyDescent="0.3">
      <c r="A216" s="90" t="s">
        <v>1</v>
      </c>
      <c r="B216" s="30" t="s">
        <v>267</v>
      </c>
      <c r="C216" s="27" t="s">
        <v>326</v>
      </c>
      <c r="D216" s="18">
        <f t="shared" si="551"/>
        <v>531025</v>
      </c>
      <c r="E216" s="18">
        <f t="shared" si="552"/>
        <v>531025</v>
      </c>
      <c r="F216" s="18">
        <f t="shared" si="553"/>
        <v>531025</v>
      </c>
      <c r="G216" s="18">
        <v>0</v>
      </c>
      <c r="H216" s="18">
        <v>0</v>
      </c>
      <c r="I216" s="18">
        <f t="shared" si="554"/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f t="shared" si="555"/>
        <v>0</v>
      </c>
      <c r="Q216" s="18">
        <v>0</v>
      </c>
      <c r="R216" s="18">
        <v>0</v>
      </c>
      <c r="S216" s="18">
        <v>0</v>
      </c>
      <c r="T216" s="18">
        <v>0</v>
      </c>
      <c r="U216" s="18">
        <f t="shared" si="556"/>
        <v>531025</v>
      </c>
      <c r="V216" s="18">
        <v>0</v>
      </c>
      <c r="W216" s="18">
        <v>0</v>
      </c>
      <c r="X216" s="18">
        <v>0</v>
      </c>
      <c r="Y216" s="18">
        <v>0</v>
      </c>
      <c r="Z216" s="18">
        <v>0</v>
      </c>
      <c r="AA216" s="18">
        <v>0</v>
      </c>
      <c r="AB216" s="21">
        <v>531025</v>
      </c>
      <c r="AC216" s="18">
        <v>0</v>
      </c>
      <c r="AD216" s="18">
        <v>0</v>
      </c>
      <c r="AE216" s="18">
        <f t="shared" si="557"/>
        <v>0</v>
      </c>
      <c r="AF216" s="18">
        <v>0</v>
      </c>
      <c r="AG216" s="18">
        <v>0</v>
      </c>
      <c r="AH216" s="18">
        <v>0</v>
      </c>
      <c r="AI216" s="18">
        <v>0</v>
      </c>
      <c r="AJ216" s="18">
        <v>0</v>
      </c>
      <c r="AK216" s="18">
        <v>0</v>
      </c>
      <c r="AL216" s="18">
        <v>0</v>
      </c>
      <c r="AM216" s="18">
        <v>0</v>
      </c>
      <c r="AN216" s="18">
        <v>0</v>
      </c>
      <c r="AO216" s="18">
        <v>0</v>
      </c>
      <c r="AP216" s="18">
        <v>0</v>
      </c>
      <c r="AQ216" s="18">
        <v>0</v>
      </c>
      <c r="AR216" s="18">
        <v>0</v>
      </c>
      <c r="AS216" s="18">
        <v>0</v>
      </c>
      <c r="AT216" s="18"/>
      <c r="AU216" s="18"/>
      <c r="AV216" s="18">
        <v>0</v>
      </c>
      <c r="AW216" s="18">
        <v>0</v>
      </c>
      <c r="AX216" s="18">
        <v>0</v>
      </c>
      <c r="AY216" s="18"/>
      <c r="AZ216" s="18">
        <v>0</v>
      </c>
      <c r="BA216" s="18">
        <f t="shared" si="558"/>
        <v>0</v>
      </c>
      <c r="BB216" s="18">
        <f t="shared" si="559"/>
        <v>0</v>
      </c>
      <c r="BC216" s="18">
        <v>0</v>
      </c>
      <c r="BD216" s="18">
        <v>0</v>
      </c>
      <c r="BE216" s="18">
        <v>0</v>
      </c>
      <c r="BF216" s="18">
        <f t="shared" si="560"/>
        <v>0</v>
      </c>
      <c r="BG216" s="18">
        <v>0</v>
      </c>
      <c r="BH216" s="18">
        <v>0</v>
      </c>
      <c r="BI216" s="18">
        <v>0</v>
      </c>
      <c r="BJ216" s="18">
        <v>0</v>
      </c>
      <c r="BK216" s="18">
        <v>0</v>
      </c>
      <c r="BL216" s="18">
        <f t="shared" si="561"/>
        <v>0</v>
      </c>
      <c r="BM216" s="18">
        <v>0</v>
      </c>
      <c r="BN216" s="18">
        <v>0</v>
      </c>
      <c r="BO216" s="18">
        <f t="shared" si="562"/>
        <v>0</v>
      </c>
      <c r="BP216" s="18">
        <v>0</v>
      </c>
      <c r="BQ216" s="18">
        <v>0</v>
      </c>
      <c r="BR216" s="18">
        <v>0</v>
      </c>
      <c r="BS216" s="18">
        <v>0</v>
      </c>
      <c r="BT216" s="18">
        <v>0</v>
      </c>
      <c r="BU216" s="18">
        <v>0</v>
      </c>
      <c r="BV216" s="18">
        <v>0</v>
      </c>
      <c r="BW216" s="18">
        <v>0</v>
      </c>
      <c r="BX216" s="18">
        <v>0</v>
      </c>
      <c r="BY216" s="18">
        <v>0</v>
      </c>
      <c r="BZ216" s="18">
        <v>0</v>
      </c>
      <c r="CA216" s="18">
        <f t="shared" si="563"/>
        <v>0</v>
      </c>
      <c r="CB216" s="18">
        <f t="shared" si="564"/>
        <v>0</v>
      </c>
      <c r="CC216" s="18">
        <f t="shared" si="565"/>
        <v>0</v>
      </c>
      <c r="CD216" s="18">
        <v>0</v>
      </c>
      <c r="CE216" s="18">
        <v>0</v>
      </c>
      <c r="CF216" s="18">
        <f t="shared" si="566"/>
        <v>0</v>
      </c>
      <c r="CG216" s="18">
        <v>0</v>
      </c>
      <c r="CH216" s="18">
        <v>0</v>
      </c>
      <c r="CI216" s="18">
        <v>0</v>
      </c>
      <c r="CJ216" s="18">
        <v>0</v>
      </c>
      <c r="CK216" s="18">
        <f t="shared" si="567"/>
        <v>0</v>
      </c>
      <c r="CL216" s="18">
        <v>0</v>
      </c>
      <c r="CM216" s="18">
        <v>0</v>
      </c>
      <c r="CN216" s="18">
        <v>0</v>
      </c>
      <c r="CO216" s="65"/>
      <c r="CP216" s="65"/>
      <c r="CQ216" s="65"/>
      <c r="CR216" s="65"/>
      <c r="CS216" s="46"/>
    </row>
    <row r="217" spans="1:198" ht="15.6" x14ac:dyDescent="0.3">
      <c r="A217" s="90" t="s">
        <v>1</v>
      </c>
      <c r="B217" s="30" t="s">
        <v>267</v>
      </c>
      <c r="C217" s="27" t="s">
        <v>327</v>
      </c>
      <c r="D217" s="18">
        <f t="shared" si="551"/>
        <v>147029</v>
      </c>
      <c r="E217" s="18">
        <f t="shared" si="552"/>
        <v>147029</v>
      </c>
      <c r="F217" s="18">
        <f t="shared" si="553"/>
        <v>147029</v>
      </c>
      <c r="G217" s="18">
        <v>0</v>
      </c>
      <c r="H217" s="18">
        <v>0</v>
      </c>
      <c r="I217" s="18">
        <f t="shared" si="554"/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f t="shared" si="555"/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f t="shared" si="556"/>
        <v>147029</v>
      </c>
      <c r="V217" s="18">
        <v>0</v>
      </c>
      <c r="W217" s="18">
        <v>0</v>
      </c>
      <c r="X217" s="18">
        <v>0</v>
      </c>
      <c r="Y217" s="18">
        <v>0</v>
      </c>
      <c r="Z217" s="18">
        <v>0</v>
      </c>
      <c r="AA217" s="18">
        <v>0</v>
      </c>
      <c r="AB217" s="21">
        <v>147029</v>
      </c>
      <c r="AC217" s="18">
        <v>0</v>
      </c>
      <c r="AD217" s="18">
        <v>0</v>
      </c>
      <c r="AE217" s="18">
        <f t="shared" si="557"/>
        <v>0</v>
      </c>
      <c r="AF217" s="18">
        <v>0</v>
      </c>
      <c r="AG217" s="18">
        <v>0</v>
      </c>
      <c r="AH217" s="18">
        <v>0</v>
      </c>
      <c r="AI217" s="18">
        <v>0</v>
      </c>
      <c r="AJ217" s="18">
        <v>0</v>
      </c>
      <c r="AK217" s="18">
        <v>0</v>
      </c>
      <c r="AL217" s="18">
        <v>0</v>
      </c>
      <c r="AM217" s="18">
        <v>0</v>
      </c>
      <c r="AN217" s="18">
        <v>0</v>
      </c>
      <c r="AO217" s="18">
        <v>0</v>
      </c>
      <c r="AP217" s="18">
        <v>0</v>
      </c>
      <c r="AQ217" s="18">
        <v>0</v>
      </c>
      <c r="AR217" s="18">
        <v>0</v>
      </c>
      <c r="AS217" s="18">
        <v>0</v>
      </c>
      <c r="AT217" s="18"/>
      <c r="AU217" s="18"/>
      <c r="AV217" s="18">
        <v>0</v>
      </c>
      <c r="AW217" s="18">
        <v>0</v>
      </c>
      <c r="AX217" s="18">
        <v>0</v>
      </c>
      <c r="AY217" s="18"/>
      <c r="AZ217" s="18">
        <v>0</v>
      </c>
      <c r="BA217" s="18">
        <f t="shared" si="558"/>
        <v>0</v>
      </c>
      <c r="BB217" s="18">
        <f t="shared" si="559"/>
        <v>0</v>
      </c>
      <c r="BC217" s="18">
        <v>0</v>
      </c>
      <c r="BD217" s="18">
        <v>0</v>
      </c>
      <c r="BE217" s="18">
        <v>0</v>
      </c>
      <c r="BF217" s="18">
        <f t="shared" si="560"/>
        <v>0</v>
      </c>
      <c r="BG217" s="18">
        <v>0</v>
      </c>
      <c r="BH217" s="18">
        <v>0</v>
      </c>
      <c r="BI217" s="18">
        <v>0</v>
      </c>
      <c r="BJ217" s="18">
        <v>0</v>
      </c>
      <c r="BK217" s="18">
        <v>0</v>
      </c>
      <c r="BL217" s="18">
        <f t="shared" si="561"/>
        <v>0</v>
      </c>
      <c r="BM217" s="18">
        <v>0</v>
      </c>
      <c r="BN217" s="18">
        <v>0</v>
      </c>
      <c r="BO217" s="18">
        <f t="shared" si="562"/>
        <v>0</v>
      </c>
      <c r="BP217" s="18">
        <v>0</v>
      </c>
      <c r="BQ217" s="18">
        <v>0</v>
      </c>
      <c r="BR217" s="18">
        <v>0</v>
      </c>
      <c r="BS217" s="18">
        <v>0</v>
      </c>
      <c r="BT217" s="18">
        <v>0</v>
      </c>
      <c r="BU217" s="18">
        <v>0</v>
      </c>
      <c r="BV217" s="18">
        <v>0</v>
      </c>
      <c r="BW217" s="18">
        <v>0</v>
      </c>
      <c r="BX217" s="18">
        <v>0</v>
      </c>
      <c r="BY217" s="18">
        <v>0</v>
      </c>
      <c r="BZ217" s="18">
        <v>0</v>
      </c>
      <c r="CA217" s="18">
        <f t="shared" si="563"/>
        <v>0</v>
      </c>
      <c r="CB217" s="18">
        <f t="shared" si="564"/>
        <v>0</v>
      </c>
      <c r="CC217" s="18">
        <f t="shared" si="565"/>
        <v>0</v>
      </c>
      <c r="CD217" s="18">
        <v>0</v>
      </c>
      <c r="CE217" s="18">
        <v>0</v>
      </c>
      <c r="CF217" s="18">
        <f t="shared" si="566"/>
        <v>0</v>
      </c>
      <c r="CG217" s="18">
        <v>0</v>
      </c>
      <c r="CH217" s="18">
        <v>0</v>
      </c>
      <c r="CI217" s="18">
        <v>0</v>
      </c>
      <c r="CJ217" s="18">
        <v>0</v>
      </c>
      <c r="CK217" s="18">
        <f t="shared" si="567"/>
        <v>0</v>
      </c>
      <c r="CL217" s="18">
        <v>0</v>
      </c>
      <c r="CM217" s="18">
        <v>0</v>
      </c>
      <c r="CN217" s="18">
        <v>0</v>
      </c>
      <c r="CO217" s="65"/>
      <c r="CP217" s="65"/>
      <c r="CQ217" s="65"/>
      <c r="CR217" s="65"/>
      <c r="CS217" s="46"/>
    </row>
    <row r="218" spans="1:198" ht="15.6" x14ac:dyDescent="0.3">
      <c r="A218" s="90" t="s">
        <v>1</v>
      </c>
      <c r="B218" s="30" t="s">
        <v>267</v>
      </c>
      <c r="C218" s="27" t="s">
        <v>328</v>
      </c>
      <c r="D218" s="18">
        <f t="shared" si="551"/>
        <v>998189</v>
      </c>
      <c r="E218" s="18">
        <f t="shared" si="552"/>
        <v>998189</v>
      </c>
      <c r="F218" s="18">
        <f t="shared" si="553"/>
        <v>998189</v>
      </c>
      <c r="G218" s="18">
        <v>0</v>
      </c>
      <c r="H218" s="18">
        <v>0</v>
      </c>
      <c r="I218" s="18">
        <f t="shared" si="554"/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f t="shared" si="555"/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f t="shared" si="556"/>
        <v>998189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18">
        <v>0</v>
      </c>
      <c r="AB218" s="21">
        <v>998189</v>
      </c>
      <c r="AC218" s="18">
        <v>0</v>
      </c>
      <c r="AD218" s="18">
        <v>0</v>
      </c>
      <c r="AE218" s="18">
        <f t="shared" si="557"/>
        <v>0</v>
      </c>
      <c r="AF218" s="18">
        <v>0</v>
      </c>
      <c r="AG218" s="18">
        <v>0</v>
      </c>
      <c r="AH218" s="18">
        <v>0</v>
      </c>
      <c r="AI218" s="18">
        <v>0</v>
      </c>
      <c r="AJ218" s="18">
        <v>0</v>
      </c>
      <c r="AK218" s="18">
        <v>0</v>
      </c>
      <c r="AL218" s="18">
        <v>0</v>
      </c>
      <c r="AM218" s="18">
        <v>0</v>
      </c>
      <c r="AN218" s="18">
        <v>0</v>
      </c>
      <c r="AO218" s="18">
        <v>0</v>
      </c>
      <c r="AP218" s="18">
        <v>0</v>
      </c>
      <c r="AQ218" s="18">
        <v>0</v>
      </c>
      <c r="AR218" s="18">
        <v>0</v>
      </c>
      <c r="AS218" s="18">
        <v>0</v>
      </c>
      <c r="AT218" s="18"/>
      <c r="AU218" s="18"/>
      <c r="AV218" s="18">
        <v>0</v>
      </c>
      <c r="AW218" s="18">
        <v>0</v>
      </c>
      <c r="AX218" s="18">
        <v>0</v>
      </c>
      <c r="AY218" s="18"/>
      <c r="AZ218" s="18">
        <v>0</v>
      </c>
      <c r="BA218" s="18">
        <f t="shared" si="558"/>
        <v>0</v>
      </c>
      <c r="BB218" s="18">
        <f t="shared" si="559"/>
        <v>0</v>
      </c>
      <c r="BC218" s="18">
        <v>0</v>
      </c>
      <c r="BD218" s="18">
        <v>0</v>
      </c>
      <c r="BE218" s="18">
        <v>0</v>
      </c>
      <c r="BF218" s="18">
        <f t="shared" si="560"/>
        <v>0</v>
      </c>
      <c r="BG218" s="18">
        <v>0</v>
      </c>
      <c r="BH218" s="18">
        <v>0</v>
      </c>
      <c r="BI218" s="18">
        <v>0</v>
      </c>
      <c r="BJ218" s="18">
        <v>0</v>
      </c>
      <c r="BK218" s="18">
        <v>0</v>
      </c>
      <c r="BL218" s="18">
        <f t="shared" si="561"/>
        <v>0</v>
      </c>
      <c r="BM218" s="18">
        <v>0</v>
      </c>
      <c r="BN218" s="18">
        <v>0</v>
      </c>
      <c r="BO218" s="18">
        <f t="shared" si="562"/>
        <v>0</v>
      </c>
      <c r="BP218" s="18">
        <v>0</v>
      </c>
      <c r="BQ218" s="18">
        <v>0</v>
      </c>
      <c r="BR218" s="18">
        <v>0</v>
      </c>
      <c r="BS218" s="18">
        <v>0</v>
      </c>
      <c r="BT218" s="18">
        <v>0</v>
      </c>
      <c r="BU218" s="18">
        <v>0</v>
      </c>
      <c r="BV218" s="18">
        <v>0</v>
      </c>
      <c r="BW218" s="18">
        <v>0</v>
      </c>
      <c r="BX218" s="18">
        <v>0</v>
      </c>
      <c r="BY218" s="18">
        <v>0</v>
      </c>
      <c r="BZ218" s="18">
        <v>0</v>
      </c>
      <c r="CA218" s="18">
        <f t="shared" si="563"/>
        <v>0</v>
      </c>
      <c r="CB218" s="18">
        <f t="shared" si="564"/>
        <v>0</v>
      </c>
      <c r="CC218" s="18">
        <f t="shared" si="565"/>
        <v>0</v>
      </c>
      <c r="CD218" s="18">
        <v>0</v>
      </c>
      <c r="CE218" s="18">
        <v>0</v>
      </c>
      <c r="CF218" s="18">
        <f t="shared" si="566"/>
        <v>0</v>
      </c>
      <c r="CG218" s="18">
        <v>0</v>
      </c>
      <c r="CH218" s="18">
        <v>0</v>
      </c>
      <c r="CI218" s="18">
        <v>0</v>
      </c>
      <c r="CJ218" s="18">
        <v>0</v>
      </c>
      <c r="CK218" s="18">
        <f t="shared" si="567"/>
        <v>0</v>
      </c>
      <c r="CL218" s="18">
        <v>0</v>
      </c>
      <c r="CM218" s="18">
        <v>0</v>
      </c>
      <c r="CN218" s="18">
        <v>0</v>
      </c>
      <c r="CO218" s="65"/>
      <c r="CP218" s="65"/>
      <c r="CQ218" s="65"/>
      <c r="CR218" s="65"/>
      <c r="CS218" s="46"/>
    </row>
    <row r="219" spans="1:198" ht="15.6" x14ac:dyDescent="0.3">
      <c r="A219" s="90" t="s">
        <v>1</v>
      </c>
      <c r="B219" s="30" t="s">
        <v>267</v>
      </c>
      <c r="C219" s="27" t="s">
        <v>329</v>
      </c>
      <c r="D219" s="18">
        <f t="shared" si="551"/>
        <v>668224</v>
      </c>
      <c r="E219" s="18">
        <f t="shared" si="552"/>
        <v>668224</v>
      </c>
      <c r="F219" s="18">
        <f t="shared" si="553"/>
        <v>668224</v>
      </c>
      <c r="G219" s="18">
        <v>0</v>
      </c>
      <c r="H219" s="18">
        <v>0</v>
      </c>
      <c r="I219" s="18">
        <f t="shared" si="554"/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f t="shared" si="555"/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f t="shared" si="556"/>
        <v>668224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21">
        <f>651705+16519</f>
        <v>668224</v>
      </c>
      <c r="AC219" s="18">
        <v>0</v>
      </c>
      <c r="AD219" s="18">
        <v>0</v>
      </c>
      <c r="AE219" s="18">
        <f t="shared" si="557"/>
        <v>0</v>
      </c>
      <c r="AF219" s="18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v>0</v>
      </c>
      <c r="AL219" s="18">
        <v>0</v>
      </c>
      <c r="AM219" s="18">
        <v>0</v>
      </c>
      <c r="AN219" s="18">
        <v>0</v>
      </c>
      <c r="AO219" s="18">
        <v>0</v>
      </c>
      <c r="AP219" s="18">
        <v>0</v>
      </c>
      <c r="AQ219" s="18">
        <v>0</v>
      </c>
      <c r="AR219" s="18">
        <v>0</v>
      </c>
      <c r="AS219" s="18">
        <v>0</v>
      </c>
      <c r="AT219" s="18"/>
      <c r="AU219" s="18"/>
      <c r="AV219" s="18">
        <v>0</v>
      </c>
      <c r="AW219" s="18">
        <v>0</v>
      </c>
      <c r="AX219" s="18">
        <v>0</v>
      </c>
      <c r="AY219" s="18"/>
      <c r="AZ219" s="18">
        <v>0</v>
      </c>
      <c r="BA219" s="18">
        <f t="shared" si="558"/>
        <v>0</v>
      </c>
      <c r="BB219" s="18">
        <f t="shared" si="559"/>
        <v>0</v>
      </c>
      <c r="BC219" s="18">
        <v>0</v>
      </c>
      <c r="BD219" s="18">
        <v>0</v>
      </c>
      <c r="BE219" s="18">
        <v>0</v>
      </c>
      <c r="BF219" s="18">
        <f t="shared" si="560"/>
        <v>0</v>
      </c>
      <c r="BG219" s="18">
        <v>0</v>
      </c>
      <c r="BH219" s="18">
        <v>0</v>
      </c>
      <c r="BI219" s="18">
        <v>0</v>
      </c>
      <c r="BJ219" s="18">
        <v>0</v>
      </c>
      <c r="BK219" s="18">
        <v>0</v>
      </c>
      <c r="BL219" s="18">
        <f t="shared" si="561"/>
        <v>0</v>
      </c>
      <c r="BM219" s="18">
        <v>0</v>
      </c>
      <c r="BN219" s="18">
        <v>0</v>
      </c>
      <c r="BO219" s="18">
        <f t="shared" si="562"/>
        <v>0</v>
      </c>
      <c r="BP219" s="18">
        <v>0</v>
      </c>
      <c r="BQ219" s="18">
        <v>0</v>
      </c>
      <c r="BR219" s="18">
        <v>0</v>
      </c>
      <c r="BS219" s="18">
        <v>0</v>
      </c>
      <c r="BT219" s="18">
        <v>0</v>
      </c>
      <c r="BU219" s="18">
        <v>0</v>
      </c>
      <c r="BV219" s="18">
        <v>0</v>
      </c>
      <c r="BW219" s="18">
        <v>0</v>
      </c>
      <c r="BX219" s="18">
        <v>0</v>
      </c>
      <c r="BY219" s="18">
        <v>0</v>
      </c>
      <c r="BZ219" s="18">
        <v>0</v>
      </c>
      <c r="CA219" s="18">
        <f t="shared" si="563"/>
        <v>0</v>
      </c>
      <c r="CB219" s="18">
        <f t="shared" si="564"/>
        <v>0</v>
      </c>
      <c r="CC219" s="18">
        <f t="shared" si="565"/>
        <v>0</v>
      </c>
      <c r="CD219" s="18">
        <v>0</v>
      </c>
      <c r="CE219" s="18">
        <v>0</v>
      </c>
      <c r="CF219" s="18">
        <f t="shared" si="566"/>
        <v>0</v>
      </c>
      <c r="CG219" s="18">
        <v>0</v>
      </c>
      <c r="CH219" s="18">
        <v>0</v>
      </c>
      <c r="CI219" s="18">
        <v>0</v>
      </c>
      <c r="CJ219" s="18">
        <v>0</v>
      </c>
      <c r="CK219" s="18">
        <f t="shared" si="567"/>
        <v>0</v>
      </c>
      <c r="CL219" s="18">
        <v>0</v>
      </c>
      <c r="CM219" s="18">
        <v>0</v>
      </c>
      <c r="CN219" s="18">
        <v>0</v>
      </c>
      <c r="CO219" s="65"/>
      <c r="CP219" s="65"/>
      <c r="CQ219" s="65"/>
      <c r="CR219" s="65"/>
      <c r="CS219" s="46"/>
    </row>
    <row r="220" spans="1:198" s="52" customFormat="1" ht="15.6" x14ac:dyDescent="0.3">
      <c r="A220" s="90"/>
      <c r="B220" s="30" t="s">
        <v>267</v>
      </c>
      <c r="C220" s="27" t="s">
        <v>330</v>
      </c>
      <c r="D220" s="18">
        <f t="shared" si="551"/>
        <v>3316498</v>
      </c>
      <c r="E220" s="18">
        <f t="shared" si="552"/>
        <v>3316498</v>
      </c>
      <c r="F220" s="18">
        <f t="shared" ref="F220" si="568">SUM(G220+H220+I220+P220+S220+T220+U220+AE220+AD220)</f>
        <v>3316498</v>
      </c>
      <c r="G220" s="18">
        <v>0</v>
      </c>
      <c r="H220" s="18">
        <v>0</v>
      </c>
      <c r="I220" s="18">
        <f t="shared" ref="I220" si="569">SUM(J220:O220)</f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f t="shared" ref="P220" si="570">SUM(Q220:R220)</f>
        <v>0</v>
      </c>
      <c r="Q220" s="18">
        <v>0</v>
      </c>
      <c r="R220" s="18">
        <v>0</v>
      </c>
      <c r="S220" s="18">
        <v>0</v>
      </c>
      <c r="T220" s="18">
        <v>0</v>
      </c>
      <c r="U220" s="18">
        <f t="shared" ref="U220" si="571">SUM(V220:AC220)</f>
        <v>3316498</v>
      </c>
      <c r="V220" s="18">
        <v>0</v>
      </c>
      <c r="W220" s="18">
        <v>0</v>
      </c>
      <c r="X220" s="18">
        <v>0</v>
      </c>
      <c r="Y220" s="18">
        <v>0</v>
      </c>
      <c r="Z220" s="18">
        <v>0</v>
      </c>
      <c r="AA220" s="18">
        <v>0</v>
      </c>
      <c r="AB220" s="21">
        <v>3316498</v>
      </c>
      <c r="AC220" s="18">
        <v>0</v>
      </c>
      <c r="AD220" s="18">
        <v>0</v>
      </c>
      <c r="AE220" s="18">
        <f t="shared" si="557"/>
        <v>0</v>
      </c>
      <c r="AF220" s="18">
        <v>0</v>
      </c>
      <c r="AG220" s="18">
        <v>0</v>
      </c>
      <c r="AH220" s="18">
        <v>0</v>
      </c>
      <c r="AI220" s="18">
        <v>0</v>
      </c>
      <c r="AJ220" s="18">
        <v>0</v>
      </c>
      <c r="AK220" s="18">
        <v>0</v>
      </c>
      <c r="AL220" s="18">
        <v>0</v>
      </c>
      <c r="AM220" s="18">
        <v>0</v>
      </c>
      <c r="AN220" s="18">
        <v>0</v>
      </c>
      <c r="AO220" s="18">
        <v>0</v>
      </c>
      <c r="AP220" s="18">
        <v>0</v>
      </c>
      <c r="AQ220" s="18">
        <v>0</v>
      </c>
      <c r="AR220" s="18">
        <v>0</v>
      </c>
      <c r="AS220" s="18">
        <v>0</v>
      </c>
      <c r="AT220" s="18"/>
      <c r="AU220" s="18"/>
      <c r="AV220" s="18">
        <v>0</v>
      </c>
      <c r="AW220" s="18">
        <v>0</v>
      </c>
      <c r="AX220" s="18">
        <v>0</v>
      </c>
      <c r="AY220" s="18"/>
      <c r="AZ220" s="18">
        <v>0</v>
      </c>
      <c r="BA220" s="18">
        <f t="shared" si="558"/>
        <v>0</v>
      </c>
      <c r="BB220" s="18">
        <f t="shared" ref="BB220" si="572">SUM(BC220:BE220)</f>
        <v>0</v>
      </c>
      <c r="BC220" s="18">
        <v>0</v>
      </c>
      <c r="BD220" s="18">
        <v>0</v>
      </c>
      <c r="BE220" s="18">
        <v>0</v>
      </c>
      <c r="BF220" s="18">
        <f t="shared" si="560"/>
        <v>0</v>
      </c>
      <c r="BG220" s="18">
        <v>0</v>
      </c>
      <c r="BH220" s="18">
        <v>0</v>
      </c>
      <c r="BI220" s="18">
        <v>0</v>
      </c>
      <c r="BJ220" s="18">
        <v>0</v>
      </c>
      <c r="BK220" s="18">
        <v>0</v>
      </c>
      <c r="BL220" s="18">
        <f t="shared" ref="BL220" si="573">SUM(BM220)</f>
        <v>0</v>
      </c>
      <c r="BM220" s="18">
        <v>0</v>
      </c>
      <c r="BN220" s="18">
        <v>0</v>
      </c>
      <c r="BO220" s="18">
        <f t="shared" si="562"/>
        <v>0</v>
      </c>
      <c r="BP220" s="18">
        <v>0</v>
      </c>
      <c r="BQ220" s="18">
        <v>0</v>
      </c>
      <c r="BR220" s="18">
        <v>0</v>
      </c>
      <c r="BS220" s="18">
        <v>0</v>
      </c>
      <c r="BT220" s="18">
        <v>0</v>
      </c>
      <c r="BU220" s="18">
        <v>0</v>
      </c>
      <c r="BV220" s="18">
        <v>0</v>
      </c>
      <c r="BW220" s="18">
        <v>0</v>
      </c>
      <c r="BX220" s="18">
        <v>0</v>
      </c>
      <c r="BY220" s="18">
        <v>0</v>
      </c>
      <c r="BZ220" s="18">
        <v>0</v>
      </c>
      <c r="CA220" s="18">
        <f t="shared" si="563"/>
        <v>0</v>
      </c>
      <c r="CB220" s="18">
        <f t="shared" si="564"/>
        <v>0</v>
      </c>
      <c r="CC220" s="18">
        <f t="shared" ref="CC220" si="574">SUM(CD220:CE220)</f>
        <v>0</v>
      </c>
      <c r="CD220" s="18">
        <v>0</v>
      </c>
      <c r="CE220" s="18">
        <v>0</v>
      </c>
      <c r="CF220" s="18">
        <f t="shared" si="566"/>
        <v>0</v>
      </c>
      <c r="CG220" s="18">
        <v>0</v>
      </c>
      <c r="CH220" s="18">
        <v>0</v>
      </c>
      <c r="CI220" s="18">
        <v>0</v>
      </c>
      <c r="CJ220" s="18">
        <v>0</v>
      </c>
      <c r="CK220" s="18">
        <f t="shared" si="567"/>
        <v>0</v>
      </c>
      <c r="CL220" s="18">
        <v>0</v>
      </c>
      <c r="CM220" s="18">
        <v>0</v>
      </c>
      <c r="CN220" s="18">
        <v>0</v>
      </c>
      <c r="CO220" s="65"/>
      <c r="CP220" s="65"/>
      <c r="CQ220" s="65"/>
      <c r="CR220" s="65"/>
      <c r="CS220" s="46"/>
      <c r="GP220" s="44"/>
    </row>
    <row r="221" spans="1:198" s="52" customFormat="1" ht="46.8" x14ac:dyDescent="0.3">
      <c r="A221" s="90" t="s">
        <v>1</v>
      </c>
      <c r="B221" s="29" t="s">
        <v>74</v>
      </c>
      <c r="C221" s="28" t="s">
        <v>437</v>
      </c>
      <c r="D221" s="18">
        <f>SUM(E221+CA221)</f>
        <v>5831135</v>
      </c>
      <c r="E221" s="18">
        <f t="shared" si="552"/>
        <v>5831135</v>
      </c>
      <c r="F221" s="18">
        <f t="shared" si="553"/>
        <v>5831135</v>
      </c>
      <c r="G221" s="18">
        <v>0</v>
      </c>
      <c r="H221" s="18">
        <v>0</v>
      </c>
      <c r="I221" s="18">
        <f t="shared" si="554"/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f t="shared" si="555"/>
        <v>0</v>
      </c>
      <c r="Q221" s="18">
        <v>0</v>
      </c>
      <c r="R221" s="18">
        <v>0</v>
      </c>
      <c r="S221" s="18">
        <v>0</v>
      </c>
      <c r="T221" s="18">
        <v>0</v>
      </c>
      <c r="U221" s="18">
        <f t="shared" si="556"/>
        <v>5831135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  <c r="AB221" s="21">
        <f>6631135-800000</f>
        <v>5831135</v>
      </c>
      <c r="AC221" s="18">
        <v>0</v>
      </c>
      <c r="AD221" s="18">
        <v>0</v>
      </c>
      <c r="AE221" s="18">
        <f t="shared" si="557"/>
        <v>0</v>
      </c>
      <c r="AF221" s="18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v>0</v>
      </c>
      <c r="AL221" s="18">
        <v>0</v>
      </c>
      <c r="AM221" s="18">
        <v>0</v>
      </c>
      <c r="AN221" s="18">
        <v>0</v>
      </c>
      <c r="AO221" s="18">
        <v>0</v>
      </c>
      <c r="AP221" s="18">
        <v>0</v>
      </c>
      <c r="AQ221" s="18">
        <v>0</v>
      </c>
      <c r="AR221" s="18">
        <v>0</v>
      </c>
      <c r="AS221" s="18">
        <v>0</v>
      </c>
      <c r="AT221" s="18"/>
      <c r="AU221" s="18"/>
      <c r="AV221" s="18">
        <v>0</v>
      </c>
      <c r="AW221" s="18">
        <v>0</v>
      </c>
      <c r="AX221" s="18">
        <v>0</v>
      </c>
      <c r="AY221" s="18"/>
      <c r="AZ221" s="18">
        <v>0</v>
      </c>
      <c r="BA221" s="18">
        <f t="shared" si="558"/>
        <v>0</v>
      </c>
      <c r="BB221" s="18">
        <f t="shared" si="559"/>
        <v>0</v>
      </c>
      <c r="BC221" s="18">
        <v>0</v>
      </c>
      <c r="BD221" s="18">
        <v>0</v>
      </c>
      <c r="BE221" s="18">
        <v>0</v>
      </c>
      <c r="BF221" s="18">
        <f t="shared" si="560"/>
        <v>0</v>
      </c>
      <c r="BG221" s="18">
        <v>0</v>
      </c>
      <c r="BH221" s="18">
        <v>0</v>
      </c>
      <c r="BI221" s="18">
        <v>0</v>
      </c>
      <c r="BJ221" s="18">
        <v>0</v>
      </c>
      <c r="BK221" s="18">
        <v>0</v>
      </c>
      <c r="BL221" s="18">
        <f t="shared" si="561"/>
        <v>0</v>
      </c>
      <c r="BM221" s="18">
        <v>0</v>
      </c>
      <c r="BN221" s="18">
        <v>0</v>
      </c>
      <c r="BO221" s="18">
        <f t="shared" si="562"/>
        <v>0</v>
      </c>
      <c r="BP221" s="18">
        <v>0</v>
      </c>
      <c r="BQ221" s="18">
        <v>0</v>
      </c>
      <c r="BR221" s="18">
        <v>0</v>
      </c>
      <c r="BS221" s="18">
        <v>0</v>
      </c>
      <c r="BT221" s="18">
        <v>0</v>
      </c>
      <c r="BU221" s="18">
        <v>0</v>
      </c>
      <c r="BV221" s="18">
        <v>0</v>
      </c>
      <c r="BW221" s="18">
        <v>0</v>
      </c>
      <c r="BX221" s="18">
        <v>0</v>
      </c>
      <c r="BY221" s="18">
        <v>0</v>
      </c>
      <c r="BZ221" s="18">
        <v>0</v>
      </c>
      <c r="CA221" s="18">
        <f t="shared" si="563"/>
        <v>0</v>
      </c>
      <c r="CB221" s="18">
        <f t="shared" si="564"/>
        <v>0</v>
      </c>
      <c r="CC221" s="18">
        <f t="shared" si="565"/>
        <v>0</v>
      </c>
      <c r="CD221" s="18">
        <v>0</v>
      </c>
      <c r="CE221" s="18">
        <v>0</v>
      </c>
      <c r="CF221" s="18">
        <f t="shared" si="566"/>
        <v>0</v>
      </c>
      <c r="CG221" s="18">
        <v>0</v>
      </c>
      <c r="CH221" s="18">
        <v>0</v>
      </c>
      <c r="CI221" s="18">
        <v>0</v>
      </c>
      <c r="CJ221" s="18">
        <v>0</v>
      </c>
      <c r="CK221" s="18">
        <f t="shared" si="567"/>
        <v>0</v>
      </c>
      <c r="CL221" s="18">
        <v>0</v>
      </c>
      <c r="CM221" s="18">
        <v>0</v>
      </c>
      <c r="CN221" s="18">
        <v>0</v>
      </c>
      <c r="CO221" s="65"/>
      <c r="CP221" s="65"/>
      <c r="CQ221" s="65"/>
      <c r="CR221" s="65"/>
      <c r="CS221" s="46"/>
      <c r="GP221" s="44"/>
    </row>
    <row r="222" spans="1:198" ht="31.2" x14ac:dyDescent="0.3">
      <c r="A222" s="91" t="s">
        <v>268</v>
      </c>
      <c r="B222" s="23" t="s">
        <v>1</v>
      </c>
      <c r="C222" s="24" t="s">
        <v>269</v>
      </c>
      <c r="D222" s="25">
        <f>SUM(D223)</f>
        <v>775852443</v>
      </c>
      <c r="E222" s="25">
        <f t="shared" ref="E222:BU222" si="575">SUM(E223)</f>
        <v>775852443</v>
      </c>
      <c r="F222" s="25">
        <f t="shared" si="575"/>
        <v>0</v>
      </c>
      <c r="G222" s="25">
        <f t="shared" si="575"/>
        <v>0</v>
      </c>
      <c r="H222" s="25">
        <f t="shared" si="575"/>
        <v>0</v>
      </c>
      <c r="I222" s="25">
        <f t="shared" si="575"/>
        <v>0</v>
      </c>
      <c r="J222" s="25">
        <f t="shared" si="575"/>
        <v>0</v>
      </c>
      <c r="K222" s="25">
        <f t="shared" si="575"/>
        <v>0</v>
      </c>
      <c r="L222" s="25">
        <f t="shared" si="575"/>
        <v>0</v>
      </c>
      <c r="M222" s="25">
        <f t="shared" si="575"/>
        <v>0</v>
      </c>
      <c r="N222" s="25">
        <f t="shared" si="575"/>
        <v>0</v>
      </c>
      <c r="O222" s="25">
        <f t="shared" si="575"/>
        <v>0</v>
      </c>
      <c r="P222" s="25">
        <f t="shared" si="575"/>
        <v>0</v>
      </c>
      <c r="Q222" s="25">
        <f t="shared" si="575"/>
        <v>0</v>
      </c>
      <c r="R222" s="25">
        <f t="shared" si="575"/>
        <v>0</v>
      </c>
      <c r="S222" s="25">
        <f t="shared" si="575"/>
        <v>0</v>
      </c>
      <c r="T222" s="25">
        <f t="shared" si="575"/>
        <v>0</v>
      </c>
      <c r="U222" s="25">
        <f t="shared" si="575"/>
        <v>0</v>
      </c>
      <c r="V222" s="25">
        <f t="shared" si="575"/>
        <v>0</v>
      </c>
      <c r="W222" s="25">
        <f t="shared" si="575"/>
        <v>0</v>
      </c>
      <c r="X222" s="25">
        <f t="shared" si="575"/>
        <v>0</v>
      </c>
      <c r="Y222" s="25">
        <f t="shared" si="575"/>
        <v>0</v>
      </c>
      <c r="Z222" s="25">
        <f t="shared" si="575"/>
        <v>0</v>
      </c>
      <c r="AA222" s="25">
        <f t="shared" si="575"/>
        <v>0</v>
      </c>
      <c r="AB222" s="25">
        <f t="shared" si="575"/>
        <v>0</v>
      </c>
      <c r="AC222" s="25">
        <f t="shared" si="575"/>
        <v>0</v>
      </c>
      <c r="AD222" s="25">
        <f t="shared" si="575"/>
        <v>0</v>
      </c>
      <c r="AE222" s="25">
        <f t="shared" si="575"/>
        <v>0</v>
      </c>
      <c r="AF222" s="25">
        <f t="shared" si="575"/>
        <v>0</v>
      </c>
      <c r="AG222" s="25">
        <f t="shared" si="575"/>
        <v>0</v>
      </c>
      <c r="AH222" s="25">
        <f t="shared" si="575"/>
        <v>0</v>
      </c>
      <c r="AI222" s="25">
        <f t="shared" si="575"/>
        <v>0</v>
      </c>
      <c r="AJ222" s="25">
        <f t="shared" si="575"/>
        <v>0</v>
      </c>
      <c r="AK222" s="25">
        <f t="shared" si="575"/>
        <v>0</v>
      </c>
      <c r="AL222" s="25">
        <f t="shared" si="575"/>
        <v>0</v>
      </c>
      <c r="AM222" s="25">
        <f t="shared" si="575"/>
        <v>0</v>
      </c>
      <c r="AN222" s="25">
        <f t="shared" si="575"/>
        <v>0</v>
      </c>
      <c r="AO222" s="25">
        <f t="shared" si="575"/>
        <v>0</v>
      </c>
      <c r="AP222" s="25">
        <f t="shared" si="575"/>
        <v>0</v>
      </c>
      <c r="AQ222" s="25">
        <f t="shared" si="575"/>
        <v>0</v>
      </c>
      <c r="AR222" s="25">
        <f t="shared" si="575"/>
        <v>0</v>
      </c>
      <c r="AS222" s="25">
        <f t="shared" si="575"/>
        <v>0</v>
      </c>
      <c r="AT222" s="25"/>
      <c r="AU222" s="25"/>
      <c r="AV222" s="25">
        <f t="shared" si="575"/>
        <v>0</v>
      </c>
      <c r="AW222" s="25">
        <f t="shared" si="575"/>
        <v>0</v>
      </c>
      <c r="AX222" s="25">
        <f t="shared" si="575"/>
        <v>0</v>
      </c>
      <c r="AY222" s="25"/>
      <c r="AZ222" s="25">
        <f t="shared" si="575"/>
        <v>0</v>
      </c>
      <c r="BA222" s="25">
        <f t="shared" si="575"/>
        <v>775852443</v>
      </c>
      <c r="BB222" s="25">
        <f t="shared" si="575"/>
        <v>3930948</v>
      </c>
      <c r="BC222" s="25">
        <f t="shared" si="575"/>
        <v>3930948</v>
      </c>
      <c r="BD222" s="25">
        <f t="shared" si="575"/>
        <v>0</v>
      </c>
      <c r="BE222" s="25">
        <f t="shared" si="575"/>
        <v>0</v>
      </c>
      <c r="BF222" s="25">
        <f t="shared" si="575"/>
        <v>0</v>
      </c>
      <c r="BG222" s="25">
        <f t="shared" si="575"/>
        <v>0</v>
      </c>
      <c r="BH222" s="25">
        <f t="shared" si="575"/>
        <v>0</v>
      </c>
      <c r="BI222" s="25">
        <f t="shared" si="575"/>
        <v>0</v>
      </c>
      <c r="BJ222" s="25">
        <f t="shared" si="575"/>
        <v>771921495</v>
      </c>
      <c r="BK222" s="25">
        <f t="shared" si="575"/>
        <v>0</v>
      </c>
      <c r="BL222" s="25">
        <f t="shared" si="575"/>
        <v>0</v>
      </c>
      <c r="BM222" s="25">
        <f t="shared" si="575"/>
        <v>0</v>
      </c>
      <c r="BN222" s="25">
        <f t="shared" si="575"/>
        <v>0</v>
      </c>
      <c r="BO222" s="25">
        <f t="shared" si="575"/>
        <v>0</v>
      </c>
      <c r="BP222" s="25">
        <f t="shared" si="575"/>
        <v>0</v>
      </c>
      <c r="BQ222" s="25">
        <f t="shared" si="575"/>
        <v>0</v>
      </c>
      <c r="BR222" s="25">
        <f t="shared" si="575"/>
        <v>0</v>
      </c>
      <c r="BS222" s="25">
        <f t="shared" si="575"/>
        <v>0</v>
      </c>
      <c r="BT222" s="25">
        <f t="shared" si="575"/>
        <v>0</v>
      </c>
      <c r="BU222" s="25">
        <f t="shared" si="575"/>
        <v>0</v>
      </c>
      <c r="BV222" s="25">
        <f t="shared" ref="BV222:CR222" si="576">SUM(BV223)</f>
        <v>0</v>
      </c>
      <c r="BW222" s="25">
        <f t="shared" si="576"/>
        <v>0</v>
      </c>
      <c r="BX222" s="25">
        <f t="shared" si="576"/>
        <v>0</v>
      </c>
      <c r="BY222" s="25">
        <f t="shared" si="576"/>
        <v>0</v>
      </c>
      <c r="BZ222" s="25">
        <f t="shared" si="576"/>
        <v>0</v>
      </c>
      <c r="CA222" s="25">
        <f t="shared" si="576"/>
        <v>0</v>
      </c>
      <c r="CB222" s="25">
        <f t="shared" si="576"/>
        <v>0</v>
      </c>
      <c r="CC222" s="25">
        <f t="shared" si="576"/>
        <v>0</v>
      </c>
      <c r="CD222" s="25">
        <f t="shared" si="576"/>
        <v>0</v>
      </c>
      <c r="CE222" s="25">
        <f t="shared" si="576"/>
        <v>0</v>
      </c>
      <c r="CF222" s="25">
        <f t="shared" si="576"/>
        <v>0</v>
      </c>
      <c r="CG222" s="25">
        <f t="shared" si="576"/>
        <v>0</v>
      </c>
      <c r="CH222" s="25">
        <f t="shared" si="576"/>
        <v>0</v>
      </c>
      <c r="CI222" s="25">
        <f t="shared" si="576"/>
        <v>0</v>
      </c>
      <c r="CJ222" s="25">
        <f t="shared" si="576"/>
        <v>0</v>
      </c>
      <c r="CK222" s="25">
        <f t="shared" si="576"/>
        <v>0</v>
      </c>
      <c r="CL222" s="25">
        <f t="shared" si="576"/>
        <v>0</v>
      </c>
      <c r="CM222" s="25">
        <f t="shared" si="576"/>
        <v>0</v>
      </c>
      <c r="CN222" s="25">
        <f t="shared" si="576"/>
        <v>0</v>
      </c>
      <c r="CO222" s="25">
        <f t="shared" si="576"/>
        <v>0</v>
      </c>
      <c r="CP222" s="25">
        <f t="shared" si="576"/>
        <v>0</v>
      </c>
      <c r="CQ222" s="25">
        <f t="shared" si="576"/>
        <v>0</v>
      </c>
      <c r="CR222" s="25">
        <f t="shared" si="576"/>
        <v>0</v>
      </c>
      <c r="CS222" s="51"/>
    </row>
    <row r="223" spans="1:198" ht="31.2" x14ac:dyDescent="0.3">
      <c r="A223" s="89" t="s">
        <v>270</v>
      </c>
      <c r="B223" s="15" t="s">
        <v>1</v>
      </c>
      <c r="C223" s="16" t="s">
        <v>455</v>
      </c>
      <c r="D223" s="17">
        <f>SUM(D224:D225)</f>
        <v>775852443</v>
      </c>
      <c r="E223" s="17">
        <f t="shared" ref="E223:BU223" si="577">SUM(E224:E225)</f>
        <v>775852443</v>
      </c>
      <c r="F223" s="17">
        <f t="shared" si="577"/>
        <v>0</v>
      </c>
      <c r="G223" s="17">
        <f t="shared" si="577"/>
        <v>0</v>
      </c>
      <c r="H223" s="17">
        <f t="shared" si="577"/>
        <v>0</v>
      </c>
      <c r="I223" s="17">
        <f t="shared" si="577"/>
        <v>0</v>
      </c>
      <c r="J223" s="17">
        <f t="shared" si="577"/>
        <v>0</v>
      </c>
      <c r="K223" s="17">
        <f t="shared" si="577"/>
        <v>0</v>
      </c>
      <c r="L223" s="17">
        <f t="shared" si="577"/>
        <v>0</v>
      </c>
      <c r="M223" s="17">
        <f t="shared" si="577"/>
        <v>0</v>
      </c>
      <c r="N223" s="17">
        <f t="shared" si="577"/>
        <v>0</v>
      </c>
      <c r="O223" s="17">
        <f t="shared" si="577"/>
        <v>0</v>
      </c>
      <c r="P223" s="17">
        <f t="shared" si="577"/>
        <v>0</v>
      </c>
      <c r="Q223" s="17">
        <f t="shared" si="577"/>
        <v>0</v>
      </c>
      <c r="R223" s="17">
        <f t="shared" si="577"/>
        <v>0</v>
      </c>
      <c r="S223" s="17">
        <f t="shared" si="577"/>
        <v>0</v>
      </c>
      <c r="T223" s="17">
        <f t="shared" si="577"/>
        <v>0</v>
      </c>
      <c r="U223" s="17">
        <f t="shared" si="577"/>
        <v>0</v>
      </c>
      <c r="V223" s="17">
        <f t="shared" si="577"/>
        <v>0</v>
      </c>
      <c r="W223" s="17">
        <f t="shared" si="577"/>
        <v>0</v>
      </c>
      <c r="X223" s="17">
        <f t="shared" si="577"/>
        <v>0</v>
      </c>
      <c r="Y223" s="17">
        <f t="shared" si="577"/>
        <v>0</v>
      </c>
      <c r="Z223" s="17">
        <f t="shared" si="577"/>
        <v>0</v>
      </c>
      <c r="AA223" s="17">
        <f t="shared" si="577"/>
        <v>0</v>
      </c>
      <c r="AB223" s="17">
        <f t="shared" si="577"/>
        <v>0</v>
      </c>
      <c r="AC223" s="17">
        <f t="shared" si="577"/>
        <v>0</v>
      </c>
      <c r="AD223" s="17">
        <f t="shared" si="577"/>
        <v>0</v>
      </c>
      <c r="AE223" s="17">
        <f t="shared" si="577"/>
        <v>0</v>
      </c>
      <c r="AF223" s="17">
        <f t="shared" si="577"/>
        <v>0</v>
      </c>
      <c r="AG223" s="17">
        <f t="shared" si="577"/>
        <v>0</v>
      </c>
      <c r="AH223" s="17">
        <f t="shared" si="577"/>
        <v>0</v>
      </c>
      <c r="AI223" s="17">
        <f t="shared" si="577"/>
        <v>0</v>
      </c>
      <c r="AJ223" s="17">
        <f t="shared" si="577"/>
        <v>0</v>
      </c>
      <c r="AK223" s="17">
        <f t="shared" si="577"/>
        <v>0</v>
      </c>
      <c r="AL223" s="17">
        <f t="shared" si="577"/>
        <v>0</v>
      </c>
      <c r="AM223" s="17">
        <f t="shared" si="577"/>
        <v>0</v>
      </c>
      <c r="AN223" s="17">
        <f t="shared" si="577"/>
        <v>0</v>
      </c>
      <c r="AO223" s="17">
        <f t="shared" si="577"/>
        <v>0</v>
      </c>
      <c r="AP223" s="17">
        <f t="shared" si="577"/>
        <v>0</v>
      </c>
      <c r="AQ223" s="17">
        <f t="shared" si="577"/>
        <v>0</v>
      </c>
      <c r="AR223" s="17">
        <f t="shared" si="577"/>
        <v>0</v>
      </c>
      <c r="AS223" s="17">
        <f t="shared" si="577"/>
        <v>0</v>
      </c>
      <c r="AT223" s="17"/>
      <c r="AU223" s="17"/>
      <c r="AV223" s="17">
        <f t="shared" si="577"/>
        <v>0</v>
      </c>
      <c r="AW223" s="17">
        <f t="shared" si="577"/>
        <v>0</v>
      </c>
      <c r="AX223" s="17">
        <f t="shared" si="577"/>
        <v>0</v>
      </c>
      <c r="AY223" s="17"/>
      <c r="AZ223" s="17">
        <f t="shared" si="577"/>
        <v>0</v>
      </c>
      <c r="BA223" s="17">
        <f t="shared" si="577"/>
        <v>775852443</v>
      </c>
      <c r="BB223" s="17">
        <f t="shared" si="577"/>
        <v>3930948</v>
      </c>
      <c r="BC223" s="17">
        <f t="shared" si="577"/>
        <v>3930948</v>
      </c>
      <c r="BD223" s="17">
        <f t="shared" si="577"/>
        <v>0</v>
      </c>
      <c r="BE223" s="17">
        <f t="shared" si="577"/>
        <v>0</v>
      </c>
      <c r="BF223" s="17">
        <f t="shared" si="577"/>
        <v>0</v>
      </c>
      <c r="BG223" s="17">
        <f t="shared" si="577"/>
        <v>0</v>
      </c>
      <c r="BH223" s="17">
        <f t="shared" ref="BH223" si="578">SUM(BH224:BH225)</f>
        <v>0</v>
      </c>
      <c r="BI223" s="17">
        <f t="shared" si="577"/>
        <v>0</v>
      </c>
      <c r="BJ223" s="17">
        <f t="shared" si="577"/>
        <v>771921495</v>
      </c>
      <c r="BK223" s="17">
        <f t="shared" ref="BK223" si="579">SUM(BK224:BK225)</f>
        <v>0</v>
      </c>
      <c r="BL223" s="17">
        <f t="shared" si="577"/>
        <v>0</v>
      </c>
      <c r="BM223" s="17">
        <f t="shared" si="577"/>
        <v>0</v>
      </c>
      <c r="BN223" s="17">
        <f t="shared" ref="BN223" si="580">SUM(BN224:BN225)</f>
        <v>0</v>
      </c>
      <c r="BO223" s="17">
        <f t="shared" si="577"/>
        <v>0</v>
      </c>
      <c r="BP223" s="17">
        <f t="shared" si="577"/>
        <v>0</v>
      </c>
      <c r="BQ223" s="17">
        <f t="shared" si="577"/>
        <v>0</v>
      </c>
      <c r="BR223" s="17">
        <f t="shared" si="577"/>
        <v>0</v>
      </c>
      <c r="BS223" s="17">
        <f t="shared" si="577"/>
        <v>0</v>
      </c>
      <c r="BT223" s="17">
        <f t="shared" si="577"/>
        <v>0</v>
      </c>
      <c r="BU223" s="17">
        <f t="shared" si="577"/>
        <v>0</v>
      </c>
      <c r="BV223" s="17">
        <f t="shared" ref="BV223:CN223" si="581">SUM(BV224:BV225)</f>
        <v>0</v>
      </c>
      <c r="BW223" s="17">
        <f t="shared" si="581"/>
        <v>0</v>
      </c>
      <c r="BX223" s="17">
        <f t="shared" si="581"/>
        <v>0</v>
      </c>
      <c r="BY223" s="17">
        <f t="shared" si="581"/>
        <v>0</v>
      </c>
      <c r="BZ223" s="17">
        <f t="shared" si="581"/>
        <v>0</v>
      </c>
      <c r="CA223" s="17">
        <f t="shared" si="581"/>
        <v>0</v>
      </c>
      <c r="CB223" s="17">
        <f t="shared" si="581"/>
        <v>0</v>
      </c>
      <c r="CC223" s="17">
        <f t="shared" si="581"/>
        <v>0</v>
      </c>
      <c r="CD223" s="17">
        <f t="shared" si="581"/>
        <v>0</v>
      </c>
      <c r="CE223" s="17">
        <f t="shared" si="581"/>
        <v>0</v>
      </c>
      <c r="CF223" s="17">
        <f t="shared" si="581"/>
        <v>0</v>
      </c>
      <c r="CG223" s="17">
        <f t="shared" ref="CG223:CH223" si="582">SUM(CG224:CG225)</f>
        <v>0</v>
      </c>
      <c r="CH223" s="17">
        <f t="shared" si="582"/>
        <v>0</v>
      </c>
      <c r="CI223" s="17">
        <f t="shared" si="581"/>
        <v>0</v>
      </c>
      <c r="CJ223" s="17">
        <f t="shared" ref="CJ223" si="583">SUM(CJ224:CJ225)</f>
        <v>0</v>
      </c>
      <c r="CK223" s="17">
        <f t="shared" si="581"/>
        <v>0</v>
      </c>
      <c r="CL223" s="17">
        <f t="shared" ref="CL223" si="584">SUM(CL224:CL225)</f>
        <v>0</v>
      </c>
      <c r="CM223" s="17">
        <f t="shared" si="581"/>
        <v>0</v>
      </c>
      <c r="CN223" s="17">
        <f t="shared" si="581"/>
        <v>0</v>
      </c>
      <c r="CO223" s="64"/>
      <c r="CP223" s="64"/>
      <c r="CQ223" s="64"/>
      <c r="CR223" s="64"/>
      <c r="CS223" s="51"/>
      <c r="GP223" s="52"/>
    </row>
    <row r="224" spans="1:198" s="52" customFormat="1" ht="31.2" x14ac:dyDescent="0.3">
      <c r="A224" s="90" t="s">
        <v>1</v>
      </c>
      <c r="B224" s="30" t="s">
        <v>50</v>
      </c>
      <c r="C224" s="27" t="s">
        <v>271</v>
      </c>
      <c r="D224" s="18">
        <f t="shared" ref="D224:D225" si="585">SUM(E224+CA224)</f>
        <v>3930948</v>
      </c>
      <c r="E224" s="18">
        <f>SUM(F224+BA224)</f>
        <v>3930948</v>
      </c>
      <c r="F224" s="18">
        <f>SUM(G224+H224+I224+P224+S224+T224+U224+AE224+AD224)</f>
        <v>0</v>
      </c>
      <c r="G224" s="18">
        <v>0</v>
      </c>
      <c r="H224" s="18">
        <v>0</v>
      </c>
      <c r="I224" s="18">
        <f t="shared" si="327"/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f t="shared" si="328"/>
        <v>0</v>
      </c>
      <c r="Q224" s="18">
        <v>0</v>
      </c>
      <c r="R224" s="18">
        <v>0</v>
      </c>
      <c r="S224" s="18">
        <v>0</v>
      </c>
      <c r="T224" s="18">
        <v>0</v>
      </c>
      <c r="U224" s="18">
        <f t="shared" ref="U224:U225" si="586">SUM(V224:AC224)</f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0</v>
      </c>
      <c r="AB224" s="18">
        <v>0</v>
      </c>
      <c r="AC224" s="18">
        <v>0</v>
      </c>
      <c r="AD224" s="18">
        <v>0</v>
      </c>
      <c r="AE224" s="18">
        <f>SUM(AF224:AZ224)</f>
        <v>0</v>
      </c>
      <c r="AF224" s="18">
        <v>0</v>
      </c>
      <c r="AG224" s="18">
        <v>0</v>
      </c>
      <c r="AH224" s="18">
        <v>0</v>
      </c>
      <c r="AI224" s="18">
        <v>0</v>
      </c>
      <c r="AJ224" s="18">
        <v>0</v>
      </c>
      <c r="AK224" s="18">
        <v>0</v>
      </c>
      <c r="AL224" s="18">
        <v>0</v>
      </c>
      <c r="AM224" s="18">
        <v>0</v>
      </c>
      <c r="AN224" s="18">
        <v>0</v>
      </c>
      <c r="AO224" s="18">
        <v>0</v>
      </c>
      <c r="AP224" s="18">
        <v>0</v>
      </c>
      <c r="AQ224" s="18">
        <v>0</v>
      </c>
      <c r="AR224" s="18">
        <v>0</v>
      </c>
      <c r="AS224" s="18">
        <v>0</v>
      </c>
      <c r="AT224" s="18"/>
      <c r="AU224" s="18"/>
      <c r="AV224" s="18">
        <v>0</v>
      </c>
      <c r="AW224" s="18">
        <v>0</v>
      </c>
      <c r="AX224" s="18">
        <v>0</v>
      </c>
      <c r="AY224" s="18"/>
      <c r="AZ224" s="18">
        <v>0</v>
      </c>
      <c r="BA224" s="18">
        <f>SUM(BB224+BF224+BJ224+BL224+BO224)</f>
        <v>3930948</v>
      </c>
      <c r="BB224" s="18">
        <f>SUM(BC224:BE224)</f>
        <v>3930948</v>
      </c>
      <c r="BC224" s="21">
        <f>1603344+2327604</f>
        <v>3930948</v>
      </c>
      <c r="BD224" s="18">
        <v>0</v>
      </c>
      <c r="BE224" s="18">
        <v>0</v>
      </c>
      <c r="BF224" s="18">
        <f>SUM(BI224:BI224)</f>
        <v>0</v>
      </c>
      <c r="BG224" s="18">
        <v>0</v>
      </c>
      <c r="BH224" s="18">
        <v>0</v>
      </c>
      <c r="BI224" s="18">
        <v>0</v>
      </c>
      <c r="BJ224" s="18"/>
      <c r="BK224" s="18">
        <v>0</v>
      </c>
      <c r="BL224" s="18">
        <f t="shared" si="331"/>
        <v>0</v>
      </c>
      <c r="BM224" s="18">
        <v>0</v>
      </c>
      <c r="BN224" s="18">
        <v>0</v>
      </c>
      <c r="BO224" s="18">
        <f>SUM(BP224:BZ224)</f>
        <v>0</v>
      </c>
      <c r="BP224" s="18">
        <v>0</v>
      </c>
      <c r="BQ224" s="18">
        <v>0</v>
      </c>
      <c r="BR224" s="18">
        <v>0</v>
      </c>
      <c r="BS224" s="18">
        <v>0</v>
      </c>
      <c r="BT224" s="18">
        <v>0</v>
      </c>
      <c r="BU224" s="18">
        <v>0</v>
      </c>
      <c r="BV224" s="18">
        <v>0</v>
      </c>
      <c r="BW224" s="18">
        <v>0</v>
      </c>
      <c r="BX224" s="18">
        <v>0</v>
      </c>
      <c r="BY224" s="18">
        <v>0</v>
      </c>
      <c r="BZ224" s="18">
        <v>0</v>
      </c>
      <c r="CA224" s="18">
        <f>SUM(CB224+CN224)</f>
        <v>0</v>
      </c>
      <c r="CB224" s="18">
        <f>SUM(CC224+CF224+CK224)</f>
        <v>0</v>
      </c>
      <c r="CC224" s="18">
        <f t="shared" si="332"/>
        <v>0</v>
      </c>
      <c r="CD224" s="18">
        <v>0</v>
      </c>
      <c r="CE224" s="18">
        <v>0</v>
      </c>
      <c r="CF224" s="18">
        <f>SUM(CG224:CJ224)</f>
        <v>0</v>
      </c>
      <c r="CG224" s="18">
        <v>0</v>
      </c>
      <c r="CH224" s="18">
        <v>0</v>
      </c>
      <c r="CI224" s="18">
        <v>0</v>
      </c>
      <c r="CJ224" s="18">
        <v>0</v>
      </c>
      <c r="CK224" s="18">
        <f>SUM(CL224:CM224)</f>
        <v>0</v>
      </c>
      <c r="CL224" s="18">
        <v>0</v>
      </c>
      <c r="CM224" s="18">
        <v>0</v>
      </c>
      <c r="CN224" s="18">
        <v>0</v>
      </c>
      <c r="CO224" s="65"/>
      <c r="CP224" s="65"/>
      <c r="CQ224" s="65"/>
      <c r="CR224" s="65"/>
      <c r="CS224" s="46"/>
    </row>
    <row r="225" spans="1:198" s="52" customFormat="1" ht="31.2" x14ac:dyDescent="0.3">
      <c r="A225" s="90" t="s">
        <v>1</v>
      </c>
      <c r="B225" s="30" t="s">
        <v>73</v>
      </c>
      <c r="C225" s="27" t="s">
        <v>432</v>
      </c>
      <c r="D225" s="18">
        <f t="shared" si="585"/>
        <v>771921495</v>
      </c>
      <c r="E225" s="18">
        <f>SUM(F225+BA225)</f>
        <v>771921495</v>
      </c>
      <c r="F225" s="18">
        <f>SUM(G225+H225+I225+P225+S225+T225+U225+AE225+AD225)</f>
        <v>0</v>
      </c>
      <c r="G225" s="18">
        <v>0</v>
      </c>
      <c r="H225" s="18">
        <v>0</v>
      </c>
      <c r="I225" s="18">
        <f t="shared" si="327"/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f t="shared" si="328"/>
        <v>0</v>
      </c>
      <c r="Q225" s="18">
        <v>0</v>
      </c>
      <c r="R225" s="18">
        <v>0</v>
      </c>
      <c r="S225" s="18">
        <v>0</v>
      </c>
      <c r="T225" s="18">
        <v>0</v>
      </c>
      <c r="U225" s="18">
        <f t="shared" si="586"/>
        <v>0</v>
      </c>
      <c r="V225" s="18">
        <v>0</v>
      </c>
      <c r="W225" s="18">
        <v>0</v>
      </c>
      <c r="X225" s="18">
        <v>0</v>
      </c>
      <c r="Y225" s="18">
        <v>0</v>
      </c>
      <c r="Z225" s="18">
        <v>0</v>
      </c>
      <c r="AA225" s="18">
        <v>0</v>
      </c>
      <c r="AB225" s="18">
        <v>0</v>
      </c>
      <c r="AC225" s="18">
        <v>0</v>
      </c>
      <c r="AD225" s="18">
        <v>0</v>
      </c>
      <c r="AE225" s="18">
        <f>SUM(AF225:AZ225)</f>
        <v>0</v>
      </c>
      <c r="AF225" s="18">
        <v>0</v>
      </c>
      <c r="AG225" s="18">
        <v>0</v>
      </c>
      <c r="AH225" s="18">
        <v>0</v>
      </c>
      <c r="AI225" s="18">
        <v>0</v>
      </c>
      <c r="AJ225" s="18">
        <v>0</v>
      </c>
      <c r="AK225" s="18">
        <v>0</v>
      </c>
      <c r="AL225" s="18">
        <v>0</v>
      </c>
      <c r="AM225" s="18">
        <v>0</v>
      </c>
      <c r="AN225" s="18">
        <v>0</v>
      </c>
      <c r="AO225" s="18">
        <v>0</v>
      </c>
      <c r="AP225" s="18">
        <v>0</v>
      </c>
      <c r="AQ225" s="18">
        <v>0</v>
      </c>
      <c r="AR225" s="18">
        <v>0</v>
      </c>
      <c r="AS225" s="18">
        <v>0</v>
      </c>
      <c r="AT225" s="18"/>
      <c r="AU225" s="18"/>
      <c r="AV225" s="18">
        <v>0</v>
      </c>
      <c r="AW225" s="18">
        <v>0</v>
      </c>
      <c r="AX225" s="18">
        <v>0</v>
      </c>
      <c r="AY225" s="18"/>
      <c r="AZ225" s="18">
        <v>0</v>
      </c>
      <c r="BA225" s="18">
        <f>SUM(BB225+BF225+BJ225+BL225+BO225)</f>
        <v>771921495</v>
      </c>
      <c r="BB225" s="18">
        <f>SUM(BC225:BE225)</f>
        <v>0</v>
      </c>
      <c r="BC225" s="18"/>
      <c r="BD225" s="18">
        <v>0</v>
      </c>
      <c r="BE225" s="18">
        <v>0</v>
      </c>
      <c r="BF225" s="18">
        <f>SUM(BI225:BI225)</f>
        <v>0</v>
      </c>
      <c r="BG225" s="18">
        <v>0</v>
      </c>
      <c r="BH225" s="18">
        <v>0</v>
      </c>
      <c r="BI225" s="18">
        <v>0</v>
      </c>
      <c r="BJ225" s="21">
        <f>289058721+330648638-46363543+203665987-5088308</f>
        <v>771921495</v>
      </c>
      <c r="BK225" s="18">
        <v>0</v>
      </c>
      <c r="BL225" s="18">
        <f t="shared" si="331"/>
        <v>0</v>
      </c>
      <c r="BM225" s="18">
        <v>0</v>
      </c>
      <c r="BN225" s="18">
        <v>0</v>
      </c>
      <c r="BO225" s="18">
        <f>SUM(BP225:BZ225)</f>
        <v>0</v>
      </c>
      <c r="BP225" s="18">
        <v>0</v>
      </c>
      <c r="BQ225" s="18">
        <v>0</v>
      </c>
      <c r="BR225" s="18">
        <v>0</v>
      </c>
      <c r="BS225" s="18">
        <v>0</v>
      </c>
      <c r="BT225" s="18">
        <v>0</v>
      </c>
      <c r="BU225" s="18">
        <v>0</v>
      </c>
      <c r="BV225" s="18">
        <v>0</v>
      </c>
      <c r="BW225" s="18">
        <v>0</v>
      </c>
      <c r="BX225" s="18">
        <v>0</v>
      </c>
      <c r="BY225" s="18">
        <v>0</v>
      </c>
      <c r="BZ225" s="18">
        <v>0</v>
      </c>
      <c r="CA225" s="18">
        <f>SUM(CB225+CN225)</f>
        <v>0</v>
      </c>
      <c r="CB225" s="18">
        <f>SUM(CC225+CF225+CK225)</f>
        <v>0</v>
      </c>
      <c r="CC225" s="18">
        <f t="shared" si="332"/>
        <v>0</v>
      </c>
      <c r="CD225" s="18">
        <v>0</v>
      </c>
      <c r="CE225" s="18">
        <v>0</v>
      </c>
      <c r="CF225" s="18">
        <f>SUM(CG225:CJ225)</f>
        <v>0</v>
      </c>
      <c r="CG225" s="18">
        <v>0</v>
      </c>
      <c r="CH225" s="18">
        <v>0</v>
      </c>
      <c r="CI225" s="18">
        <v>0</v>
      </c>
      <c r="CJ225" s="18">
        <v>0</v>
      </c>
      <c r="CK225" s="18">
        <f>SUM(CL225:CM225)</f>
        <v>0</v>
      </c>
      <c r="CL225" s="18">
        <v>0</v>
      </c>
      <c r="CM225" s="18">
        <v>0</v>
      </c>
      <c r="CN225" s="18">
        <v>0</v>
      </c>
      <c r="CO225" s="65"/>
      <c r="CP225" s="65"/>
      <c r="CQ225" s="65"/>
      <c r="CR225" s="65"/>
      <c r="CS225" s="46"/>
      <c r="GP225" s="44"/>
    </row>
    <row r="226" spans="1:198" ht="15.6" x14ac:dyDescent="0.3">
      <c r="A226" s="91" t="s">
        <v>272</v>
      </c>
      <c r="B226" s="23" t="s">
        <v>1</v>
      </c>
      <c r="C226" s="24" t="s">
        <v>273</v>
      </c>
      <c r="D226" s="25">
        <f t="shared" ref="D226:AI226" si="587">SUM(D227+D229+D232+D272+D286+D288)</f>
        <v>620272007</v>
      </c>
      <c r="E226" s="25">
        <f t="shared" si="587"/>
        <v>272390723</v>
      </c>
      <c r="F226" s="25">
        <f t="shared" si="587"/>
        <v>258831647</v>
      </c>
      <c r="G226" s="25">
        <f t="shared" si="587"/>
        <v>110300210</v>
      </c>
      <c r="H226" s="25">
        <f t="shared" si="587"/>
        <v>21896023</v>
      </c>
      <c r="I226" s="25">
        <f t="shared" si="587"/>
        <v>46070321</v>
      </c>
      <c r="J226" s="25">
        <f t="shared" si="587"/>
        <v>12853333</v>
      </c>
      <c r="K226" s="25">
        <f t="shared" si="587"/>
        <v>1448933</v>
      </c>
      <c r="L226" s="25">
        <f t="shared" si="587"/>
        <v>2464209</v>
      </c>
      <c r="M226" s="25">
        <f t="shared" si="587"/>
        <v>20000</v>
      </c>
      <c r="N226" s="25">
        <f t="shared" si="587"/>
        <v>7995620</v>
      </c>
      <c r="O226" s="25">
        <f t="shared" si="587"/>
        <v>21288226</v>
      </c>
      <c r="P226" s="25">
        <f t="shared" si="587"/>
        <v>628222</v>
      </c>
      <c r="Q226" s="25">
        <f t="shared" si="587"/>
        <v>79423</v>
      </c>
      <c r="R226" s="25">
        <f t="shared" si="587"/>
        <v>548799</v>
      </c>
      <c r="S226" s="25">
        <f t="shared" si="587"/>
        <v>71184</v>
      </c>
      <c r="T226" s="25">
        <f t="shared" si="587"/>
        <v>1468300</v>
      </c>
      <c r="U226" s="25">
        <f t="shared" si="587"/>
        <v>18282670</v>
      </c>
      <c r="V226" s="25">
        <f t="shared" si="587"/>
        <v>3468652</v>
      </c>
      <c r="W226" s="25">
        <f t="shared" si="587"/>
        <v>7484173</v>
      </c>
      <c r="X226" s="25">
        <f t="shared" si="587"/>
        <v>4211675</v>
      </c>
      <c r="Y226" s="25">
        <f t="shared" si="587"/>
        <v>1677312</v>
      </c>
      <c r="Z226" s="25">
        <f t="shared" si="587"/>
        <v>754676</v>
      </c>
      <c r="AA226" s="25">
        <f t="shared" si="587"/>
        <v>137722</v>
      </c>
      <c r="AB226" s="25">
        <f t="shared" si="587"/>
        <v>0</v>
      </c>
      <c r="AC226" s="25">
        <f t="shared" si="587"/>
        <v>548460</v>
      </c>
      <c r="AD226" s="25">
        <f t="shared" si="587"/>
        <v>0</v>
      </c>
      <c r="AE226" s="25">
        <f t="shared" si="587"/>
        <v>60114717</v>
      </c>
      <c r="AF226" s="25">
        <f t="shared" si="587"/>
        <v>0</v>
      </c>
      <c r="AG226" s="25">
        <f t="shared" si="587"/>
        <v>0</v>
      </c>
      <c r="AH226" s="25">
        <f t="shared" si="587"/>
        <v>5810521</v>
      </c>
      <c r="AI226" s="25">
        <f t="shared" si="587"/>
        <v>7380792</v>
      </c>
      <c r="AJ226" s="25">
        <f t="shared" ref="AJ226:BO226" si="588">SUM(AJ227+AJ229+AJ232+AJ272+AJ286+AJ288)</f>
        <v>331796</v>
      </c>
      <c r="AK226" s="25">
        <f t="shared" si="588"/>
        <v>391143</v>
      </c>
      <c r="AL226" s="25">
        <f t="shared" si="588"/>
        <v>5700</v>
      </c>
      <c r="AM226" s="25">
        <f t="shared" si="588"/>
        <v>282969</v>
      </c>
      <c r="AN226" s="25">
        <f t="shared" si="588"/>
        <v>2384751</v>
      </c>
      <c r="AO226" s="25">
        <f t="shared" si="588"/>
        <v>21833</v>
      </c>
      <c r="AP226" s="25">
        <f t="shared" si="588"/>
        <v>20600</v>
      </c>
      <c r="AQ226" s="25">
        <f t="shared" si="588"/>
        <v>7892843</v>
      </c>
      <c r="AR226" s="25">
        <f t="shared" si="588"/>
        <v>300074</v>
      </c>
      <c r="AS226" s="25">
        <f t="shared" si="588"/>
        <v>617933</v>
      </c>
      <c r="AT226" s="25">
        <f t="shared" si="588"/>
        <v>0</v>
      </c>
      <c r="AU226" s="25">
        <f t="shared" si="588"/>
        <v>3618</v>
      </c>
      <c r="AV226" s="25">
        <f t="shared" si="588"/>
        <v>0</v>
      </c>
      <c r="AW226" s="25">
        <f t="shared" si="588"/>
        <v>1230675</v>
      </c>
      <c r="AX226" s="25">
        <f t="shared" si="588"/>
        <v>493927</v>
      </c>
      <c r="AY226" s="25">
        <f t="shared" si="588"/>
        <v>285000</v>
      </c>
      <c r="AZ226" s="25">
        <f t="shared" si="588"/>
        <v>32660542</v>
      </c>
      <c r="BA226" s="25">
        <f t="shared" si="588"/>
        <v>13559076</v>
      </c>
      <c r="BB226" s="25">
        <f t="shared" si="588"/>
        <v>0</v>
      </c>
      <c r="BC226" s="25">
        <f t="shared" si="588"/>
        <v>0</v>
      </c>
      <c r="BD226" s="25">
        <f t="shared" si="588"/>
        <v>0</v>
      </c>
      <c r="BE226" s="25">
        <f t="shared" si="588"/>
        <v>0</v>
      </c>
      <c r="BF226" s="25">
        <f t="shared" si="588"/>
        <v>0</v>
      </c>
      <c r="BG226" s="25">
        <f t="shared" si="588"/>
        <v>0</v>
      </c>
      <c r="BH226" s="25">
        <f t="shared" si="588"/>
        <v>0</v>
      </c>
      <c r="BI226" s="25">
        <f t="shared" si="588"/>
        <v>0</v>
      </c>
      <c r="BJ226" s="25">
        <f t="shared" si="588"/>
        <v>13315560</v>
      </c>
      <c r="BK226" s="25">
        <f t="shared" si="588"/>
        <v>509352</v>
      </c>
      <c r="BL226" s="25">
        <f t="shared" si="588"/>
        <v>0</v>
      </c>
      <c r="BM226" s="25">
        <f t="shared" si="588"/>
        <v>0</v>
      </c>
      <c r="BN226" s="25">
        <f t="shared" si="588"/>
        <v>0</v>
      </c>
      <c r="BO226" s="25">
        <f t="shared" si="588"/>
        <v>243516</v>
      </c>
      <c r="BP226" s="25">
        <f t="shared" ref="BP226:CR226" si="589">SUM(BP227+BP229+BP232+BP272+BP286+BP288)</f>
        <v>0</v>
      </c>
      <c r="BQ226" s="25">
        <f t="shared" si="589"/>
        <v>0</v>
      </c>
      <c r="BR226" s="25">
        <f t="shared" si="589"/>
        <v>0</v>
      </c>
      <c r="BS226" s="25">
        <f t="shared" si="589"/>
        <v>0</v>
      </c>
      <c r="BT226" s="25">
        <f t="shared" si="589"/>
        <v>0</v>
      </c>
      <c r="BU226" s="25">
        <f t="shared" si="589"/>
        <v>0</v>
      </c>
      <c r="BV226" s="25">
        <f t="shared" si="589"/>
        <v>0</v>
      </c>
      <c r="BW226" s="25">
        <f t="shared" si="589"/>
        <v>0</v>
      </c>
      <c r="BX226" s="25">
        <f t="shared" si="589"/>
        <v>0</v>
      </c>
      <c r="BY226" s="25">
        <f t="shared" si="589"/>
        <v>40772</v>
      </c>
      <c r="BZ226" s="25">
        <f t="shared" si="589"/>
        <v>202744</v>
      </c>
      <c r="CA226" s="25">
        <f t="shared" si="589"/>
        <v>85391158</v>
      </c>
      <c r="CB226" s="25">
        <f t="shared" si="589"/>
        <v>11482060</v>
      </c>
      <c r="CC226" s="25">
        <f t="shared" si="589"/>
        <v>9965042</v>
      </c>
      <c r="CD226" s="25">
        <f t="shared" si="589"/>
        <v>310560</v>
      </c>
      <c r="CE226" s="25">
        <f t="shared" si="589"/>
        <v>9654482</v>
      </c>
      <c r="CF226" s="25">
        <f t="shared" si="589"/>
        <v>224076</v>
      </c>
      <c r="CG226" s="25">
        <f t="shared" si="589"/>
        <v>0</v>
      </c>
      <c r="CH226" s="25">
        <f t="shared" si="589"/>
        <v>0</v>
      </c>
      <c r="CI226" s="25">
        <f t="shared" si="589"/>
        <v>0</v>
      </c>
      <c r="CJ226" s="25">
        <f t="shared" si="589"/>
        <v>224076</v>
      </c>
      <c r="CK226" s="25">
        <f t="shared" si="589"/>
        <v>1292942</v>
      </c>
      <c r="CL226" s="25">
        <f t="shared" si="589"/>
        <v>300000</v>
      </c>
      <c r="CM226" s="25">
        <f t="shared" si="589"/>
        <v>992942</v>
      </c>
      <c r="CN226" s="25">
        <f t="shared" si="589"/>
        <v>73909098</v>
      </c>
      <c r="CO226" s="25">
        <f t="shared" si="589"/>
        <v>262490126</v>
      </c>
      <c r="CP226" s="25">
        <f t="shared" si="589"/>
        <v>262490126</v>
      </c>
      <c r="CQ226" s="25">
        <f t="shared" si="589"/>
        <v>148698385</v>
      </c>
      <c r="CR226" s="25">
        <f t="shared" si="589"/>
        <v>113791741</v>
      </c>
      <c r="CS226" s="51"/>
    </row>
    <row r="227" spans="1:198" s="52" customFormat="1" ht="15.6" x14ac:dyDescent="0.3">
      <c r="A227" s="89" t="s">
        <v>274</v>
      </c>
      <c r="B227" s="15" t="s">
        <v>1</v>
      </c>
      <c r="C227" s="16" t="s">
        <v>275</v>
      </c>
      <c r="D227" s="17">
        <f>SUM(D228)</f>
        <v>8817744</v>
      </c>
      <c r="E227" s="17">
        <f t="shared" ref="E227:BU227" si="590">SUM(E228)</f>
        <v>0</v>
      </c>
      <c r="F227" s="17">
        <f t="shared" si="590"/>
        <v>0</v>
      </c>
      <c r="G227" s="17">
        <f t="shared" si="590"/>
        <v>0</v>
      </c>
      <c r="H227" s="17">
        <f t="shared" si="590"/>
        <v>0</v>
      </c>
      <c r="I227" s="17">
        <f t="shared" si="590"/>
        <v>0</v>
      </c>
      <c r="J227" s="17">
        <f t="shared" si="590"/>
        <v>0</v>
      </c>
      <c r="K227" s="17">
        <f t="shared" si="590"/>
        <v>0</v>
      </c>
      <c r="L227" s="17">
        <f t="shared" si="590"/>
        <v>0</v>
      </c>
      <c r="M227" s="17">
        <f t="shared" si="590"/>
        <v>0</v>
      </c>
      <c r="N227" s="17">
        <f t="shared" si="590"/>
        <v>0</v>
      </c>
      <c r="O227" s="17">
        <f t="shared" si="590"/>
        <v>0</v>
      </c>
      <c r="P227" s="17">
        <f t="shared" si="590"/>
        <v>0</v>
      </c>
      <c r="Q227" s="17">
        <f t="shared" si="590"/>
        <v>0</v>
      </c>
      <c r="R227" s="17">
        <f t="shared" si="590"/>
        <v>0</v>
      </c>
      <c r="S227" s="17">
        <f t="shared" si="590"/>
        <v>0</v>
      </c>
      <c r="T227" s="17">
        <f t="shared" si="590"/>
        <v>0</v>
      </c>
      <c r="U227" s="17">
        <f t="shared" si="590"/>
        <v>0</v>
      </c>
      <c r="V227" s="17">
        <f t="shared" si="590"/>
        <v>0</v>
      </c>
      <c r="W227" s="17">
        <f t="shared" si="590"/>
        <v>0</v>
      </c>
      <c r="X227" s="17">
        <f t="shared" si="590"/>
        <v>0</v>
      </c>
      <c r="Y227" s="17">
        <f t="shared" si="590"/>
        <v>0</v>
      </c>
      <c r="Z227" s="17">
        <f t="shared" si="590"/>
        <v>0</v>
      </c>
      <c r="AA227" s="17">
        <f t="shared" si="590"/>
        <v>0</v>
      </c>
      <c r="AB227" s="17">
        <f t="shared" si="590"/>
        <v>0</v>
      </c>
      <c r="AC227" s="17">
        <f t="shared" si="590"/>
        <v>0</v>
      </c>
      <c r="AD227" s="17">
        <f t="shared" si="590"/>
        <v>0</v>
      </c>
      <c r="AE227" s="17">
        <f t="shared" si="590"/>
        <v>0</v>
      </c>
      <c r="AF227" s="17">
        <f t="shared" si="590"/>
        <v>0</v>
      </c>
      <c r="AG227" s="17">
        <f t="shared" si="590"/>
        <v>0</v>
      </c>
      <c r="AH227" s="17">
        <f t="shared" si="590"/>
        <v>0</v>
      </c>
      <c r="AI227" s="17">
        <f t="shared" si="590"/>
        <v>0</v>
      </c>
      <c r="AJ227" s="17">
        <f t="shared" si="590"/>
        <v>0</v>
      </c>
      <c r="AK227" s="17">
        <f t="shared" si="590"/>
        <v>0</v>
      </c>
      <c r="AL227" s="17">
        <f t="shared" si="590"/>
        <v>0</v>
      </c>
      <c r="AM227" s="17">
        <f t="shared" si="590"/>
        <v>0</v>
      </c>
      <c r="AN227" s="17">
        <f t="shared" si="590"/>
        <v>0</v>
      </c>
      <c r="AO227" s="17">
        <f t="shared" si="590"/>
        <v>0</v>
      </c>
      <c r="AP227" s="17">
        <f t="shared" si="590"/>
        <v>0</v>
      </c>
      <c r="AQ227" s="17">
        <f t="shared" si="590"/>
        <v>0</v>
      </c>
      <c r="AR227" s="17">
        <f t="shared" si="590"/>
        <v>0</v>
      </c>
      <c r="AS227" s="17">
        <f t="shared" si="590"/>
        <v>0</v>
      </c>
      <c r="AT227" s="17"/>
      <c r="AU227" s="17"/>
      <c r="AV227" s="17">
        <f t="shared" si="590"/>
        <v>0</v>
      </c>
      <c r="AW227" s="17">
        <f t="shared" si="590"/>
        <v>0</v>
      </c>
      <c r="AX227" s="17">
        <f t="shared" si="590"/>
        <v>0</v>
      </c>
      <c r="AY227" s="17"/>
      <c r="AZ227" s="17">
        <f t="shared" si="590"/>
        <v>0</v>
      </c>
      <c r="BA227" s="17">
        <f t="shared" si="590"/>
        <v>0</v>
      </c>
      <c r="BB227" s="17">
        <f t="shared" si="590"/>
        <v>0</v>
      </c>
      <c r="BC227" s="17">
        <f t="shared" si="590"/>
        <v>0</v>
      </c>
      <c r="BD227" s="17">
        <f t="shared" si="590"/>
        <v>0</v>
      </c>
      <c r="BE227" s="17">
        <f t="shared" si="590"/>
        <v>0</v>
      </c>
      <c r="BF227" s="17">
        <f t="shared" si="590"/>
        <v>0</v>
      </c>
      <c r="BG227" s="17">
        <f t="shared" si="590"/>
        <v>0</v>
      </c>
      <c r="BH227" s="17">
        <f t="shared" si="590"/>
        <v>0</v>
      </c>
      <c r="BI227" s="17">
        <f t="shared" si="590"/>
        <v>0</v>
      </c>
      <c r="BJ227" s="17">
        <f t="shared" si="590"/>
        <v>0</v>
      </c>
      <c r="BK227" s="17">
        <f t="shared" si="590"/>
        <v>0</v>
      </c>
      <c r="BL227" s="17">
        <f t="shared" si="590"/>
        <v>0</v>
      </c>
      <c r="BM227" s="17">
        <f t="shared" si="590"/>
        <v>0</v>
      </c>
      <c r="BN227" s="17">
        <f t="shared" si="590"/>
        <v>0</v>
      </c>
      <c r="BO227" s="17">
        <f t="shared" si="590"/>
        <v>0</v>
      </c>
      <c r="BP227" s="17">
        <f t="shared" si="590"/>
        <v>0</v>
      </c>
      <c r="BQ227" s="17">
        <f t="shared" si="590"/>
        <v>0</v>
      </c>
      <c r="BR227" s="17">
        <f t="shared" si="590"/>
        <v>0</v>
      </c>
      <c r="BS227" s="17">
        <f t="shared" si="590"/>
        <v>0</v>
      </c>
      <c r="BT227" s="17">
        <f t="shared" si="590"/>
        <v>0</v>
      </c>
      <c r="BU227" s="17">
        <f t="shared" si="590"/>
        <v>0</v>
      </c>
      <c r="BV227" s="17">
        <f t="shared" ref="BV227:CN227" si="591">SUM(BV228)</f>
        <v>0</v>
      </c>
      <c r="BW227" s="17">
        <f t="shared" si="591"/>
        <v>0</v>
      </c>
      <c r="BX227" s="17">
        <f t="shared" si="591"/>
        <v>0</v>
      </c>
      <c r="BY227" s="17">
        <f t="shared" si="591"/>
        <v>0</v>
      </c>
      <c r="BZ227" s="17">
        <f t="shared" si="591"/>
        <v>0</v>
      </c>
      <c r="CA227" s="17">
        <f t="shared" si="591"/>
        <v>8817744</v>
      </c>
      <c r="CB227" s="17">
        <f t="shared" si="591"/>
        <v>0</v>
      </c>
      <c r="CC227" s="17">
        <f t="shared" si="591"/>
        <v>0</v>
      </c>
      <c r="CD227" s="17">
        <f t="shared" si="591"/>
        <v>0</v>
      </c>
      <c r="CE227" s="17">
        <f t="shared" si="591"/>
        <v>0</v>
      </c>
      <c r="CF227" s="17">
        <f t="shared" si="591"/>
        <v>0</v>
      </c>
      <c r="CG227" s="17">
        <f t="shared" si="591"/>
        <v>0</v>
      </c>
      <c r="CH227" s="17">
        <f t="shared" si="591"/>
        <v>0</v>
      </c>
      <c r="CI227" s="17">
        <f t="shared" si="591"/>
        <v>0</v>
      </c>
      <c r="CJ227" s="17">
        <f t="shared" si="591"/>
        <v>0</v>
      </c>
      <c r="CK227" s="17">
        <f t="shared" si="591"/>
        <v>0</v>
      </c>
      <c r="CL227" s="17">
        <f t="shared" si="591"/>
        <v>0</v>
      </c>
      <c r="CM227" s="17">
        <f t="shared" si="591"/>
        <v>0</v>
      </c>
      <c r="CN227" s="17">
        <f t="shared" si="591"/>
        <v>8817744</v>
      </c>
      <c r="CO227" s="64"/>
      <c r="CP227" s="64"/>
      <c r="CQ227" s="64"/>
      <c r="CR227" s="64"/>
      <c r="CS227" s="51"/>
    </row>
    <row r="228" spans="1:198" ht="15.6" x14ac:dyDescent="0.3">
      <c r="A228" s="90" t="s">
        <v>1</v>
      </c>
      <c r="B228" s="19" t="s">
        <v>276</v>
      </c>
      <c r="C228" s="20" t="s">
        <v>275</v>
      </c>
      <c r="D228" s="18">
        <f>SUM(E228+CA228)</f>
        <v>8817744</v>
      </c>
      <c r="E228" s="18">
        <f>SUM(F228+BA228)</f>
        <v>0</v>
      </c>
      <c r="F228" s="18">
        <f>SUM(G228+H228+I228+P228+S228+T228+U228+AE228+AD228)</f>
        <v>0</v>
      </c>
      <c r="G228" s="18">
        <v>0</v>
      </c>
      <c r="H228" s="18">
        <v>0</v>
      </c>
      <c r="I228" s="18">
        <f t="shared" si="327"/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f t="shared" si="328"/>
        <v>0</v>
      </c>
      <c r="Q228" s="18">
        <v>0</v>
      </c>
      <c r="R228" s="18">
        <v>0</v>
      </c>
      <c r="S228" s="18">
        <v>0</v>
      </c>
      <c r="T228" s="18">
        <v>0</v>
      </c>
      <c r="U228" s="18">
        <f t="shared" ref="U228" si="592">SUM(V228:AC228)</f>
        <v>0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18">
        <v>0</v>
      </c>
      <c r="AB228" s="18">
        <v>0</v>
      </c>
      <c r="AC228" s="18">
        <v>0</v>
      </c>
      <c r="AD228" s="18">
        <v>0</v>
      </c>
      <c r="AE228" s="18">
        <f>SUM(AF228:AZ228)</f>
        <v>0</v>
      </c>
      <c r="AF228" s="18">
        <v>0</v>
      </c>
      <c r="AG228" s="18">
        <v>0</v>
      </c>
      <c r="AH228" s="18">
        <v>0</v>
      </c>
      <c r="AI228" s="18">
        <v>0</v>
      </c>
      <c r="AJ228" s="18">
        <v>0</v>
      </c>
      <c r="AK228" s="18">
        <v>0</v>
      </c>
      <c r="AL228" s="18">
        <v>0</v>
      </c>
      <c r="AM228" s="18">
        <v>0</v>
      </c>
      <c r="AN228" s="18">
        <v>0</v>
      </c>
      <c r="AO228" s="18">
        <v>0</v>
      </c>
      <c r="AP228" s="18">
        <v>0</v>
      </c>
      <c r="AQ228" s="18">
        <v>0</v>
      </c>
      <c r="AR228" s="18">
        <v>0</v>
      </c>
      <c r="AS228" s="18">
        <v>0</v>
      </c>
      <c r="AT228" s="18"/>
      <c r="AU228" s="18"/>
      <c r="AV228" s="18">
        <v>0</v>
      </c>
      <c r="AW228" s="18">
        <v>0</v>
      </c>
      <c r="AX228" s="18">
        <v>0</v>
      </c>
      <c r="AY228" s="18"/>
      <c r="AZ228" s="18">
        <v>0</v>
      </c>
      <c r="BA228" s="18">
        <f>SUM(BB228+BF228+BJ228+BL228+BO228)</f>
        <v>0</v>
      </c>
      <c r="BB228" s="18">
        <f>SUM(BC228:BE228)</f>
        <v>0</v>
      </c>
      <c r="BC228" s="18">
        <v>0</v>
      </c>
      <c r="BD228" s="18">
        <v>0</v>
      </c>
      <c r="BE228" s="18">
        <v>0</v>
      </c>
      <c r="BF228" s="18">
        <f>SUM(BI228:BI228)</f>
        <v>0</v>
      </c>
      <c r="BG228" s="18">
        <v>0</v>
      </c>
      <c r="BH228" s="18">
        <v>0</v>
      </c>
      <c r="BI228" s="18">
        <v>0</v>
      </c>
      <c r="BJ228" s="18">
        <v>0</v>
      </c>
      <c r="BK228" s="18">
        <v>0</v>
      </c>
      <c r="BL228" s="18">
        <f t="shared" si="331"/>
        <v>0</v>
      </c>
      <c r="BM228" s="18">
        <v>0</v>
      </c>
      <c r="BN228" s="18">
        <v>0</v>
      </c>
      <c r="BO228" s="18">
        <f>SUM(BP228:BZ228)</f>
        <v>0</v>
      </c>
      <c r="BP228" s="18">
        <v>0</v>
      </c>
      <c r="BQ228" s="18">
        <v>0</v>
      </c>
      <c r="BR228" s="18">
        <v>0</v>
      </c>
      <c r="BS228" s="18">
        <v>0</v>
      </c>
      <c r="BT228" s="18">
        <v>0</v>
      </c>
      <c r="BU228" s="18">
        <v>0</v>
      </c>
      <c r="BV228" s="18">
        <v>0</v>
      </c>
      <c r="BW228" s="18">
        <v>0</v>
      </c>
      <c r="BX228" s="18">
        <v>0</v>
      </c>
      <c r="BY228" s="18">
        <v>0</v>
      </c>
      <c r="BZ228" s="18">
        <v>0</v>
      </c>
      <c r="CA228" s="18">
        <f>SUM(CB228+CN228)</f>
        <v>8817744</v>
      </c>
      <c r="CB228" s="18">
        <f>SUM(CC228+CF228+CK228)</f>
        <v>0</v>
      </c>
      <c r="CC228" s="18">
        <f t="shared" si="332"/>
        <v>0</v>
      </c>
      <c r="CD228" s="18">
        <v>0</v>
      </c>
      <c r="CE228" s="18">
        <v>0</v>
      </c>
      <c r="CF228" s="18">
        <f>SUM(CG228:CJ228)</f>
        <v>0</v>
      </c>
      <c r="CG228" s="18">
        <v>0</v>
      </c>
      <c r="CH228" s="18">
        <v>0</v>
      </c>
      <c r="CI228" s="18">
        <v>0</v>
      </c>
      <c r="CJ228" s="18">
        <v>0</v>
      </c>
      <c r="CK228" s="18">
        <f>SUM(CL228:CM228)</f>
        <v>0</v>
      </c>
      <c r="CL228" s="18">
        <v>0</v>
      </c>
      <c r="CM228" s="18">
        <v>0</v>
      </c>
      <c r="CN228" s="18">
        <f>18000000-6861423-2320833</f>
        <v>8817744</v>
      </c>
      <c r="CO228" s="65"/>
      <c r="CP228" s="65"/>
      <c r="CQ228" s="65"/>
      <c r="CR228" s="65"/>
      <c r="CS228" s="46"/>
      <c r="GP228" s="52"/>
    </row>
    <row r="229" spans="1:198" s="46" customFormat="1" ht="15.6" x14ac:dyDescent="0.3">
      <c r="A229" s="89" t="s">
        <v>277</v>
      </c>
      <c r="B229" s="15" t="s">
        <v>1</v>
      </c>
      <c r="C229" s="16" t="s">
        <v>278</v>
      </c>
      <c r="D229" s="17">
        <f t="shared" ref="D229:AI229" si="593">SUM(D230:D230)+D231</f>
        <v>13959019</v>
      </c>
      <c r="E229" s="17">
        <f t="shared" si="593"/>
        <v>13959019</v>
      </c>
      <c r="F229" s="17">
        <f t="shared" si="593"/>
        <v>13957102</v>
      </c>
      <c r="G229" s="17">
        <f t="shared" si="593"/>
        <v>1100522</v>
      </c>
      <c r="H229" s="17">
        <f t="shared" si="593"/>
        <v>267614</v>
      </c>
      <c r="I229" s="17">
        <f t="shared" si="593"/>
        <v>116000</v>
      </c>
      <c r="J229" s="17">
        <f t="shared" si="593"/>
        <v>0</v>
      </c>
      <c r="K229" s="17">
        <f t="shared" si="593"/>
        <v>0</v>
      </c>
      <c r="L229" s="17">
        <f t="shared" si="593"/>
        <v>0</v>
      </c>
      <c r="M229" s="17">
        <f t="shared" si="593"/>
        <v>0</v>
      </c>
      <c r="N229" s="17">
        <f t="shared" si="593"/>
        <v>64183</v>
      </c>
      <c r="O229" s="17">
        <f t="shared" si="593"/>
        <v>51817</v>
      </c>
      <c r="P229" s="17">
        <f t="shared" si="593"/>
        <v>0</v>
      </c>
      <c r="Q229" s="17">
        <f t="shared" si="593"/>
        <v>0</v>
      </c>
      <c r="R229" s="17">
        <f t="shared" si="593"/>
        <v>0</v>
      </c>
      <c r="S229" s="17">
        <f t="shared" si="593"/>
        <v>0</v>
      </c>
      <c r="T229" s="17">
        <f t="shared" si="593"/>
        <v>20039</v>
      </c>
      <c r="U229" s="17">
        <f t="shared" si="593"/>
        <v>56834</v>
      </c>
      <c r="V229" s="17">
        <f t="shared" si="593"/>
        <v>0</v>
      </c>
      <c r="W229" s="17">
        <f t="shared" si="593"/>
        <v>29142</v>
      </c>
      <c r="X229" s="17">
        <f t="shared" si="593"/>
        <v>25742</v>
      </c>
      <c r="Y229" s="17">
        <f t="shared" si="593"/>
        <v>1950</v>
      </c>
      <c r="Z229" s="17">
        <f t="shared" si="593"/>
        <v>0</v>
      </c>
      <c r="AA229" s="17">
        <f t="shared" si="593"/>
        <v>0</v>
      </c>
      <c r="AB229" s="17">
        <f t="shared" si="593"/>
        <v>0</v>
      </c>
      <c r="AC229" s="17">
        <f t="shared" si="593"/>
        <v>0</v>
      </c>
      <c r="AD229" s="17">
        <f t="shared" si="593"/>
        <v>0</v>
      </c>
      <c r="AE229" s="17">
        <f t="shared" si="593"/>
        <v>12396093</v>
      </c>
      <c r="AF229" s="17">
        <f t="shared" si="593"/>
        <v>0</v>
      </c>
      <c r="AG229" s="17">
        <f t="shared" si="593"/>
        <v>0</v>
      </c>
      <c r="AH229" s="17">
        <f t="shared" si="593"/>
        <v>20000</v>
      </c>
      <c r="AI229" s="17">
        <f t="shared" si="593"/>
        <v>0</v>
      </c>
      <c r="AJ229" s="17">
        <f t="shared" ref="AJ229:BP229" si="594">SUM(AJ230:AJ230)+AJ231</f>
        <v>0</v>
      </c>
      <c r="AK229" s="17">
        <f t="shared" si="594"/>
        <v>370</v>
      </c>
      <c r="AL229" s="17">
        <f t="shared" si="594"/>
        <v>0</v>
      </c>
      <c r="AM229" s="17">
        <f t="shared" si="594"/>
        <v>0</v>
      </c>
      <c r="AN229" s="17">
        <f t="shared" si="594"/>
        <v>0</v>
      </c>
      <c r="AO229" s="17">
        <f t="shared" si="594"/>
        <v>6833</v>
      </c>
      <c r="AP229" s="17">
        <f t="shared" si="594"/>
        <v>0</v>
      </c>
      <c r="AQ229" s="17">
        <f t="shared" si="594"/>
        <v>0</v>
      </c>
      <c r="AR229" s="17">
        <f t="shared" si="594"/>
        <v>85074</v>
      </c>
      <c r="AS229" s="17">
        <f t="shared" si="594"/>
        <v>1611</v>
      </c>
      <c r="AT229" s="17">
        <f t="shared" si="594"/>
        <v>0</v>
      </c>
      <c r="AU229" s="17">
        <f t="shared" si="594"/>
        <v>0</v>
      </c>
      <c r="AV229" s="17">
        <f t="shared" si="594"/>
        <v>0</v>
      </c>
      <c r="AW229" s="17">
        <f t="shared" si="594"/>
        <v>0</v>
      </c>
      <c r="AX229" s="17">
        <f t="shared" si="594"/>
        <v>12000</v>
      </c>
      <c r="AY229" s="17">
        <f t="shared" si="594"/>
        <v>185000</v>
      </c>
      <c r="AZ229" s="17">
        <f t="shared" si="594"/>
        <v>12085205</v>
      </c>
      <c r="BA229" s="17">
        <f t="shared" si="594"/>
        <v>1917</v>
      </c>
      <c r="BB229" s="17">
        <f t="shared" si="594"/>
        <v>0</v>
      </c>
      <c r="BC229" s="17">
        <f t="shared" si="594"/>
        <v>0</v>
      </c>
      <c r="BD229" s="17">
        <f t="shared" si="594"/>
        <v>0</v>
      </c>
      <c r="BE229" s="17">
        <f t="shared" si="594"/>
        <v>0</v>
      </c>
      <c r="BF229" s="17">
        <f t="shared" si="594"/>
        <v>0</v>
      </c>
      <c r="BG229" s="17">
        <f t="shared" si="594"/>
        <v>0</v>
      </c>
      <c r="BH229" s="17">
        <f t="shared" si="594"/>
        <v>0</v>
      </c>
      <c r="BI229" s="17">
        <f t="shared" si="594"/>
        <v>0</v>
      </c>
      <c r="BJ229" s="17">
        <f t="shared" si="594"/>
        <v>0</v>
      </c>
      <c r="BK229" s="17">
        <f t="shared" si="594"/>
        <v>0</v>
      </c>
      <c r="BL229" s="17">
        <f t="shared" si="594"/>
        <v>0</v>
      </c>
      <c r="BM229" s="17">
        <f t="shared" si="594"/>
        <v>0</v>
      </c>
      <c r="BN229" s="17">
        <f t="shared" si="594"/>
        <v>0</v>
      </c>
      <c r="BO229" s="17">
        <f t="shared" si="594"/>
        <v>1917</v>
      </c>
      <c r="BP229" s="17">
        <f t="shared" si="594"/>
        <v>0</v>
      </c>
      <c r="BQ229" s="17">
        <f t="shared" ref="BQ229:CN229" si="595">SUM(BQ230:BQ230)+BQ231</f>
        <v>0</v>
      </c>
      <c r="BR229" s="17">
        <f t="shared" si="595"/>
        <v>0</v>
      </c>
      <c r="BS229" s="17">
        <f t="shared" si="595"/>
        <v>0</v>
      </c>
      <c r="BT229" s="17">
        <f t="shared" si="595"/>
        <v>0</v>
      </c>
      <c r="BU229" s="17">
        <f t="shared" si="595"/>
        <v>0</v>
      </c>
      <c r="BV229" s="17">
        <f t="shared" si="595"/>
        <v>0</v>
      </c>
      <c r="BW229" s="17">
        <f t="shared" si="595"/>
        <v>0</v>
      </c>
      <c r="BX229" s="17">
        <f t="shared" si="595"/>
        <v>0</v>
      </c>
      <c r="BY229" s="17">
        <f t="shared" si="595"/>
        <v>1917</v>
      </c>
      <c r="BZ229" s="17">
        <f t="shared" si="595"/>
        <v>0</v>
      </c>
      <c r="CA229" s="17">
        <f t="shared" si="595"/>
        <v>0</v>
      </c>
      <c r="CB229" s="17">
        <f t="shared" si="595"/>
        <v>0</v>
      </c>
      <c r="CC229" s="17">
        <f t="shared" si="595"/>
        <v>0</v>
      </c>
      <c r="CD229" s="17">
        <f t="shared" si="595"/>
        <v>0</v>
      </c>
      <c r="CE229" s="17">
        <f t="shared" si="595"/>
        <v>0</v>
      </c>
      <c r="CF229" s="17">
        <f t="shared" si="595"/>
        <v>0</v>
      </c>
      <c r="CG229" s="17">
        <f t="shared" si="595"/>
        <v>0</v>
      </c>
      <c r="CH229" s="17">
        <f t="shared" si="595"/>
        <v>0</v>
      </c>
      <c r="CI229" s="17">
        <f t="shared" si="595"/>
        <v>0</v>
      </c>
      <c r="CJ229" s="17">
        <f t="shared" si="595"/>
        <v>0</v>
      </c>
      <c r="CK229" s="17">
        <f t="shared" si="595"/>
        <v>0</v>
      </c>
      <c r="CL229" s="17">
        <f t="shared" si="595"/>
        <v>0</v>
      </c>
      <c r="CM229" s="17">
        <f t="shared" si="595"/>
        <v>0</v>
      </c>
      <c r="CN229" s="17">
        <f t="shared" si="595"/>
        <v>0</v>
      </c>
      <c r="CO229" s="64"/>
      <c r="CP229" s="64"/>
      <c r="CQ229" s="64"/>
      <c r="CR229" s="64"/>
      <c r="CS229" s="51"/>
      <c r="GP229" s="44"/>
    </row>
    <row r="230" spans="1:198" ht="15.6" x14ac:dyDescent="0.3">
      <c r="A230" s="93" t="s">
        <v>1</v>
      </c>
      <c r="B230" s="32" t="s">
        <v>279</v>
      </c>
      <c r="C230" s="33" t="s">
        <v>280</v>
      </c>
      <c r="D230" s="35">
        <f>SUM(E230+CA230)</f>
        <v>1878523</v>
      </c>
      <c r="E230" s="35">
        <f>SUM(F230+BA230)</f>
        <v>1878523</v>
      </c>
      <c r="F230" s="35">
        <f>SUM(G230+H230+I230+P230+S230+T230+U230+AE230+AD230)</f>
        <v>1876606</v>
      </c>
      <c r="G230" s="31">
        <v>1100522</v>
      </c>
      <c r="H230" s="31">
        <v>267614</v>
      </c>
      <c r="I230" s="35">
        <f>SUM(J230:O230)</f>
        <v>116000</v>
      </c>
      <c r="J230" s="35">
        <v>0</v>
      </c>
      <c r="K230" s="35">
        <v>0</v>
      </c>
      <c r="L230" s="35">
        <v>0</v>
      </c>
      <c r="M230" s="35">
        <v>0</v>
      </c>
      <c r="N230" s="31">
        <v>64183</v>
      </c>
      <c r="O230" s="31">
        <f>60585-8768</f>
        <v>51817</v>
      </c>
      <c r="P230" s="35">
        <f>SUM(Q230:R230)</f>
        <v>0</v>
      </c>
      <c r="Q230" s="35">
        <v>0</v>
      </c>
      <c r="R230" s="31"/>
      <c r="S230" s="31">
        <v>0</v>
      </c>
      <c r="T230" s="31">
        <v>20039</v>
      </c>
      <c r="U230" s="35">
        <f t="shared" ref="U230" si="596">SUM(V230:AC230)</f>
        <v>56834</v>
      </c>
      <c r="V230" s="31"/>
      <c r="W230" s="31">
        <f>32299-3157</f>
        <v>29142</v>
      </c>
      <c r="X230" s="31">
        <f>13354+12388</f>
        <v>25742</v>
      </c>
      <c r="Y230" s="31">
        <f>1937+13</f>
        <v>1950</v>
      </c>
      <c r="Z230" s="31"/>
      <c r="AA230" s="31"/>
      <c r="AB230" s="31"/>
      <c r="AC230" s="31"/>
      <c r="AD230" s="31">
        <v>0</v>
      </c>
      <c r="AE230" s="35">
        <f>SUM(AF230:AZ230)</f>
        <v>315597</v>
      </c>
      <c r="AF230" s="35">
        <v>0</v>
      </c>
      <c r="AG230" s="35">
        <v>0</v>
      </c>
      <c r="AH230" s="31">
        <v>20000</v>
      </c>
      <c r="AI230" s="31">
        <v>0</v>
      </c>
      <c r="AJ230" s="31">
        <v>0</v>
      </c>
      <c r="AK230" s="31">
        <f>569-199</f>
        <v>370</v>
      </c>
      <c r="AL230" s="31">
        <v>0</v>
      </c>
      <c r="AM230" s="31">
        <v>0</v>
      </c>
      <c r="AN230" s="31">
        <v>0</v>
      </c>
      <c r="AO230" s="31">
        <v>6833</v>
      </c>
      <c r="AP230" s="31">
        <v>0</v>
      </c>
      <c r="AQ230" s="31">
        <v>0</v>
      </c>
      <c r="AR230" s="31">
        <f>105288-20214</f>
        <v>85074</v>
      </c>
      <c r="AS230" s="31">
        <v>1611</v>
      </c>
      <c r="AT230" s="31">
        <v>0</v>
      </c>
      <c r="AU230" s="31">
        <v>0</v>
      </c>
      <c r="AV230" s="31">
        <v>0</v>
      </c>
      <c r="AW230" s="31">
        <v>0</v>
      </c>
      <c r="AX230" s="31">
        <v>12000</v>
      </c>
      <c r="AY230" s="31">
        <v>185000</v>
      </c>
      <c r="AZ230" s="31">
        <f>14818-10109</f>
        <v>4709</v>
      </c>
      <c r="BA230" s="35">
        <f>SUM(BB230+BF230+BJ230+BL230+BO230)</f>
        <v>1917</v>
      </c>
      <c r="BB230" s="35">
        <f>SUM(BC230:BE230)</f>
        <v>0</v>
      </c>
      <c r="BC230" s="35">
        <v>0</v>
      </c>
      <c r="BD230" s="35">
        <v>0</v>
      </c>
      <c r="BE230" s="35">
        <v>0</v>
      </c>
      <c r="BF230" s="35">
        <f>SUM(BI230:BI230)</f>
        <v>0</v>
      </c>
      <c r="BG230" s="35">
        <v>0</v>
      </c>
      <c r="BH230" s="35">
        <v>0</v>
      </c>
      <c r="BI230" s="35">
        <v>0</v>
      </c>
      <c r="BJ230" s="35">
        <v>0</v>
      </c>
      <c r="BK230" s="35">
        <v>0</v>
      </c>
      <c r="BL230" s="35">
        <f>SUM(BM230)</f>
        <v>0</v>
      </c>
      <c r="BM230" s="35">
        <v>0</v>
      </c>
      <c r="BN230" s="35">
        <v>0</v>
      </c>
      <c r="BO230" s="35">
        <f>SUM(BP230:BZ230)</f>
        <v>1917</v>
      </c>
      <c r="BP230" s="35">
        <v>0</v>
      </c>
      <c r="BQ230" s="35">
        <v>0</v>
      </c>
      <c r="BR230" s="35">
        <v>0</v>
      </c>
      <c r="BS230" s="35">
        <v>0</v>
      </c>
      <c r="BT230" s="35">
        <v>0</v>
      </c>
      <c r="BU230" s="35">
        <v>0</v>
      </c>
      <c r="BV230" s="35">
        <v>0</v>
      </c>
      <c r="BW230" s="35">
        <v>0</v>
      </c>
      <c r="BX230" s="35">
        <v>0</v>
      </c>
      <c r="BY230" s="35">
        <f>3834-1917</f>
        <v>1917</v>
      </c>
      <c r="BZ230" s="35">
        <v>0</v>
      </c>
      <c r="CA230" s="35">
        <f>SUM(CB230+CN230)</f>
        <v>0</v>
      </c>
      <c r="CB230" s="35">
        <f>SUM(CC230+CF230+CK230)</f>
        <v>0</v>
      </c>
      <c r="CC230" s="35">
        <f>SUM(CD230:CE230)</f>
        <v>0</v>
      </c>
      <c r="CD230" s="35">
        <v>0</v>
      </c>
      <c r="CE230" s="31"/>
      <c r="CF230" s="35">
        <f>SUM(CG230:CJ230)</f>
        <v>0</v>
      </c>
      <c r="CG230" s="35">
        <v>0</v>
      </c>
      <c r="CH230" s="35">
        <v>0</v>
      </c>
      <c r="CI230" s="35">
        <v>0</v>
      </c>
      <c r="CJ230" s="35">
        <v>0</v>
      </c>
      <c r="CK230" s="35">
        <f>SUM(CL230:CM230)</f>
        <v>0</v>
      </c>
      <c r="CL230" s="35">
        <v>0</v>
      </c>
      <c r="CM230" s="35"/>
      <c r="CN230" s="35">
        <v>0</v>
      </c>
      <c r="CO230" s="65"/>
      <c r="CP230" s="65"/>
      <c r="CQ230" s="65"/>
      <c r="CR230" s="65"/>
      <c r="CS230" s="46"/>
      <c r="GP230" s="52"/>
    </row>
    <row r="231" spans="1:198" s="52" customFormat="1" ht="62.4" x14ac:dyDescent="0.3">
      <c r="A231" s="90"/>
      <c r="B231" s="19" t="s">
        <v>279</v>
      </c>
      <c r="C231" s="20" t="s">
        <v>608</v>
      </c>
      <c r="D231" s="18">
        <f>SUM(E231+CA231)</f>
        <v>12080496</v>
      </c>
      <c r="E231" s="35">
        <f>SUM(F231+BA231)</f>
        <v>12080496</v>
      </c>
      <c r="F231" s="35">
        <f>SUM(G231+H231+I231+P231+S231+T231+U231+AE231+AD231)</f>
        <v>12080496</v>
      </c>
      <c r="G231" s="18"/>
      <c r="H231" s="18"/>
      <c r="I231" s="35">
        <f t="shared" ref="I231:I287" si="597">SUM(J231:O231)</f>
        <v>0</v>
      </c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35">
        <f>SUM(AF231:AZ231)</f>
        <v>12080496</v>
      </c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>
        <v>12080496</v>
      </c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65"/>
      <c r="CP231" s="65"/>
      <c r="CQ231" s="65"/>
      <c r="CR231" s="65"/>
      <c r="CS231" s="46"/>
      <c r="GP231" s="44"/>
    </row>
    <row r="232" spans="1:198" ht="17.399999999999999" customHeight="1" x14ac:dyDescent="0.3">
      <c r="A232" s="89" t="s">
        <v>281</v>
      </c>
      <c r="B232" s="15" t="s">
        <v>1</v>
      </c>
      <c r="C232" s="16" t="s">
        <v>531</v>
      </c>
      <c r="D232" s="17">
        <f t="shared" ref="D232:AI232" si="598">SUM(D233:D247)</f>
        <v>528102052</v>
      </c>
      <c r="E232" s="17">
        <f t="shared" si="598"/>
        <v>254129866</v>
      </c>
      <c r="F232" s="17">
        <f t="shared" si="598"/>
        <v>243378915</v>
      </c>
      <c r="G232" s="17">
        <f t="shared" si="598"/>
        <v>109199688</v>
      </c>
      <c r="H232" s="17">
        <f t="shared" si="598"/>
        <v>21628409</v>
      </c>
      <c r="I232" s="17">
        <f t="shared" si="598"/>
        <v>45954321</v>
      </c>
      <c r="J232" s="17">
        <f t="shared" si="598"/>
        <v>12853333</v>
      </c>
      <c r="K232" s="17">
        <f t="shared" si="598"/>
        <v>1448933</v>
      </c>
      <c r="L232" s="17">
        <f t="shared" si="598"/>
        <v>2464209</v>
      </c>
      <c r="M232" s="17">
        <f t="shared" si="598"/>
        <v>20000</v>
      </c>
      <c r="N232" s="17">
        <f t="shared" si="598"/>
        <v>7931437</v>
      </c>
      <c r="O232" s="17">
        <f t="shared" si="598"/>
        <v>21236409</v>
      </c>
      <c r="P232" s="17">
        <f t="shared" si="598"/>
        <v>628222</v>
      </c>
      <c r="Q232" s="17">
        <f t="shared" si="598"/>
        <v>79423</v>
      </c>
      <c r="R232" s="17">
        <f t="shared" si="598"/>
        <v>548799</v>
      </c>
      <c r="S232" s="17">
        <f t="shared" si="598"/>
        <v>71184</v>
      </c>
      <c r="T232" s="17">
        <f t="shared" si="598"/>
        <v>1448261</v>
      </c>
      <c r="U232" s="17">
        <f t="shared" si="598"/>
        <v>18225836</v>
      </c>
      <c r="V232" s="17">
        <f t="shared" si="598"/>
        <v>3468652</v>
      </c>
      <c r="W232" s="17">
        <f t="shared" si="598"/>
        <v>7455031</v>
      </c>
      <c r="X232" s="17">
        <f t="shared" si="598"/>
        <v>4185933</v>
      </c>
      <c r="Y232" s="17">
        <f t="shared" si="598"/>
        <v>1675362</v>
      </c>
      <c r="Z232" s="17">
        <f t="shared" si="598"/>
        <v>754676</v>
      </c>
      <c r="AA232" s="17">
        <f t="shared" si="598"/>
        <v>137722</v>
      </c>
      <c r="AB232" s="17">
        <f t="shared" si="598"/>
        <v>0</v>
      </c>
      <c r="AC232" s="17">
        <f t="shared" si="598"/>
        <v>548460</v>
      </c>
      <c r="AD232" s="17">
        <f t="shared" si="598"/>
        <v>0</v>
      </c>
      <c r="AE232" s="17">
        <f t="shared" si="598"/>
        <v>46222994</v>
      </c>
      <c r="AF232" s="17">
        <f t="shared" si="598"/>
        <v>0</v>
      </c>
      <c r="AG232" s="17">
        <f t="shared" si="598"/>
        <v>0</v>
      </c>
      <c r="AH232" s="17">
        <f t="shared" si="598"/>
        <v>5790521</v>
      </c>
      <c r="AI232" s="17">
        <f t="shared" si="598"/>
        <v>7380792</v>
      </c>
      <c r="AJ232" s="17">
        <f t="shared" ref="AJ232:BO232" si="599">SUM(AJ233:AJ247)</f>
        <v>331796</v>
      </c>
      <c r="AK232" s="17">
        <f t="shared" si="599"/>
        <v>390773</v>
      </c>
      <c r="AL232" s="17">
        <f t="shared" si="599"/>
        <v>5700</v>
      </c>
      <c r="AM232" s="17">
        <f t="shared" si="599"/>
        <v>282969</v>
      </c>
      <c r="AN232" s="17">
        <f t="shared" si="599"/>
        <v>2384751</v>
      </c>
      <c r="AO232" s="17">
        <f t="shared" si="599"/>
        <v>15000</v>
      </c>
      <c r="AP232" s="17">
        <f t="shared" si="599"/>
        <v>20600</v>
      </c>
      <c r="AQ232" s="17">
        <f t="shared" si="599"/>
        <v>7892843</v>
      </c>
      <c r="AR232" s="17">
        <f t="shared" si="599"/>
        <v>215000</v>
      </c>
      <c r="AS232" s="17">
        <f t="shared" si="599"/>
        <v>616322</v>
      </c>
      <c r="AT232" s="17">
        <f t="shared" si="599"/>
        <v>0</v>
      </c>
      <c r="AU232" s="17">
        <f t="shared" si="599"/>
        <v>3618</v>
      </c>
      <c r="AV232" s="17">
        <f t="shared" si="599"/>
        <v>0</v>
      </c>
      <c r="AW232" s="17">
        <f t="shared" si="599"/>
        <v>1230675</v>
      </c>
      <c r="AX232" s="17">
        <f t="shared" si="599"/>
        <v>481927</v>
      </c>
      <c r="AY232" s="17">
        <f t="shared" si="599"/>
        <v>100000</v>
      </c>
      <c r="AZ232" s="17">
        <f t="shared" si="599"/>
        <v>19079707</v>
      </c>
      <c r="BA232" s="17">
        <f t="shared" si="599"/>
        <v>10750951</v>
      </c>
      <c r="BB232" s="17">
        <f t="shared" si="599"/>
        <v>0</v>
      </c>
      <c r="BC232" s="17">
        <f t="shared" si="599"/>
        <v>0</v>
      </c>
      <c r="BD232" s="17">
        <f t="shared" si="599"/>
        <v>0</v>
      </c>
      <c r="BE232" s="17">
        <f t="shared" si="599"/>
        <v>0</v>
      </c>
      <c r="BF232" s="17">
        <f t="shared" si="599"/>
        <v>0</v>
      </c>
      <c r="BG232" s="17">
        <f t="shared" si="599"/>
        <v>0</v>
      </c>
      <c r="BH232" s="17">
        <f t="shared" si="599"/>
        <v>0</v>
      </c>
      <c r="BI232" s="17">
        <f t="shared" si="599"/>
        <v>0</v>
      </c>
      <c r="BJ232" s="17">
        <f t="shared" si="599"/>
        <v>10509352</v>
      </c>
      <c r="BK232" s="17">
        <f t="shared" si="599"/>
        <v>509352</v>
      </c>
      <c r="BL232" s="17">
        <f t="shared" si="599"/>
        <v>0</v>
      </c>
      <c r="BM232" s="17">
        <f t="shared" si="599"/>
        <v>0</v>
      </c>
      <c r="BN232" s="17">
        <f t="shared" si="599"/>
        <v>0</v>
      </c>
      <c r="BO232" s="17">
        <f t="shared" si="599"/>
        <v>241599</v>
      </c>
      <c r="BP232" s="17">
        <f t="shared" ref="BP232:CR232" si="600">SUM(BP233:BP247)</f>
        <v>0</v>
      </c>
      <c r="BQ232" s="17">
        <f t="shared" si="600"/>
        <v>0</v>
      </c>
      <c r="BR232" s="17">
        <f t="shared" si="600"/>
        <v>0</v>
      </c>
      <c r="BS232" s="17">
        <f t="shared" si="600"/>
        <v>0</v>
      </c>
      <c r="BT232" s="17">
        <f t="shared" si="600"/>
        <v>0</v>
      </c>
      <c r="BU232" s="17">
        <f t="shared" si="600"/>
        <v>0</v>
      </c>
      <c r="BV232" s="17">
        <f t="shared" si="600"/>
        <v>0</v>
      </c>
      <c r="BW232" s="17">
        <f t="shared" si="600"/>
        <v>0</v>
      </c>
      <c r="BX232" s="17">
        <f t="shared" si="600"/>
        <v>0</v>
      </c>
      <c r="BY232" s="17">
        <f t="shared" si="600"/>
        <v>38855</v>
      </c>
      <c r="BZ232" s="17">
        <f t="shared" si="600"/>
        <v>202744</v>
      </c>
      <c r="CA232" s="17">
        <f t="shared" si="600"/>
        <v>11482060</v>
      </c>
      <c r="CB232" s="17">
        <f t="shared" si="600"/>
        <v>11482060</v>
      </c>
      <c r="CC232" s="17">
        <f t="shared" si="600"/>
        <v>9965042</v>
      </c>
      <c r="CD232" s="17">
        <f t="shared" si="600"/>
        <v>310560</v>
      </c>
      <c r="CE232" s="17">
        <f t="shared" si="600"/>
        <v>9654482</v>
      </c>
      <c r="CF232" s="17">
        <f t="shared" si="600"/>
        <v>224076</v>
      </c>
      <c r="CG232" s="17">
        <f t="shared" si="600"/>
        <v>0</v>
      </c>
      <c r="CH232" s="17">
        <f t="shared" si="600"/>
        <v>0</v>
      </c>
      <c r="CI232" s="17">
        <f t="shared" si="600"/>
        <v>0</v>
      </c>
      <c r="CJ232" s="17">
        <f t="shared" si="600"/>
        <v>224076</v>
      </c>
      <c r="CK232" s="17">
        <f t="shared" si="600"/>
        <v>1292942</v>
      </c>
      <c r="CL232" s="17">
        <f t="shared" si="600"/>
        <v>300000</v>
      </c>
      <c r="CM232" s="17">
        <f t="shared" si="600"/>
        <v>992942</v>
      </c>
      <c r="CN232" s="17">
        <f t="shared" si="600"/>
        <v>0</v>
      </c>
      <c r="CO232" s="64">
        <f t="shared" si="600"/>
        <v>262490126</v>
      </c>
      <c r="CP232" s="64">
        <f t="shared" si="600"/>
        <v>262490126</v>
      </c>
      <c r="CQ232" s="64">
        <f t="shared" si="600"/>
        <v>148698385</v>
      </c>
      <c r="CR232" s="64">
        <f t="shared" si="600"/>
        <v>113791741</v>
      </c>
      <c r="CS232" s="51"/>
      <c r="GP232" s="46"/>
    </row>
    <row r="233" spans="1:198" s="68" customFormat="1" ht="15.6" x14ac:dyDescent="0.3">
      <c r="A233" s="90" t="s">
        <v>1</v>
      </c>
      <c r="B233" s="19" t="s">
        <v>41</v>
      </c>
      <c r="C233" s="20" t="s">
        <v>282</v>
      </c>
      <c r="D233" s="18">
        <f t="shared" ref="D233:D246" si="601">SUM(E233+CA233)</f>
        <v>7500000</v>
      </c>
      <c r="E233" s="18">
        <f t="shared" ref="E233:E246" si="602">SUM(F233+BA233)</f>
        <v>7500000</v>
      </c>
      <c r="F233" s="18">
        <f t="shared" ref="F233:F246" si="603">SUM(G233+H233+I233+P233+S233+T233+U233+AE233+AD233)</f>
        <v>7500000</v>
      </c>
      <c r="G233" s="18">
        <v>0</v>
      </c>
      <c r="H233" s="18">
        <v>0</v>
      </c>
      <c r="I233" s="18">
        <f t="shared" si="597"/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f t="shared" ref="P233:P287" si="604">SUM(Q233:R233)</f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f t="shared" ref="U233:U246" si="605">SUM(V233:AC233)</f>
        <v>0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18">
        <v>0</v>
      </c>
      <c r="AB233" s="18">
        <v>0</v>
      </c>
      <c r="AC233" s="18">
        <v>0</v>
      </c>
      <c r="AD233" s="18">
        <v>0</v>
      </c>
      <c r="AE233" s="18">
        <f t="shared" ref="AE233:AE246" si="606">SUM(AF233:AZ233)</f>
        <v>7500000</v>
      </c>
      <c r="AF233" s="18">
        <v>0</v>
      </c>
      <c r="AG233" s="18">
        <v>0</v>
      </c>
      <c r="AH233" s="18">
        <v>0</v>
      </c>
      <c r="AI233" s="18">
        <v>0</v>
      </c>
      <c r="AJ233" s="21">
        <v>0</v>
      </c>
      <c r="AK233" s="21">
        <v>0</v>
      </c>
      <c r="AL233" s="18">
        <v>0</v>
      </c>
      <c r="AM233" s="18">
        <v>0</v>
      </c>
      <c r="AN233" s="18">
        <v>0</v>
      </c>
      <c r="AO233" s="18">
        <v>0</v>
      </c>
      <c r="AP233" s="18">
        <v>0</v>
      </c>
      <c r="AQ233" s="21">
        <v>7500000</v>
      </c>
      <c r="AR233" s="18">
        <v>0</v>
      </c>
      <c r="AS233" s="18">
        <v>0</v>
      </c>
      <c r="AT233" s="18">
        <v>0</v>
      </c>
      <c r="AU233" s="18">
        <v>0</v>
      </c>
      <c r="AV233" s="18">
        <v>0</v>
      </c>
      <c r="AW233" s="18">
        <v>0</v>
      </c>
      <c r="AX233" s="18">
        <v>0</v>
      </c>
      <c r="AY233" s="18">
        <v>0</v>
      </c>
      <c r="AZ233" s="22">
        <v>0</v>
      </c>
      <c r="BA233" s="18">
        <f>SUM(BB233+BF233+BJ233+BL233+BO233)</f>
        <v>0</v>
      </c>
      <c r="BB233" s="18">
        <f t="shared" ref="BB233:BB246" si="607">SUM(BC233:BE233)</f>
        <v>0</v>
      </c>
      <c r="BC233" s="18">
        <v>0</v>
      </c>
      <c r="BD233" s="18">
        <v>0</v>
      </c>
      <c r="BE233" s="18">
        <v>0</v>
      </c>
      <c r="BF233" s="18">
        <f t="shared" ref="BF233:BF246" si="608">SUM(BI233:BI233)</f>
        <v>0</v>
      </c>
      <c r="BG233" s="18">
        <v>0</v>
      </c>
      <c r="BH233" s="18">
        <v>0</v>
      </c>
      <c r="BI233" s="18">
        <v>0</v>
      </c>
      <c r="BJ233" s="18">
        <v>0</v>
      </c>
      <c r="BK233" s="18">
        <v>0</v>
      </c>
      <c r="BL233" s="18">
        <f t="shared" ref="BL233:BL287" si="609">SUM(BM233)</f>
        <v>0</v>
      </c>
      <c r="BM233" s="18">
        <v>0</v>
      </c>
      <c r="BN233" s="18">
        <v>0</v>
      </c>
      <c r="BO233" s="18">
        <f t="shared" ref="BO233:BO246" si="610">SUM(BP233:BZ233)</f>
        <v>0</v>
      </c>
      <c r="BP233" s="18">
        <v>0</v>
      </c>
      <c r="BQ233" s="18">
        <v>0</v>
      </c>
      <c r="BR233" s="18">
        <v>0</v>
      </c>
      <c r="BS233" s="18">
        <v>0</v>
      </c>
      <c r="BT233" s="18">
        <v>0</v>
      </c>
      <c r="BU233" s="18">
        <v>0</v>
      </c>
      <c r="BV233" s="18">
        <v>0</v>
      </c>
      <c r="BW233" s="18">
        <v>0</v>
      </c>
      <c r="BX233" s="18">
        <v>0</v>
      </c>
      <c r="BY233" s="18">
        <v>0</v>
      </c>
      <c r="BZ233" s="18">
        <v>0</v>
      </c>
      <c r="CA233" s="18">
        <f t="shared" ref="CA233:CA246" si="611">SUM(CB233+CN233)</f>
        <v>0</v>
      </c>
      <c r="CB233" s="18">
        <f t="shared" ref="CB233:CB246" si="612">SUM(CC233+CF233+CK233)</f>
        <v>0</v>
      </c>
      <c r="CC233" s="18">
        <f t="shared" ref="CC233:CC287" si="613">SUM(CD233:CE233)</f>
        <v>0</v>
      </c>
      <c r="CD233" s="18">
        <v>0</v>
      </c>
      <c r="CE233" s="18">
        <v>0</v>
      </c>
      <c r="CF233" s="18">
        <f t="shared" ref="CF233:CF246" si="614">SUM(CG233:CJ233)</f>
        <v>0</v>
      </c>
      <c r="CG233" s="18">
        <v>0</v>
      </c>
      <c r="CH233" s="18">
        <v>0</v>
      </c>
      <c r="CI233" s="18">
        <v>0</v>
      </c>
      <c r="CJ233" s="18">
        <v>0</v>
      </c>
      <c r="CK233" s="18">
        <f t="shared" ref="CK233:CK246" si="615">SUM(CL233:CM233)</f>
        <v>0</v>
      </c>
      <c r="CL233" s="18">
        <v>0</v>
      </c>
      <c r="CM233" s="18">
        <v>0</v>
      </c>
      <c r="CN233" s="18">
        <v>0</v>
      </c>
      <c r="CO233" s="65"/>
      <c r="CP233" s="65"/>
      <c r="CQ233" s="65"/>
      <c r="CR233" s="65"/>
      <c r="CS233" s="46"/>
      <c r="GP233" s="44"/>
    </row>
    <row r="234" spans="1:198" ht="31.2" x14ac:dyDescent="0.3">
      <c r="A234" s="90" t="s">
        <v>1</v>
      </c>
      <c r="B234" s="32" t="s">
        <v>50</v>
      </c>
      <c r="C234" s="33" t="s">
        <v>444</v>
      </c>
      <c r="D234" s="18">
        <f t="shared" si="601"/>
        <v>1084210</v>
      </c>
      <c r="E234" s="18">
        <f t="shared" si="602"/>
        <v>1084210</v>
      </c>
      <c r="F234" s="18">
        <f>SUM(G234+H234+I234+P234+S234+T234+U234+AE234+AD234)</f>
        <v>1084210</v>
      </c>
      <c r="G234" s="18">
        <v>0</v>
      </c>
      <c r="H234" s="18">
        <v>0</v>
      </c>
      <c r="I234" s="18">
        <f>SUM(J234:O234)</f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f>32507-32507</f>
        <v>0</v>
      </c>
      <c r="P234" s="18">
        <f>SUM(Q234:R234)</f>
        <v>0</v>
      </c>
      <c r="Q234" s="18">
        <v>0</v>
      </c>
      <c r="R234" s="18">
        <v>0</v>
      </c>
      <c r="S234" s="18">
        <v>0</v>
      </c>
      <c r="T234" s="18">
        <v>0</v>
      </c>
      <c r="U234" s="18">
        <f>SUM(V234:AC234)</f>
        <v>0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18">
        <v>0</v>
      </c>
      <c r="AB234" s="18">
        <v>0</v>
      </c>
      <c r="AC234" s="18">
        <v>0</v>
      </c>
      <c r="AD234" s="18">
        <v>0</v>
      </c>
      <c r="AE234" s="18">
        <f t="shared" si="606"/>
        <v>1084210</v>
      </c>
      <c r="AF234" s="18">
        <v>0</v>
      </c>
      <c r="AG234" s="18">
        <v>0</v>
      </c>
      <c r="AH234" s="18">
        <v>0</v>
      </c>
      <c r="AI234" s="18">
        <v>0</v>
      </c>
      <c r="AJ234" s="22"/>
      <c r="AK234" s="22"/>
      <c r="AL234" s="18"/>
      <c r="AM234" s="18">
        <v>0</v>
      </c>
      <c r="AN234" s="18">
        <v>0</v>
      </c>
      <c r="AO234" s="18">
        <v>0</v>
      </c>
      <c r="AP234" s="18">
        <v>0</v>
      </c>
      <c r="AQ234" s="18">
        <v>0</v>
      </c>
      <c r="AR234" s="18">
        <v>0</v>
      </c>
      <c r="AS234" s="18">
        <v>0</v>
      </c>
      <c r="AT234" s="18">
        <v>0</v>
      </c>
      <c r="AU234" s="18">
        <v>0</v>
      </c>
      <c r="AV234" s="18">
        <v>0</v>
      </c>
      <c r="AW234" s="18">
        <v>0</v>
      </c>
      <c r="AX234" s="18">
        <v>0</v>
      </c>
      <c r="AY234" s="18">
        <v>0</v>
      </c>
      <c r="AZ234" s="22">
        <v>1084210</v>
      </c>
      <c r="BA234" s="18"/>
      <c r="BB234" s="18">
        <f>SUM(BC234:BE234)</f>
        <v>0</v>
      </c>
      <c r="BC234" s="18">
        <v>0</v>
      </c>
      <c r="BD234" s="18">
        <v>0</v>
      </c>
      <c r="BE234" s="18">
        <v>0</v>
      </c>
      <c r="BF234" s="18">
        <f>SUM(BI234:BI234)</f>
        <v>0</v>
      </c>
      <c r="BG234" s="18">
        <v>0</v>
      </c>
      <c r="BH234" s="18">
        <v>0</v>
      </c>
      <c r="BI234" s="18">
        <v>0</v>
      </c>
      <c r="BJ234" s="18"/>
      <c r="BK234" s="18">
        <v>0</v>
      </c>
      <c r="BL234" s="18">
        <f>SUM(BM234)</f>
        <v>0</v>
      </c>
      <c r="BM234" s="18">
        <v>0</v>
      </c>
      <c r="BN234" s="18">
        <v>0</v>
      </c>
      <c r="BO234" s="18">
        <f t="shared" si="610"/>
        <v>0</v>
      </c>
      <c r="BP234" s="18">
        <v>0</v>
      </c>
      <c r="BQ234" s="18">
        <v>0</v>
      </c>
      <c r="BR234" s="18">
        <v>0</v>
      </c>
      <c r="BS234" s="18">
        <v>0</v>
      </c>
      <c r="BT234" s="18">
        <v>0</v>
      </c>
      <c r="BU234" s="18">
        <v>0</v>
      </c>
      <c r="BV234" s="18">
        <v>0</v>
      </c>
      <c r="BW234" s="18">
        <v>0</v>
      </c>
      <c r="BX234" s="18">
        <v>0</v>
      </c>
      <c r="BY234" s="18">
        <v>0</v>
      </c>
      <c r="BZ234" s="18">
        <v>0</v>
      </c>
      <c r="CA234" s="18">
        <f t="shared" si="611"/>
        <v>0</v>
      </c>
      <c r="CB234" s="18">
        <f t="shared" si="612"/>
        <v>0</v>
      </c>
      <c r="CC234" s="18">
        <f>SUM(CD234:CE234)</f>
        <v>0</v>
      </c>
      <c r="CD234" s="18">
        <v>0</v>
      </c>
      <c r="CE234" s="18">
        <v>0</v>
      </c>
      <c r="CF234" s="18">
        <f t="shared" si="614"/>
        <v>0</v>
      </c>
      <c r="CG234" s="18">
        <v>0</v>
      </c>
      <c r="CH234" s="18">
        <v>0</v>
      </c>
      <c r="CI234" s="18">
        <v>0</v>
      </c>
      <c r="CJ234" s="18">
        <v>0</v>
      </c>
      <c r="CK234" s="18">
        <f t="shared" si="615"/>
        <v>0</v>
      </c>
      <c r="CL234" s="18">
        <v>0</v>
      </c>
      <c r="CM234" s="18">
        <v>0</v>
      </c>
      <c r="CN234" s="18">
        <v>0</v>
      </c>
      <c r="CO234" s="65"/>
      <c r="CP234" s="65"/>
      <c r="CQ234" s="65"/>
      <c r="CR234" s="65"/>
      <c r="CS234" s="46"/>
      <c r="GP234" s="52"/>
    </row>
    <row r="235" spans="1:198" s="68" customFormat="1" ht="15.6" x14ac:dyDescent="0.3">
      <c r="A235" s="92" t="s">
        <v>1</v>
      </c>
      <c r="B235" s="62" t="s">
        <v>50</v>
      </c>
      <c r="C235" s="63" t="s">
        <v>586</v>
      </c>
      <c r="D235" s="65">
        <f t="shared" si="601"/>
        <v>7032635</v>
      </c>
      <c r="E235" s="65">
        <f t="shared" si="602"/>
        <v>7032635</v>
      </c>
      <c r="F235" s="65">
        <f>SUM(G235+H235+I235+P235+S235+T235+U235+AE235+AD235)</f>
        <v>7032635</v>
      </c>
      <c r="G235" s="65">
        <v>0</v>
      </c>
      <c r="H235" s="65">
        <v>0</v>
      </c>
      <c r="I235" s="65">
        <f>SUM(J235:O235)</f>
        <v>0</v>
      </c>
      <c r="J235" s="65">
        <v>0</v>
      </c>
      <c r="K235" s="65">
        <v>0</v>
      </c>
      <c r="L235" s="65">
        <v>0</v>
      </c>
      <c r="M235" s="65">
        <v>0</v>
      </c>
      <c r="N235" s="65">
        <v>0</v>
      </c>
      <c r="O235" s="65">
        <v>0</v>
      </c>
      <c r="P235" s="65">
        <f>SUM(Q235:R235)</f>
        <v>0</v>
      </c>
      <c r="Q235" s="65">
        <v>0</v>
      </c>
      <c r="R235" s="65">
        <v>0</v>
      </c>
      <c r="S235" s="65">
        <v>0</v>
      </c>
      <c r="T235" s="65">
        <v>0</v>
      </c>
      <c r="U235" s="65">
        <f>SUM(V235:AC235)</f>
        <v>0</v>
      </c>
      <c r="V235" s="65">
        <v>0</v>
      </c>
      <c r="W235" s="65">
        <v>0</v>
      </c>
      <c r="X235" s="65">
        <v>0</v>
      </c>
      <c r="Y235" s="65">
        <v>0</v>
      </c>
      <c r="Z235" s="65">
        <v>0</v>
      </c>
      <c r="AA235" s="65">
        <v>0</v>
      </c>
      <c r="AB235" s="65">
        <v>0</v>
      </c>
      <c r="AC235" s="65">
        <v>0</v>
      </c>
      <c r="AD235" s="65">
        <v>0</v>
      </c>
      <c r="AE235" s="65">
        <f t="shared" ref="AE235" si="616">SUM(AF235:AZ235)</f>
        <v>7032635</v>
      </c>
      <c r="AF235" s="65">
        <v>0</v>
      </c>
      <c r="AG235" s="65">
        <v>0</v>
      </c>
      <c r="AH235" s="65">
        <v>0</v>
      </c>
      <c r="AI235" s="65">
        <v>0</v>
      </c>
      <c r="AJ235" s="66">
        <v>0</v>
      </c>
      <c r="AK235" s="66">
        <v>0</v>
      </c>
      <c r="AL235" s="65">
        <v>0</v>
      </c>
      <c r="AM235" s="65">
        <v>0</v>
      </c>
      <c r="AN235" s="65">
        <v>0</v>
      </c>
      <c r="AO235" s="65">
        <v>0</v>
      </c>
      <c r="AP235" s="65">
        <v>0</v>
      </c>
      <c r="AQ235" s="65">
        <v>0</v>
      </c>
      <c r="AR235" s="65">
        <v>0</v>
      </c>
      <c r="AS235" s="65">
        <v>0</v>
      </c>
      <c r="AT235" s="65">
        <v>0</v>
      </c>
      <c r="AU235" s="65">
        <v>0</v>
      </c>
      <c r="AV235" s="65">
        <v>0</v>
      </c>
      <c r="AW235" s="65">
        <v>0</v>
      </c>
      <c r="AX235" s="65">
        <v>0</v>
      </c>
      <c r="AY235" s="65">
        <v>0</v>
      </c>
      <c r="AZ235" s="67">
        <f>0+7032635</f>
        <v>7032635</v>
      </c>
      <c r="BA235" s="65">
        <f t="shared" ref="BA235" si="617">SUM(BB235+BF235+BJ235+BL235+BO235)</f>
        <v>0</v>
      </c>
      <c r="BB235" s="65">
        <f>SUM(BC235:BE235)</f>
        <v>0</v>
      </c>
      <c r="BC235" s="65">
        <v>0</v>
      </c>
      <c r="BD235" s="65">
        <v>0</v>
      </c>
      <c r="BE235" s="65">
        <v>0</v>
      </c>
      <c r="BF235" s="65">
        <f>SUM(BI235:BI235)</f>
        <v>0</v>
      </c>
      <c r="BG235" s="65">
        <v>0</v>
      </c>
      <c r="BH235" s="65">
        <v>0</v>
      </c>
      <c r="BI235" s="65">
        <v>0</v>
      </c>
      <c r="BJ235" s="65">
        <v>0</v>
      </c>
      <c r="BK235" s="65">
        <v>0</v>
      </c>
      <c r="BL235" s="65">
        <f>SUM(BM235)</f>
        <v>0</v>
      </c>
      <c r="BM235" s="65">
        <v>0</v>
      </c>
      <c r="BN235" s="65">
        <v>0</v>
      </c>
      <c r="BO235" s="65">
        <f>SUM(BP235:BZ235)</f>
        <v>0</v>
      </c>
      <c r="BP235" s="65">
        <v>0</v>
      </c>
      <c r="BQ235" s="65">
        <v>0</v>
      </c>
      <c r="BR235" s="65">
        <v>0</v>
      </c>
      <c r="BS235" s="65">
        <v>0</v>
      </c>
      <c r="BT235" s="65">
        <v>0</v>
      </c>
      <c r="BU235" s="65">
        <v>0</v>
      </c>
      <c r="BV235" s="65">
        <v>0</v>
      </c>
      <c r="BW235" s="65">
        <v>0</v>
      </c>
      <c r="BX235" s="65">
        <v>0</v>
      </c>
      <c r="BY235" s="65">
        <v>0</v>
      </c>
      <c r="BZ235" s="65">
        <v>0</v>
      </c>
      <c r="CA235" s="65">
        <f t="shared" si="611"/>
        <v>0</v>
      </c>
      <c r="CB235" s="65">
        <f t="shared" si="612"/>
        <v>0</v>
      </c>
      <c r="CC235" s="65">
        <f>SUM(CD235:CE235)</f>
        <v>0</v>
      </c>
      <c r="CD235" s="65">
        <v>0</v>
      </c>
      <c r="CE235" s="65"/>
      <c r="CF235" s="65">
        <f t="shared" si="614"/>
        <v>0</v>
      </c>
      <c r="CG235" s="65">
        <v>0</v>
      </c>
      <c r="CH235" s="65">
        <v>0</v>
      </c>
      <c r="CI235" s="65">
        <v>0</v>
      </c>
      <c r="CJ235" s="65">
        <v>0</v>
      </c>
      <c r="CK235" s="65">
        <f t="shared" si="615"/>
        <v>0</v>
      </c>
      <c r="CL235" s="65">
        <v>0</v>
      </c>
      <c r="CM235" s="65">
        <v>0</v>
      </c>
      <c r="CN235" s="65">
        <v>0</v>
      </c>
      <c r="CO235" s="65">
        <f>CP235</f>
        <v>0</v>
      </c>
      <c r="CP235" s="65">
        <f>CQ235</f>
        <v>0</v>
      </c>
      <c r="CQ235" s="65"/>
      <c r="CR235" s="65"/>
      <c r="GP235" s="44"/>
    </row>
    <row r="236" spans="1:198" s="68" customFormat="1" ht="15.6" x14ac:dyDescent="0.3">
      <c r="A236" s="92" t="s">
        <v>1</v>
      </c>
      <c r="B236" s="62" t="s">
        <v>50</v>
      </c>
      <c r="C236" s="63" t="s">
        <v>570</v>
      </c>
      <c r="D236" s="18">
        <f>SUM(E236+CA236+CO236)</f>
        <v>148698385</v>
      </c>
      <c r="E236" s="65">
        <f t="shared" ref="E236" si="618">SUM(F236+BA236)</f>
        <v>0</v>
      </c>
      <c r="F236" s="65">
        <f>SUM(G236+H236+I236+P236+S236+T236+U236+AE236+AD236)</f>
        <v>0</v>
      </c>
      <c r="G236" s="65">
        <v>0</v>
      </c>
      <c r="H236" s="65">
        <v>0</v>
      </c>
      <c r="I236" s="65">
        <f>SUM(J236:O236)</f>
        <v>0</v>
      </c>
      <c r="J236" s="65">
        <v>0</v>
      </c>
      <c r="K236" s="65">
        <v>0</v>
      </c>
      <c r="L236" s="65">
        <v>0</v>
      </c>
      <c r="M236" s="65">
        <v>0</v>
      </c>
      <c r="N236" s="65">
        <v>0</v>
      </c>
      <c r="O236" s="65">
        <v>0</v>
      </c>
      <c r="P236" s="65">
        <f>SUM(Q236:R236)</f>
        <v>0</v>
      </c>
      <c r="Q236" s="65">
        <v>0</v>
      </c>
      <c r="R236" s="65">
        <v>0</v>
      </c>
      <c r="S236" s="65">
        <v>0</v>
      </c>
      <c r="T236" s="65">
        <v>0</v>
      </c>
      <c r="U236" s="65">
        <f>SUM(V236:AC236)</f>
        <v>0</v>
      </c>
      <c r="V236" s="65">
        <v>0</v>
      </c>
      <c r="W236" s="65">
        <v>0</v>
      </c>
      <c r="X236" s="65">
        <v>0</v>
      </c>
      <c r="Y236" s="65">
        <v>0</v>
      </c>
      <c r="Z236" s="65">
        <v>0</v>
      </c>
      <c r="AA236" s="65">
        <v>0</v>
      </c>
      <c r="AB236" s="65">
        <v>0</v>
      </c>
      <c r="AC236" s="65">
        <v>0</v>
      </c>
      <c r="AD236" s="65">
        <v>0</v>
      </c>
      <c r="AE236" s="65">
        <f t="shared" si="606"/>
        <v>0</v>
      </c>
      <c r="AF236" s="65">
        <v>0</v>
      </c>
      <c r="AG236" s="65">
        <v>0</v>
      </c>
      <c r="AH236" s="65">
        <v>0</v>
      </c>
      <c r="AI236" s="65">
        <v>0</v>
      </c>
      <c r="AJ236" s="66">
        <v>0</v>
      </c>
      <c r="AK236" s="66">
        <v>0</v>
      </c>
      <c r="AL236" s="65">
        <v>0</v>
      </c>
      <c r="AM236" s="65">
        <v>0</v>
      </c>
      <c r="AN236" s="65">
        <v>0</v>
      </c>
      <c r="AO236" s="65">
        <v>0</v>
      </c>
      <c r="AP236" s="65">
        <v>0</v>
      </c>
      <c r="AQ236" s="65">
        <v>0</v>
      </c>
      <c r="AR236" s="65">
        <v>0</v>
      </c>
      <c r="AS236" s="65">
        <v>0</v>
      </c>
      <c r="AT236" s="65">
        <v>0</v>
      </c>
      <c r="AU236" s="65">
        <v>0</v>
      </c>
      <c r="AV236" s="65">
        <v>0</v>
      </c>
      <c r="AW236" s="65">
        <v>0</v>
      </c>
      <c r="AX236" s="65">
        <v>0</v>
      </c>
      <c r="AY236" s="65">
        <v>0</v>
      </c>
      <c r="AZ236" s="67"/>
      <c r="BA236" s="65">
        <f t="shared" ref="BA236:BA241" si="619">SUM(BB236+BF236+BJ236+BL236+BO236)</f>
        <v>0</v>
      </c>
      <c r="BB236" s="65">
        <f>SUM(BC236:BE236)</f>
        <v>0</v>
      </c>
      <c r="BC236" s="65">
        <v>0</v>
      </c>
      <c r="BD236" s="65">
        <v>0</v>
      </c>
      <c r="BE236" s="65">
        <v>0</v>
      </c>
      <c r="BF236" s="65">
        <f>SUM(BI236:BI236)</f>
        <v>0</v>
      </c>
      <c r="BG236" s="65">
        <v>0</v>
      </c>
      <c r="BH236" s="65">
        <v>0</v>
      </c>
      <c r="BI236" s="65">
        <v>0</v>
      </c>
      <c r="BJ236" s="65">
        <v>0</v>
      </c>
      <c r="BK236" s="65">
        <v>0</v>
      </c>
      <c r="BL236" s="65">
        <f>SUM(BM236)</f>
        <v>0</v>
      </c>
      <c r="BM236" s="65">
        <v>0</v>
      </c>
      <c r="BN236" s="65">
        <v>0</v>
      </c>
      <c r="BO236" s="65">
        <f>SUM(BP236:BZ236)</f>
        <v>0</v>
      </c>
      <c r="BP236" s="65">
        <v>0</v>
      </c>
      <c r="BQ236" s="65">
        <v>0</v>
      </c>
      <c r="BR236" s="65">
        <v>0</v>
      </c>
      <c r="BS236" s="65">
        <v>0</v>
      </c>
      <c r="BT236" s="65">
        <v>0</v>
      </c>
      <c r="BU236" s="65">
        <v>0</v>
      </c>
      <c r="BV236" s="65">
        <v>0</v>
      </c>
      <c r="BW236" s="65">
        <v>0</v>
      </c>
      <c r="BX236" s="65">
        <v>0</v>
      </c>
      <c r="BY236" s="65">
        <v>0</v>
      </c>
      <c r="BZ236" s="65">
        <v>0</v>
      </c>
      <c r="CA236" s="65">
        <f t="shared" si="611"/>
        <v>0</v>
      </c>
      <c r="CB236" s="65">
        <f t="shared" si="612"/>
        <v>0</v>
      </c>
      <c r="CC236" s="65">
        <f>SUM(CD236:CE236)</f>
        <v>0</v>
      </c>
      <c r="CD236" s="65">
        <v>0</v>
      </c>
      <c r="CE236" s="65"/>
      <c r="CF236" s="65">
        <f t="shared" si="614"/>
        <v>0</v>
      </c>
      <c r="CG236" s="65">
        <v>0</v>
      </c>
      <c r="CH236" s="65">
        <v>0</v>
      </c>
      <c r="CI236" s="65">
        <v>0</v>
      </c>
      <c r="CJ236" s="65">
        <v>0</v>
      </c>
      <c r="CK236" s="65">
        <f t="shared" si="615"/>
        <v>0</v>
      </c>
      <c r="CL236" s="65">
        <v>0</v>
      </c>
      <c r="CM236" s="65">
        <v>0</v>
      </c>
      <c r="CN236" s="65">
        <v>0</v>
      </c>
      <c r="CO236" s="65">
        <f>CP236</f>
        <v>148698385</v>
      </c>
      <c r="CP236" s="65">
        <f>CQ236</f>
        <v>148698385</v>
      </c>
      <c r="CQ236" s="65">
        <f>89420122+7805971-29806708+1215000+80064000</f>
        <v>148698385</v>
      </c>
      <c r="CR236" s="65"/>
    </row>
    <row r="237" spans="1:198" ht="31.2" x14ac:dyDescent="0.3">
      <c r="A237" s="93"/>
      <c r="B237" s="37" t="s">
        <v>52</v>
      </c>
      <c r="C237" s="38" t="s">
        <v>434</v>
      </c>
      <c r="D237" s="35">
        <f t="shared" si="601"/>
        <v>69429</v>
      </c>
      <c r="E237" s="35">
        <f t="shared" si="602"/>
        <v>69429</v>
      </c>
      <c r="F237" s="35">
        <f t="shared" si="603"/>
        <v>69429</v>
      </c>
      <c r="G237" s="35">
        <v>0</v>
      </c>
      <c r="H237" s="35">
        <v>0</v>
      </c>
      <c r="I237" s="35">
        <f t="shared" ref="I237" si="620">SUM(J237:O237)</f>
        <v>0</v>
      </c>
      <c r="J237" s="35">
        <v>0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f t="shared" ref="P237" si="621">SUM(Q237:R237)</f>
        <v>0</v>
      </c>
      <c r="Q237" s="35">
        <v>0</v>
      </c>
      <c r="R237" s="35">
        <v>0</v>
      </c>
      <c r="S237" s="35">
        <v>0</v>
      </c>
      <c r="T237" s="35">
        <v>0</v>
      </c>
      <c r="U237" s="35">
        <f t="shared" si="605"/>
        <v>0</v>
      </c>
      <c r="V237" s="35">
        <v>0</v>
      </c>
      <c r="W237" s="35">
        <v>0</v>
      </c>
      <c r="X237" s="35">
        <v>0</v>
      </c>
      <c r="Y237" s="35">
        <v>0</v>
      </c>
      <c r="Z237" s="35">
        <v>0</v>
      </c>
      <c r="AA237" s="35">
        <v>0</v>
      </c>
      <c r="AB237" s="35">
        <v>0</v>
      </c>
      <c r="AC237" s="35">
        <v>0</v>
      </c>
      <c r="AD237" s="35">
        <v>0</v>
      </c>
      <c r="AE237" s="35">
        <f t="shared" si="606"/>
        <v>69429</v>
      </c>
      <c r="AF237" s="36"/>
      <c r="AG237" s="36"/>
      <c r="AH237" s="35">
        <v>0</v>
      </c>
      <c r="AI237" s="35">
        <v>0</v>
      </c>
      <c r="AJ237" s="31">
        <f>71412-1983</f>
        <v>69429</v>
      </c>
      <c r="AK237" s="31">
        <v>0</v>
      </c>
      <c r="AL237" s="35">
        <v>0</v>
      </c>
      <c r="AM237" s="35">
        <v>0</v>
      </c>
      <c r="AN237" s="35">
        <v>0</v>
      </c>
      <c r="AO237" s="35">
        <v>0</v>
      </c>
      <c r="AP237" s="35">
        <v>0</v>
      </c>
      <c r="AQ237" s="35">
        <v>0</v>
      </c>
      <c r="AR237" s="35">
        <v>0</v>
      </c>
      <c r="AS237" s="35">
        <v>0</v>
      </c>
      <c r="AT237" s="35">
        <v>0</v>
      </c>
      <c r="AU237" s="35">
        <v>0</v>
      </c>
      <c r="AV237" s="35">
        <v>0</v>
      </c>
      <c r="AW237" s="35">
        <v>0</v>
      </c>
      <c r="AX237" s="35">
        <v>0</v>
      </c>
      <c r="AY237" s="35">
        <v>0</v>
      </c>
      <c r="AZ237" s="35"/>
      <c r="BA237" s="35">
        <f t="shared" si="619"/>
        <v>0</v>
      </c>
      <c r="BB237" s="35">
        <f t="shared" si="607"/>
        <v>0</v>
      </c>
      <c r="BC237" s="35">
        <v>0</v>
      </c>
      <c r="BD237" s="35">
        <v>0</v>
      </c>
      <c r="BE237" s="35">
        <v>0</v>
      </c>
      <c r="BF237" s="35">
        <f t="shared" si="608"/>
        <v>0</v>
      </c>
      <c r="BG237" s="35">
        <v>0</v>
      </c>
      <c r="BH237" s="35">
        <v>0</v>
      </c>
      <c r="BI237" s="35">
        <v>0</v>
      </c>
      <c r="BJ237" s="35">
        <v>0</v>
      </c>
      <c r="BK237" s="35">
        <v>0</v>
      </c>
      <c r="BL237" s="35">
        <f t="shared" si="609"/>
        <v>0</v>
      </c>
      <c r="BM237" s="35">
        <v>0</v>
      </c>
      <c r="BN237" s="35">
        <v>0</v>
      </c>
      <c r="BO237" s="35">
        <f t="shared" si="610"/>
        <v>0</v>
      </c>
      <c r="BP237" s="35">
        <v>0</v>
      </c>
      <c r="BQ237" s="35">
        <v>0</v>
      </c>
      <c r="BR237" s="35">
        <v>0</v>
      </c>
      <c r="BS237" s="35">
        <v>0</v>
      </c>
      <c r="BT237" s="35">
        <v>0</v>
      </c>
      <c r="BU237" s="35">
        <v>0</v>
      </c>
      <c r="BV237" s="35">
        <v>0</v>
      </c>
      <c r="BW237" s="35">
        <v>0</v>
      </c>
      <c r="BX237" s="35">
        <v>0</v>
      </c>
      <c r="BY237" s="35">
        <v>0</v>
      </c>
      <c r="BZ237" s="35">
        <v>0</v>
      </c>
      <c r="CA237" s="35">
        <f t="shared" si="611"/>
        <v>0</v>
      </c>
      <c r="CB237" s="35">
        <f t="shared" si="612"/>
        <v>0</v>
      </c>
      <c r="CC237" s="35">
        <f t="shared" ref="CC237" si="622">SUM(CD237:CE237)</f>
        <v>0</v>
      </c>
      <c r="CD237" s="35">
        <v>0</v>
      </c>
      <c r="CE237" s="35">
        <v>0</v>
      </c>
      <c r="CF237" s="18">
        <f t="shared" si="614"/>
        <v>0</v>
      </c>
      <c r="CG237" s="35">
        <v>0</v>
      </c>
      <c r="CH237" s="35">
        <v>0</v>
      </c>
      <c r="CI237" s="35">
        <v>0</v>
      </c>
      <c r="CJ237" s="35">
        <v>0</v>
      </c>
      <c r="CK237" s="35">
        <f t="shared" si="615"/>
        <v>0</v>
      </c>
      <c r="CL237" s="35">
        <v>0</v>
      </c>
      <c r="CM237" s="35">
        <v>0</v>
      </c>
      <c r="CN237" s="35">
        <v>0</v>
      </c>
      <c r="CO237" s="65"/>
      <c r="CP237" s="65"/>
      <c r="CQ237" s="65"/>
      <c r="CR237" s="65"/>
      <c r="CS237" s="46"/>
    </row>
    <row r="238" spans="1:198" ht="46.8" x14ac:dyDescent="0.3">
      <c r="A238" s="92"/>
      <c r="B238" s="83">
        <v>113</v>
      </c>
      <c r="C238" s="84" t="s">
        <v>482</v>
      </c>
      <c r="D238" s="65">
        <f t="shared" si="601"/>
        <v>4684345</v>
      </c>
      <c r="E238" s="65">
        <f t="shared" si="602"/>
        <v>3038395</v>
      </c>
      <c r="F238" s="65">
        <f t="shared" ref="F238" si="623">SUM(G238+H238+I238+P238+S238+T238+U238+AE238+AD238)</f>
        <v>3038395</v>
      </c>
      <c r="G238" s="65">
        <v>0</v>
      </c>
      <c r="H238" s="65">
        <v>0</v>
      </c>
      <c r="I238" s="65">
        <f t="shared" ref="I238" si="624">SUM(J238:O238)</f>
        <v>0</v>
      </c>
      <c r="J238" s="66">
        <v>0</v>
      </c>
      <c r="K238" s="66">
        <v>0</v>
      </c>
      <c r="L238" s="66">
        <v>0</v>
      </c>
      <c r="M238" s="66">
        <v>0</v>
      </c>
      <c r="N238" s="66">
        <v>0</v>
      </c>
      <c r="O238" s="66"/>
      <c r="P238" s="65">
        <f t="shared" ref="P238" si="625">SUM(Q238:R238)</f>
        <v>0</v>
      </c>
      <c r="Q238" s="65">
        <v>0</v>
      </c>
      <c r="R238" s="65">
        <v>0</v>
      </c>
      <c r="S238" s="65">
        <v>0</v>
      </c>
      <c r="T238" s="65">
        <v>0</v>
      </c>
      <c r="U238" s="65">
        <f>SUM(V238:AC238)</f>
        <v>0</v>
      </c>
      <c r="V238" s="65">
        <v>0</v>
      </c>
      <c r="W238" s="65">
        <v>0</v>
      </c>
      <c r="X238" s="65">
        <v>0</v>
      </c>
      <c r="Y238" s="65">
        <v>0</v>
      </c>
      <c r="Z238" s="65">
        <v>0</v>
      </c>
      <c r="AA238" s="65">
        <v>0</v>
      </c>
      <c r="AB238" s="65">
        <v>0</v>
      </c>
      <c r="AC238" s="65">
        <v>0</v>
      </c>
      <c r="AD238" s="65">
        <v>0</v>
      </c>
      <c r="AE238" s="65">
        <f t="shared" si="606"/>
        <v>3038395</v>
      </c>
      <c r="AF238" s="65">
        <v>0</v>
      </c>
      <c r="AG238" s="65">
        <v>0</v>
      </c>
      <c r="AH238" s="66">
        <f>3000000+38395</f>
        <v>3038395</v>
      </c>
      <c r="AI238" s="66">
        <v>0</v>
      </c>
      <c r="AJ238" s="66"/>
      <c r="AK238" s="66">
        <v>0</v>
      </c>
      <c r="AL238" s="66">
        <v>0</v>
      </c>
      <c r="AM238" s="66">
        <v>0</v>
      </c>
      <c r="AN238" s="66">
        <v>0</v>
      </c>
      <c r="AO238" s="66">
        <v>0</v>
      </c>
      <c r="AP238" s="66">
        <v>0</v>
      </c>
      <c r="AQ238" s="66">
        <v>0</v>
      </c>
      <c r="AR238" s="66">
        <v>0</v>
      </c>
      <c r="AS238" s="66">
        <v>0</v>
      </c>
      <c r="AT238" s="66">
        <v>0</v>
      </c>
      <c r="AU238" s="66">
        <v>0</v>
      </c>
      <c r="AV238" s="66">
        <v>0</v>
      </c>
      <c r="AW238" s="66">
        <v>0</v>
      </c>
      <c r="AX238" s="66">
        <v>0</v>
      </c>
      <c r="AY238" s="66">
        <v>0</v>
      </c>
      <c r="AZ238" s="66">
        <f>16784956-16784956</f>
        <v>0</v>
      </c>
      <c r="BA238" s="65">
        <f t="shared" si="619"/>
        <v>0</v>
      </c>
      <c r="BB238" s="65">
        <f t="shared" ref="BB238" si="626">SUM(BC238:BE238)</f>
        <v>0</v>
      </c>
      <c r="BC238" s="65">
        <v>0</v>
      </c>
      <c r="BD238" s="65">
        <v>0</v>
      </c>
      <c r="BE238" s="65">
        <v>0</v>
      </c>
      <c r="BF238" s="65">
        <f t="shared" ref="BF238" si="627">SUM(BI238:BI238)</f>
        <v>0</v>
      </c>
      <c r="BG238" s="65">
        <v>0</v>
      </c>
      <c r="BH238" s="65">
        <v>0</v>
      </c>
      <c r="BI238" s="65">
        <v>0</v>
      </c>
      <c r="BJ238" s="65">
        <v>0</v>
      </c>
      <c r="BK238" s="65">
        <v>0</v>
      </c>
      <c r="BL238" s="65">
        <f t="shared" ref="BL238" si="628">SUM(BM238)</f>
        <v>0</v>
      </c>
      <c r="BM238" s="65">
        <v>0</v>
      </c>
      <c r="BN238" s="65">
        <v>0</v>
      </c>
      <c r="BO238" s="65">
        <f t="shared" si="610"/>
        <v>0</v>
      </c>
      <c r="BP238" s="65">
        <v>0</v>
      </c>
      <c r="BQ238" s="65">
        <v>0</v>
      </c>
      <c r="BR238" s="65">
        <v>0</v>
      </c>
      <c r="BS238" s="65">
        <v>0</v>
      </c>
      <c r="BT238" s="65">
        <v>0</v>
      </c>
      <c r="BU238" s="65">
        <v>0</v>
      </c>
      <c r="BV238" s="65">
        <v>0</v>
      </c>
      <c r="BW238" s="65">
        <v>0</v>
      </c>
      <c r="BX238" s="65">
        <v>0</v>
      </c>
      <c r="BY238" s="65">
        <v>0</v>
      </c>
      <c r="BZ238" s="65">
        <v>0</v>
      </c>
      <c r="CA238" s="65">
        <f t="shared" si="611"/>
        <v>1645950</v>
      </c>
      <c r="CB238" s="65">
        <f t="shared" si="612"/>
        <v>1645950</v>
      </c>
      <c r="CC238" s="65">
        <f t="shared" ref="CC238" si="629">SUM(CD238:CE238)</f>
        <v>1645950</v>
      </c>
      <c r="CD238" s="65">
        <v>0</v>
      </c>
      <c r="CE238" s="65">
        <f>15862382-14216432</f>
        <v>1645950</v>
      </c>
      <c r="CF238" s="65">
        <f t="shared" si="614"/>
        <v>0</v>
      </c>
      <c r="CG238" s="65">
        <v>0</v>
      </c>
      <c r="CH238" s="65">
        <v>0</v>
      </c>
      <c r="CI238" s="65">
        <v>0</v>
      </c>
      <c r="CJ238" s="65">
        <v>0</v>
      </c>
      <c r="CK238" s="65">
        <f t="shared" si="615"/>
        <v>0</v>
      </c>
      <c r="CL238" s="65">
        <v>0</v>
      </c>
      <c r="CM238" s="65">
        <v>0</v>
      </c>
      <c r="CN238" s="65">
        <v>0</v>
      </c>
      <c r="CO238" s="65"/>
      <c r="CP238" s="65"/>
      <c r="CQ238" s="65"/>
      <c r="CR238" s="65"/>
      <c r="CS238" s="68"/>
      <c r="GP238" s="68"/>
    </row>
    <row r="239" spans="1:198" ht="31.2" x14ac:dyDescent="0.3">
      <c r="A239" s="93"/>
      <c r="B239" s="37" t="s">
        <v>56</v>
      </c>
      <c r="C239" s="38" t="s">
        <v>434</v>
      </c>
      <c r="D239" s="35">
        <f t="shared" si="601"/>
        <v>5207</v>
      </c>
      <c r="E239" s="35">
        <f t="shared" si="602"/>
        <v>5207</v>
      </c>
      <c r="F239" s="35">
        <f t="shared" si="603"/>
        <v>5207</v>
      </c>
      <c r="G239" s="35">
        <v>0</v>
      </c>
      <c r="H239" s="35">
        <v>0</v>
      </c>
      <c r="I239" s="35">
        <f t="shared" ref="I239" si="630">SUM(J239:O239)</f>
        <v>0</v>
      </c>
      <c r="J239" s="31">
        <v>0</v>
      </c>
      <c r="K239" s="31">
        <v>0</v>
      </c>
      <c r="L239" s="31">
        <v>0</v>
      </c>
      <c r="M239" s="31">
        <v>0</v>
      </c>
      <c r="N239" s="31">
        <v>0</v>
      </c>
      <c r="O239" s="31">
        <v>0</v>
      </c>
      <c r="P239" s="35">
        <f t="shared" ref="P239" si="631">SUM(Q239:R239)</f>
        <v>0</v>
      </c>
      <c r="Q239" s="35">
        <v>0</v>
      </c>
      <c r="R239" s="35">
        <v>0</v>
      </c>
      <c r="S239" s="35">
        <v>0</v>
      </c>
      <c r="T239" s="35">
        <v>0</v>
      </c>
      <c r="U239" s="35">
        <f t="shared" si="605"/>
        <v>0</v>
      </c>
      <c r="V239" s="35">
        <v>0</v>
      </c>
      <c r="W239" s="35">
        <v>0</v>
      </c>
      <c r="X239" s="35">
        <v>0</v>
      </c>
      <c r="Y239" s="35">
        <v>0</v>
      </c>
      <c r="Z239" s="35">
        <v>0</v>
      </c>
      <c r="AA239" s="35">
        <v>0</v>
      </c>
      <c r="AB239" s="35">
        <v>0</v>
      </c>
      <c r="AC239" s="35">
        <v>0</v>
      </c>
      <c r="AD239" s="35">
        <v>0</v>
      </c>
      <c r="AE239" s="35">
        <f t="shared" si="606"/>
        <v>5207</v>
      </c>
      <c r="AF239" s="36"/>
      <c r="AG239" s="36"/>
      <c r="AH239" s="31">
        <v>0</v>
      </c>
      <c r="AI239" s="31">
        <v>0</v>
      </c>
      <c r="AJ239" s="31">
        <f>5469-262</f>
        <v>5207</v>
      </c>
      <c r="AK239" s="31"/>
      <c r="AL239" s="31">
        <v>0</v>
      </c>
      <c r="AM239" s="31">
        <v>0</v>
      </c>
      <c r="AN239" s="31">
        <v>0</v>
      </c>
      <c r="AO239" s="31">
        <v>0</v>
      </c>
      <c r="AP239" s="31">
        <v>0</v>
      </c>
      <c r="AQ239" s="31">
        <v>0</v>
      </c>
      <c r="AR239" s="31">
        <v>0</v>
      </c>
      <c r="AS239" s="31">
        <v>0</v>
      </c>
      <c r="AT239" s="31">
        <v>0</v>
      </c>
      <c r="AU239" s="31">
        <v>0</v>
      </c>
      <c r="AV239" s="31">
        <v>0</v>
      </c>
      <c r="AW239" s="31">
        <v>0</v>
      </c>
      <c r="AX239" s="31">
        <v>0</v>
      </c>
      <c r="AY239" s="31">
        <v>0</v>
      </c>
      <c r="AZ239" s="31">
        <v>0</v>
      </c>
      <c r="BA239" s="35">
        <f t="shared" si="619"/>
        <v>0</v>
      </c>
      <c r="BB239" s="35">
        <f t="shared" si="607"/>
        <v>0</v>
      </c>
      <c r="BC239" s="35">
        <v>0</v>
      </c>
      <c r="BD239" s="35">
        <v>0</v>
      </c>
      <c r="BE239" s="35">
        <v>0</v>
      </c>
      <c r="BF239" s="35">
        <f t="shared" si="608"/>
        <v>0</v>
      </c>
      <c r="BG239" s="35">
        <v>0</v>
      </c>
      <c r="BH239" s="35">
        <v>0</v>
      </c>
      <c r="BI239" s="35">
        <v>0</v>
      </c>
      <c r="BJ239" s="35">
        <v>0</v>
      </c>
      <c r="BK239" s="35">
        <v>0</v>
      </c>
      <c r="BL239" s="35">
        <f t="shared" si="609"/>
        <v>0</v>
      </c>
      <c r="BM239" s="35">
        <v>0</v>
      </c>
      <c r="BN239" s="35">
        <v>0</v>
      </c>
      <c r="BO239" s="35">
        <f t="shared" si="610"/>
        <v>0</v>
      </c>
      <c r="BP239" s="35">
        <v>0</v>
      </c>
      <c r="BQ239" s="35">
        <v>0</v>
      </c>
      <c r="BR239" s="35">
        <v>0</v>
      </c>
      <c r="BS239" s="35">
        <v>0</v>
      </c>
      <c r="BT239" s="35">
        <v>0</v>
      </c>
      <c r="BU239" s="35">
        <v>0</v>
      </c>
      <c r="BV239" s="35">
        <v>0</v>
      </c>
      <c r="BW239" s="35">
        <v>0</v>
      </c>
      <c r="BX239" s="35">
        <v>0</v>
      </c>
      <c r="BY239" s="35">
        <v>0</v>
      </c>
      <c r="BZ239" s="35">
        <v>0</v>
      </c>
      <c r="CA239" s="35">
        <f t="shared" si="611"/>
        <v>0</v>
      </c>
      <c r="CB239" s="35">
        <f t="shared" si="612"/>
        <v>0</v>
      </c>
      <c r="CC239" s="35">
        <f t="shared" ref="CC239" si="632">SUM(CD239:CE239)</f>
        <v>0</v>
      </c>
      <c r="CD239" s="35">
        <v>0</v>
      </c>
      <c r="CE239" s="35">
        <v>0</v>
      </c>
      <c r="CF239" s="18">
        <f t="shared" si="614"/>
        <v>0</v>
      </c>
      <c r="CG239" s="35">
        <v>0</v>
      </c>
      <c r="CH239" s="35">
        <v>0</v>
      </c>
      <c r="CI239" s="35">
        <v>0</v>
      </c>
      <c r="CJ239" s="35">
        <v>0</v>
      </c>
      <c r="CK239" s="35">
        <f t="shared" si="615"/>
        <v>0</v>
      </c>
      <c r="CL239" s="35">
        <v>0</v>
      </c>
      <c r="CM239" s="35">
        <v>0</v>
      </c>
      <c r="CN239" s="35">
        <v>0</v>
      </c>
      <c r="CO239" s="65"/>
      <c r="CP239" s="65"/>
      <c r="CQ239" s="65"/>
      <c r="CR239" s="65"/>
      <c r="CS239" s="46"/>
      <c r="GP239" s="68"/>
    </row>
    <row r="240" spans="1:198" s="46" customFormat="1" ht="31.2" x14ac:dyDescent="0.3">
      <c r="A240" s="93"/>
      <c r="B240" s="32" t="s">
        <v>56</v>
      </c>
      <c r="C240" s="33" t="s">
        <v>435</v>
      </c>
      <c r="D240" s="35">
        <f t="shared" si="601"/>
        <v>0</v>
      </c>
      <c r="E240" s="35">
        <f t="shared" si="602"/>
        <v>0</v>
      </c>
      <c r="F240" s="35">
        <f t="shared" si="603"/>
        <v>0</v>
      </c>
      <c r="G240" s="35"/>
      <c r="H240" s="35"/>
      <c r="I240" s="35">
        <f t="shared" si="597"/>
        <v>0</v>
      </c>
      <c r="J240" s="31">
        <v>0</v>
      </c>
      <c r="K240" s="31">
        <v>0</v>
      </c>
      <c r="L240" s="31">
        <v>0</v>
      </c>
      <c r="M240" s="31">
        <v>0</v>
      </c>
      <c r="N240" s="31">
        <v>0</v>
      </c>
      <c r="O240" s="31">
        <v>0</v>
      </c>
      <c r="P240" s="35">
        <f t="shared" si="604"/>
        <v>0</v>
      </c>
      <c r="Q240" s="35"/>
      <c r="R240" s="35"/>
      <c r="S240" s="35">
        <v>0</v>
      </c>
      <c r="T240" s="35"/>
      <c r="U240" s="35">
        <f t="shared" si="605"/>
        <v>0</v>
      </c>
      <c r="V240" s="35"/>
      <c r="W240" s="35"/>
      <c r="X240" s="35"/>
      <c r="Y240" s="35"/>
      <c r="Z240" s="35"/>
      <c r="AA240" s="35">
        <v>0</v>
      </c>
      <c r="AB240" s="35">
        <v>0</v>
      </c>
      <c r="AC240" s="35"/>
      <c r="AD240" s="35"/>
      <c r="AE240" s="35">
        <f t="shared" si="606"/>
        <v>0</v>
      </c>
      <c r="AF240" s="35"/>
      <c r="AG240" s="35"/>
      <c r="AH240" s="31"/>
      <c r="AI240" s="31"/>
      <c r="AJ240" s="31"/>
      <c r="AK240" s="31">
        <f>750000-750000</f>
        <v>0</v>
      </c>
      <c r="AL240" s="31">
        <v>0</v>
      </c>
      <c r="AM240" s="31">
        <v>0</v>
      </c>
      <c r="AN240" s="31">
        <v>0</v>
      </c>
      <c r="AO240" s="31">
        <v>0</v>
      </c>
      <c r="AP240" s="31">
        <v>0</v>
      </c>
      <c r="AQ240" s="31">
        <v>0</v>
      </c>
      <c r="AR240" s="31">
        <v>0</v>
      </c>
      <c r="AS240" s="31">
        <v>0</v>
      </c>
      <c r="AT240" s="31">
        <v>0</v>
      </c>
      <c r="AU240" s="31">
        <v>0</v>
      </c>
      <c r="AV240" s="31">
        <v>0</v>
      </c>
      <c r="AW240" s="31">
        <v>0</v>
      </c>
      <c r="AX240" s="31">
        <v>0</v>
      </c>
      <c r="AY240" s="31">
        <v>0</v>
      </c>
      <c r="AZ240" s="31">
        <v>0</v>
      </c>
      <c r="BA240" s="35">
        <f t="shared" si="619"/>
        <v>0</v>
      </c>
      <c r="BB240" s="35">
        <f t="shared" si="607"/>
        <v>0</v>
      </c>
      <c r="BC240" s="35">
        <v>0</v>
      </c>
      <c r="BD240" s="35">
        <v>0</v>
      </c>
      <c r="BE240" s="35">
        <v>0</v>
      </c>
      <c r="BF240" s="35">
        <f t="shared" si="608"/>
        <v>0</v>
      </c>
      <c r="BG240" s="35">
        <v>0</v>
      </c>
      <c r="BH240" s="35">
        <v>0</v>
      </c>
      <c r="BI240" s="35">
        <v>0</v>
      </c>
      <c r="BJ240" s="35">
        <v>0</v>
      </c>
      <c r="BK240" s="35">
        <v>0</v>
      </c>
      <c r="BL240" s="35">
        <f t="shared" si="609"/>
        <v>0</v>
      </c>
      <c r="BM240" s="35">
        <v>0</v>
      </c>
      <c r="BN240" s="35">
        <v>0</v>
      </c>
      <c r="BO240" s="35">
        <f t="shared" si="610"/>
        <v>0</v>
      </c>
      <c r="BP240" s="35">
        <v>0</v>
      </c>
      <c r="BQ240" s="35">
        <v>0</v>
      </c>
      <c r="BR240" s="35">
        <v>0</v>
      </c>
      <c r="BS240" s="35">
        <v>0</v>
      </c>
      <c r="BT240" s="35">
        <v>0</v>
      </c>
      <c r="BU240" s="35">
        <v>0</v>
      </c>
      <c r="BV240" s="35">
        <v>0</v>
      </c>
      <c r="BW240" s="35">
        <v>0</v>
      </c>
      <c r="BX240" s="35">
        <v>0</v>
      </c>
      <c r="BY240" s="35"/>
      <c r="BZ240" s="35">
        <v>0</v>
      </c>
      <c r="CA240" s="35">
        <f t="shared" si="611"/>
        <v>0</v>
      </c>
      <c r="CB240" s="35">
        <f t="shared" si="612"/>
        <v>0</v>
      </c>
      <c r="CC240" s="35">
        <f t="shared" si="613"/>
        <v>0</v>
      </c>
      <c r="CD240" s="35">
        <v>0</v>
      </c>
      <c r="CE240" s="35"/>
      <c r="CF240" s="18">
        <f t="shared" si="614"/>
        <v>0</v>
      </c>
      <c r="CG240" s="35">
        <v>0</v>
      </c>
      <c r="CH240" s="35">
        <v>0</v>
      </c>
      <c r="CI240" s="35">
        <v>0</v>
      </c>
      <c r="CJ240" s="35">
        <v>0</v>
      </c>
      <c r="CK240" s="35">
        <f t="shared" si="615"/>
        <v>0</v>
      </c>
      <c r="CL240" s="35">
        <v>0</v>
      </c>
      <c r="CM240" s="35"/>
      <c r="CN240" s="35">
        <v>0</v>
      </c>
      <c r="CO240" s="65"/>
      <c r="CP240" s="65"/>
      <c r="CQ240" s="65"/>
      <c r="CR240" s="65"/>
      <c r="GP240" s="68"/>
    </row>
    <row r="241" spans="1:198" ht="46.8" x14ac:dyDescent="0.3">
      <c r="A241" s="93"/>
      <c r="B241" s="37">
        <v>147</v>
      </c>
      <c r="C241" s="38" t="s">
        <v>599</v>
      </c>
      <c r="D241" s="35">
        <f t="shared" si="601"/>
        <v>0</v>
      </c>
      <c r="E241" s="35">
        <f t="shared" si="602"/>
        <v>0</v>
      </c>
      <c r="F241" s="35">
        <f t="shared" ref="F241" si="633">SUM(G241+H241+I241+P241+S241+T241+U241+AE241+AD241)</f>
        <v>0</v>
      </c>
      <c r="G241" s="35">
        <v>0</v>
      </c>
      <c r="H241" s="35">
        <v>0</v>
      </c>
      <c r="I241" s="35">
        <f t="shared" ref="I241" si="634">SUM(J241:O241)</f>
        <v>0</v>
      </c>
      <c r="J241" s="31">
        <v>0</v>
      </c>
      <c r="K241" s="31">
        <v>0</v>
      </c>
      <c r="L241" s="31">
        <v>0</v>
      </c>
      <c r="M241" s="31">
        <v>0</v>
      </c>
      <c r="N241" s="31">
        <v>0</v>
      </c>
      <c r="O241" s="31"/>
      <c r="P241" s="35">
        <f t="shared" ref="P241" si="635">SUM(Q241:R241)</f>
        <v>0</v>
      </c>
      <c r="Q241" s="35">
        <v>0</v>
      </c>
      <c r="R241" s="35">
        <v>0</v>
      </c>
      <c r="S241" s="35">
        <v>0</v>
      </c>
      <c r="T241" s="35">
        <v>0</v>
      </c>
      <c r="U241" s="35">
        <f t="shared" ref="U241" si="636">SUM(V241:AC241)</f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0</v>
      </c>
      <c r="AA241" s="35">
        <v>0</v>
      </c>
      <c r="AB241" s="35">
        <v>0</v>
      </c>
      <c r="AC241" s="35">
        <v>0</v>
      </c>
      <c r="AD241" s="35">
        <v>0</v>
      </c>
      <c r="AE241" s="35">
        <f t="shared" si="606"/>
        <v>0</v>
      </c>
      <c r="AF241" s="36"/>
      <c r="AG241" s="36"/>
      <c r="AH241" s="31">
        <v>0</v>
      </c>
      <c r="AI241" s="31">
        <v>0</v>
      </c>
      <c r="AJ241" s="31">
        <v>0</v>
      </c>
      <c r="AK241" s="31">
        <v>0</v>
      </c>
      <c r="AL241" s="31">
        <v>0</v>
      </c>
      <c r="AM241" s="31">
        <v>0</v>
      </c>
      <c r="AN241" s="31">
        <v>0</v>
      </c>
      <c r="AO241" s="31">
        <v>0</v>
      </c>
      <c r="AP241" s="31">
        <v>0</v>
      </c>
      <c r="AQ241" s="31">
        <v>0</v>
      </c>
      <c r="AR241" s="31">
        <v>0</v>
      </c>
      <c r="AS241" s="31">
        <v>0</v>
      </c>
      <c r="AT241" s="31">
        <v>0</v>
      </c>
      <c r="AU241" s="31">
        <v>0</v>
      </c>
      <c r="AV241" s="31">
        <v>0</v>
      </c>
      <c r="AW241" s="31">
        <v>0</v>
      </c>
      <c r="AX241" s="31">
        <v>0</v>
      </c>
      <c r="AY241" s="31">
        <v>0</v>
      </c>
      <c r="AZ241" s="31"/>
      <c r="BA241" s="35">
        <f t="shared" si="619"/>
        <v>0</v>
      </c>
      <c r="BB241" s="35">
        <f t="shared" ref="BB241" si="637">SUM(BC241:BE241)</f>
        <v>0</v>
      </c>
      <c r="BC241" s="35">
        <v>0</v>
      </c>
      <c r="BD241" s="35">
        <v>0</v>
      </c>
      <c r="BE241" s="35">
        <v>0</v>
      </c>
      <c r="BF241" s="35">
        <f t="shared" ref="BF241" si="638">SUM(BI241:BI241)</f>
        <v>0</v>
      </c>
      <c r="BG241" s="35">
        <v>0</v>
      </c>
      <c r="BH241" s="35">
        <v>0</v>
      </c>
      <c r="BI241" s="35">
        <v>0</v>
      </c>
      <c r="BJ241" s="35">
        <f>821924-821924</f>
        <v>0</v>
      </c>
      <c r="BK241" s="35">
        <v>0</v>
      </c>
      <c r="BL241" s="35">
        <f t="shared" ref="BL241" si="639">SUM(BM241)</f>
        <v>0</v>
      </c>
      <c r="BM241" s="35">
        <v>0</v>
      </c>
      <c r="BN241" s="35">
        <v>0</v>
      </c>
      <c r="BO241" s="35">
        <f>SUM(BP241:BZ241)</f>
        <v>0</v>
      </c>
      <c r="BP241" s="35">
        <v>0</v>
      </c>
      <c r="BQ241" s="35">
        <v>0</v>
      </c>
      <c r="BR241" s="35">
        <v>0</v>
      </c>
      <c r="BS241" s="35">
        <v>0</v>
      </c>
      <c r="BT241" s="35">
        <v>0</v>
      </c>
      <c r="BU241" s="35">
        <v>0</v>
      </c>
      <c r="BV241" s="35">
        <v>0</v>
      </c>
      <c r="BW241" s="35">
        <v>0</v>
      </c>
      <c r="BX241" s="35">
        <v>0</v>
      </c>
      <c r="BY241" s="35">
        <v>0</v>
      </c>
      <c r="BZ241" s="35">
        <v>0</v>
      </c>
      <c r="CA241" s="35">
        <f t="shared" si="611"/>
        <v>0</v>
      </c>
      <c r="CB241" s="35">
        <f t="shared" si="612"/>
        <v>0</v>
      </c>
      <c r="CC241" s="35">
        <f t="shared" ref="CC241" si="640">SUM(CD241:CE241)</f>
        <v>0</v>
      </c>
      <c r="CD241" s="35">
        <v>0</v>
      </c>
      <c r="CE241" s="35">
        <v>0</v>
      </c>
      <c r="CF241" s="18">
        <f t="shared" si="614"/>
        <v>0</v>
      </c>
      <c r="CG241" s="35">
        <v>0</v>
      </c>
      <c r="CH241" s="35">
        <v>0</v>
      </c>
      <c r="CI241" s="35">
        <v>0</v>
      </c>
      <c r="CJ241" s="35">
        <v>0</v>
      </c>
      <c r="CK241" s="35">
        <f t="shared" si="615"/>
        <v>0</v>
      </c>
      <c r="CL241" s="35">
        <v>0</v>
      </c>
      <c r="CM241" s="35">
        <v>0</v>
      </c>
      <c r="CN241" s="35">
        <v>0</v>
      </c>
      <c r="CO241" s="65"/>
      <c r="CP241" s="65"/>
      <c r="CQ241" s="65"/>
      <c r="CR241" s="65"/>
      <c r="CS241" s="46"/>
    </row>
    <row r="242" spans="1:198" ht="31.2" x14ac:dyDescent="0.3">
      <c r="A242" s="90" t="s">
        <v>1</v>
      </c>
      <c r="B242" s="32" t="s">
        <v>73</v>
      </c>
      <c r="C242" s="33" t="s">
        <v>331</v>
      </c>
      <c r="D242" s="18">
        <f t="shared" si="601"/>
        <v>509352</v>
      </c>
      <c r="E242" s="18">
        <f t="shared" si="602"/>
        <v>509352</v>
      </c>
      <c r="F242" s="18">
        <f t="shared" si="603"/>
        <v>0</v>
      </c>
      <c r="G242" s="18">
        <v>0</v>
      </c>
      <c r="H242" s="18">
        <v>0</v>
      </c>
      <c r="I242" s="18">
        <f t="shared" ref="I242:I243" si="641">SUM(J242:O242)</f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f>32507-32507</f>
        <v>0</v>
      </c>
      <c r="P242" s="18">
        <f t="shared" si="604"/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f t="shared" si="605"/>
        <v>0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  <c r="AB242" s="18">
        <v>0</v>
      </c>
      <c r="AC242" s="18">
        <v>0</v>
      </c>
      <c r="AD242" s="18">
        <v>0</v>
      </c>
      <c r="AE242" s="18">
        <f t="shared" si="606"/>
        <v>0</v>
      </c>
      <c r="AF242" s="18">
        <v>0</v>
      </c>
      <c r="AG242" s="18">
        <v>0</v>
      </c>
      <c r="AH242" s="18">
        <v>0</v>
      </c>
      <c r="AI242" s="18">
        <v>0</v>
      </c>
      <c r="AJ242" s="22"/>
      <c r="AK242" s="22"/>
      <c r="AL242" s="18">
        <v>0</v>
      </c>
      <c r="AM242" s="18">
        <v>0</v>
      </c>
      <c r="AN242" s="18">
        <v>0</v>
      </c>
      <c r="AO242" s="18">
        <v>0</v>
      </c>
      <c r="AP242" s="18">
        <v>0</v>
      </c>
      <c r="AQ242" s="18">
        <v>0</v>
      </c>
      <c r="AR242" s="18">
        <v>0</v>
      </c>
      <c r="AS242" s="18">
        <v>0</v>
      </c>
      <c r="AT242" s="18">
        <v>0</v>
      </c>
      <c r="AU242" s="18">
        <v>0</v>
      </c>
      <c r="AV242" s="18">
        <v>0</v>
      </c>
      <c r="AW242" s="18">
        <v>0</v>
      </c>
      <c r="AX242" s="18">
        <v>0</v>
      </c>
      <c r="AY242" s="18">
        <v>0</v>
      </c>
      <c r="AZ242" s="22">
        <v>0</v>
      </c>
      <c r="BA242" s="35">
        <f>SUM(BB242+BF242+BJ242+BL242+BO242)</f>
        <v>509352</v>
      </c>
      <c r="BB242" s="18">
        <f t="shared" si="607"/>
        <v>0</v>
      </c>
      <c r="BC242" s="18">
        <v>0</v>
      </c>
      <c r="BD242" s="18">
        <v>0</v>
      </c>
      <c r="BE242" s="18">
        <v>0</v>
      </c>
      <c r="BF242" s="18">
        <f t="shared" si="608"/>
        <v>0</v>
      </c>
      <c r="BG242" s="18">
        <v>0</v>
      </c>
      <c r="BH242" s="18">
        <v>0</v>
      </c>
      <c r="BI242" s="18">
        <v>0</v>
      </c>
      <c r="BJ242" s="18">
        <f>BK242</f>
        <v>509352</v>
      </c>
      <c r="BK242" s="18">
        <v>509352</v>
      </c>
      <c r="BL242" s="18">
        <f t="shared" si="609"/>
        <v>0</v>
      </c>
      <c r="BM242" s="18">
        <v>0</v>
      </c>
      <c r="BN242" s="18">
        <v>0</v>
      </c>
      <c r="BO242" s="18">
        <f t="shared" si="610"/>
        <v>0</v>
      </c>
      <c r="BP242" s="18">
        <v>0</v>
      </c>
      <c r="BQ242" s="18">
        <v>0</v>
      </c>
      <c r="BR242" s="18">
        <v>0</v>
      </c>
      <c r="BS242" s="18">
        <v>0</v>
      </c>
      <c r="BT242" s="18">
        <v>0</v>
      </c>
      <c r="BU242" s="18">
        <v>0</v>
      </c>
      <c r="BV242" s="18">
        <v>0</v>
      </c>
      <c r="BW242" s="18">
        <v>0</v>
      </c>
      <c r="BX242" s="18">
        <v>0</v>
      </c>
      <c r="BY242" s="18">
        <v>0</v>
      </c>
      <c r="BZ242" s="18">
        <v>0</v>
      </c>
      <c r="CA242" s="18">
        <f t="shared" si="611"/>
        <v>0</v>
      </c>
      <c r="CB242" s="18">
        <f t="shared" si="612"/>
        <v>0</v>
      </c>
      <c r="CC242" s="18">
        <f t="shared" ref="CC242:CC243" si="642">SUM(CD242:CE242)</f>
        <v>0</v>
      </c>
      <c r="CD242" s="18">
        <v>0</v>
      </c>
      <c r="CE242" s="18">
        <v>0</v>
      </c>
      <c r="CF242" s="18">
        <f t="shared" si="614"/>
        <v>0</v>
      </c>
      <c r="CG242" s="18">
        <v>0</v>
      </c>
      <c r="CH242" s="18">
        <v>0</v>
      </c>
      <c r="CI242" s="18">
        <v>0</v>
      </c>
      <c r="CJ242" s="18">
        <v>0</v>
      </c>
      <c r="CK242" s="18">
        <f t="shared" si="615"/>
        <v>0</v>
      </c>
      <c r="CL242" s="18">
        <v>0</v>
      </c>
      <c r="CM242" s="18">
        <v>0</v>
      </c>
      <c r="CN242" s="18">
        <v>0</v>
      </c>
      <c r="CO242" s="65"/>
      <c r="CP242" s="65"/>
      <c r="CQ242" s="65"/>
      <c r="CR242" s="65"/>
      <c r="CS242" s="46"/>
    </row>
    <row r="243" spans="1:198" s="46" customFormat="1" ht="46.8" x14ac:dyDescent="0.3">
      <c r="A243" s="90" t="s">
        <v>1</v>
      </c>
      <c r="B243" s="39" t="s">
        <v>73</v>
      </c>
      <c r="C243" s="40" t="s">
        <v>283</v>
      </c>
      <c r="D243" s="18">
        <f t="shared" si="601"/>
        <v>260011</v>
      </c>
      <c r="E243" s="18">
        <f t="shared" si="602"/>
        <v>0</v>
      </c>
      <c r="F243" s="18">
        <f t="shared" si="603"/>
        <v>0</v>
      </c>
      <c r="G243" s="18">
        <v>0</v>
      </c>
      <c r="H243" s="18">
        <v>0</v>
      </c>
      <c r="I243" s="18">
        <f t="shared" si="641"/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f t="shared" si="604"/>
        <v>0</v>
      </c>
      <c r="Q243" s="18">
        <v>0</v>
      </c>
      <c r="R243" s="18">
        <v>0</v>
      </c>
      <c r="S243" s="18">
        <v>0</v>
      </c>
      <c r="T243" s="18">
        <v>0</v>
      </c>
      <c r="U243" s="18">
        <f t="shared" si="605"/>
        <v>0</v>
      </c>
      <c r="V243" s="18">
        <v>0</v>
      </c>
      <c r="W243" s="18">
        <v>0</v>
      </c>
      <c r="X243" s="18">
        <v>0</v>
      </c>
      <c r="Y243" s="18">
        <v>0</v>
      </c>
      <c r="Z243" s="18">
        <v>0</v>
      </c>
      <c r="AA243" s="18">
        <v>0</v>
      </c>
      <c r="AB243" s="18">
        <v>0</v>
      </c>
      <c r="AC243" s="18">
        <v>0</v>
      </c>
      <c r="AD243" s="18">
        <v>0</v>
      </c>
      <c r="AE243" s="18">
        <f t="shared" si="606"/>
        <v>0</v>
      </c>
      <c r="AF243" s="18">
        <v>0</v>
      </c>
      <c r="AG243" s="18">
        <v>0</v>
      </c>
      <c r="AH243" s="18">
        <v>0</v>
      </c>
      <c r="AI243" s="18">
        <v>0</v>
      </c>
      <c r="AJ243" s="22"/>
      <c r="AK243" s="22"/>
      <c r="AL243" s="18">
        <v>0</v>
      </c>
      <c r="AM243" s="18">
        <v>0</v>
      </c>
      <c r="AN243" s="18">
        <v>0</v>
      </c>
      <c r="AO243" s="18">
        <v>0</v>
      </c>
      <c r="AP243" s="18">
        <v>0</v>
      </c>
      <c r="AQ243" s="18">
        <v>0</v>
      </c>
      <c r="AR243" s="18">
        <v>0</v>
      </c>
      <c r="AS243" s="18">
        <v>0</v>
      </c>
      <c r="AT243" s="18">
        <v>0</v>
      </c>
      <c r="AU243" s="18">
        <v>0</v>
      </c>
      <c r="AV243" s="18">
        <v>0</v>
      </c>
      <c r="AW243" s="18">
        <v>0</v>
      </c>
      <c r="AX243" s="18">
        <v>0</v>
      </c>
      <c r="AY243" s="18">
        <v>0</v>
      </c>
      <c r="AZ243" s="18">
        <v>0</v>
      </c>
      <c r="BA243" s="18">
        <f>SUM(BB243+BF243+BJ243+BL243+BO243)</f>
        <v>0</v>
      </c>
      <c r="BB243" s="18">
        <f t="shared" si="607"/>
        <v>0</v>
      </c>
      <c r="BC243" s="18">
        <v>0</v>
      </c>
      <c r="BD243" s="18">
        <v>0</v>
      </c>
      <c r="BE243" s="18">
        <v>0</v>
      </c>
      <c r="BF243" s="18">
        <f t="shared" si="608"/>
        <v>0</v>
      </c>
      <c r="BG243" s="18">
        <v>0</v>
      </c>
      <c r="BH243" s="18">
        <v>0</v>
      </c>
      <c r="BI243" s="18">
        <v>0</v>
      </c>
      <c r="BJ243" s="18">
        <v>0</v>
      </c>
      <c r="BK243" s="18">
        <v>0</v>
      </c>
      <c r="BL243" s="18">
        <f t="shared" si="609"/>
        <v>0</v>
      </c>
      <c r="BM243" s="18">
        <v>0</v>
      </c>
      <c r="BN243" s="18">
        <v>0</v>
      </c>
      <c r="BO243" s="18">
        <f t="shared" si="610"/>
        <v>0</v>
      </c>
      <c r="BP243" s="18">
        <v>0</v>
      </c>
      <c r="BQ243" s="18">
        <v>0</v>
      </c>
      <c r="BR243" s="18">
        <v>0</v>
      </c>
      <c r="BS243" s="18">
        <v>0</v>
      </c>
      <c r="BT243" s="18">
        <v>0</v>
      </c>
      <c r="BU243" s="18">
        <v>0</v>
      </c>
      <c r="BV243" s="18">
        <v>0</v>
      </c>
      <c r="BW243" s="18">
        <v>0</v>
      </c>
      <c r="BX243" s="18">
        <v>0</v>
      </c>
      <c r="BY243" s="18">
        <v>0</v>
      </c>
      <c r="BZ243" s="18">
        <v>0</v>
      </c>
      <c r="CA243" s="18">
        <f t="shared" si="611"/>
        <v>260011</v>
      </c>
      <c r="CB243" s="18">
        <f t="shared" si="612"/>
        <v>260011</v>
      </c>
      <c r="CC243" s="18">
        <f t="shared" si="642"/>
        <v>260011</v>
      </c>
      <c r="CD243" s="18">
        <v>0</v>
      </c>
      <c r="CE243" s="18">
        <f>300000-39989</f>
        <v>260011</v>
      </c>
      <c r="CF243" s="18">
        <f t="shared" si="614"/>
        <v>0</v>
      </c>
      <c r="CG243" s="18">
        <v>0</v>
      </c>
      <c r="CH243" s="18">
        <v>0</v>
      </c>
      <c r="CI243" s="18">
        <v>0</v>
      </c>
      <c r="CJ243" s="18">
        <v>0</v>
      </c>
      <c r="CK243" s="18">
        <f t="shared" si="615"/>
        <v>0</v>
      </c>
      <c r="CL243" s="18">
        <v>0</v>
      </c>
      <c r="CM243" s="18">
        <v>0</v>
      </c>
      <c r="CN243" s="18">
        <v>0</v>
      </c>
      <c r="CO243" s="65"/>
      <c r="CP243" s="65"/>
      <c r="CQ243" s="65"/>
      <c r="CR243" s="65"/>
      <c r="GP243" s="44"/>
    </row>
    <row r="244" spans="1:198" s="46" customFormat="1" ht="31.2" x14ac:dyDescent="0.3">
      <c r="A244" s="90"/>
      <c r="B244" s="39" t="s">
        <v>73</v>
      </c>
      <c r="C244" s="40" t="s">
        <v>580</v>
      </c>
      <c r="D244" s="18">
        <f t="shared" si="601"/>
        <v>10000000</v>
      </c>
      <c r="E244" s="18">
        <f t="shared" ref="E244" si="643">SUM(F244+BA244)</f>
        <v>10000000</v>
      </c>
      <c r="F244" s="18">
        <f t="shared" ref="F244" si="644">SUM(G244+H244+I244+P244+S244+T244+U244+AE244+AD244)</f>
        <v>0</v>
      </c>
      <c r="G244" s="18">
        <v>0</v>
      </c>
      <c r="H244" s="18">
        <v>0</v>
      </c>
      <c r="I244" s="18">
        <f t="shared" ref="I244" si="645">SUM(J244:O244)</f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f>32507-32507</f>
        <v>0</v>
      </c>
      <c r="P244" s="18">
        <f t="shared" ref="P244" si="646">SUM(Q244:R244)</f>
        <v>0</v>
      </c>
      <c r="Q244" s="18">
        <v>0</v>
      </c>
      <c r="R244" s="18">
        <v>0</v>
      </c>
      <c r="S244" s="18">
        <v>0</v>
      </c>
      <c r="T244" s="18">
        <v>0</v>
      </c>
      <c r="U244" s="18">
        <f t="shared" ref="U244" si="647">SUM(V244:AC244)</f>
        <v>0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  <c r="AB244" s="18">
        <v>0</v>
      </c>
      <c r="AC244" s="18">
        <v>0</v>
      </c>
      <c r="AD244" s="18">
        <v>0</v>
      </c>
      <c r="AE244" s="18">
        <f t="shared" ref="AE244" si="648">SUM(AF244:AZ244)</f>
        <v>0</v>
      </c>
      <c r="AF244" s="18">
        <v>0</v>
      </c>
      <c r="AG244" s="18">
        <v>0</v>
      </c>
      <c r="AH244" s="18">
        <v>0</v>
      </c>
      <c r="AI244" s="18">
        <v>0</v>
      </c>
      <c r="AJ244" s="22"/>
      <c r="AK244" s="22"/>
      <c r="AL244" s="18">
        <v>0</v>
      </c>
      <c r="AM244" s="18">
        <v>0</v>
      </c>
      <c r="AN244" s="18">
        <v>0</v>
      </c>
      <c r="AO244" s="18">
        <v>0</v>
      </c>
      <c r="AP244" s="18">
        <v>0</v>
      </c>
      <c r="AQ244" s="18">
        <v>0</v>
      </c>
      <c r="AR244" s="18">
        <v>0</v>
      </c>
      <c r="AS244" s="18">
        <v>0</v>
      </c>
      <c r="AT244" s="18">
        <v>0</v>
      </c>
      <c r="AU244" s="18">
        <v>0</v>
      </c>
      <c r="AV244" s="18">
        <v>0</v>
      </c>
      <c r="AW244" s="18">
        <v>0</v>
      </c>
      <c r="AX244" s="18">
        <v>0</v>
      </c>
      <c r="AY244" s="18">
        <v>0</v>
      </c>
      <c r="AZ244" s="22">
        <v>0</v>
      </c>
      <c r="BA244" s="35">
        <f>SUM(BB244+BF244+BJ244+BL244+BO244)</f>
        <v>10000000</v>
      </c>
      <c r="BB244" s="18">
        <f t="shared" ref="BB244" si="649">SUM(BC244:BE244)</f>
        <v>0</v>
      </c>
      <c r="BC244" s="18">
        <v>0</v>
      </c>
      <c r="BD244" s="18">
        <v>0</v>
      </c>
      <c r="BE244" s="18">
        <v>0</v>
      </c>
      <c r="BF244" s="18">
        <f t="shared" ref="BF244" si="650">SUM(BI244:BI244)</f>
        <v>0</v>
      </c>
      <c r="BG244" s="18">
        <v>0</v>
      </c>
      <c r="BH244" s="18">
        <v>0</v>
      </c>
      <c r="BI244" s="18">
        <v>0</v>
      </c>
      <c r="BJ244" s="18">
        <f>0+10000000</f>
        <v>10000000</v>
      </c>
      <c r="BK244" s="18"/>
      <c r="BL244" s="18">
        <f t="shared" ref="BL244" si="651">SUM(BM244)</f>
        <v>0</v>
      </c>
      <c r="BM244" s="18">
        <v>0</v>
      </c>
      <c r="BN244" s="18">
        <v>0</v>
      </c>
      <c r="BO244" s="18">
        <f t="shared" ref="BO244" si="652">SUM(BP244:BZ244)</f>
        <v>0</v>
      </c>
      <c r="BP244" s="18">
        <v>0</v>
      </c>
      <c r="BQ244" s="18">
        <v>0</v>
      </c>
      <c r="BR244" s="18">
        <v>0</v>
      </c>
      <c r="BS244" s="18">
        <v>0</v>
      </c>
      <c r="BT244" s="18">
        <v>0</v>
      </c>
      <c r="BU244" s="18">
        <v>0</v>
      </c>
      <c r="BV244" s="18">
        <v>0</v>
      </c>
      <c r="BW244" s="18">
        <v>0</v>
      </c>
      <c r="BX244" s="18">
        <v>0</v>
      </c>
      <c r="BY244" s="18">
        <v>0</v>
      </c>
      <c r="BZ244" s="18">
        <v>0</v>
      </c>
      <c r="CA244" s="18">
        <f t="shared" si="611"/>
        <v>0</v>
      </c>
      <c r="CB244" s="18">
        <f t="shared" si="612"/>
        <v>0</v>
      </c>
      <c r="CC244" s="18">
        <f t="shared" ref="CC244" si="653">SUM(CD244:CE244)</f>
        <v>0</v>
      </c>
      <c r="CD244" s="18">
        <v>0</v>
      </c>
      <c r="CE244" s="18">
        <v>0</v>
      </c>
      <c r="CF244" s="18">
        <f t="shared" si="614"/>
        <v>0</v>
      </c>
      <c r="CG244" s="18">
        <v>0</v>
      </c>
      <c r="CH244" s="18">
        <v>0</v>
      </c>
      <c r="CI244" s="18">
        <v>0</v>
      </c>
      <c r="CJ244" s="18">
        <v>0</v>
      </c>
      <c r="CK244" s="18">
        <f t="shared" si="615"/>
        <v>0</v>
      </c>
      <c r="CL244" s="18">
        <v>0</v>
      </c>
      <c r="CM244" s="18">
        <v>0</v>
      </c>
      <c r="CN244" s="18">
        <v>0</v>
      </c>
      <c r="CO244" s="65"/>
      <c r="CP244" s="65"/>
      <c r="CQ244" s="65"/>
      <c r="CR244" s="65"/>
      <c r="GP244" s="103"/>
    </row>
    <row r="245" spans="1:198" s="46" customFormat="1" ht="31.2" x14ac:dyDescent="0.3">
      <c r="A245" s="90"/>
      <c r="B245" s="39" t="s">
        <v>73</v>
      </c>
      <c r="C245" s="40" t="s">
        <v>605</v>
      </c>
      <c r="D245" s="18">
        <f>SUM(E245+CA245+CO245)</f>
        <v>113791741</v>
      </c>
      <c r="E245" s="18">
        <f t="shared" ref="E245" si="654">SUM(F245+BA245)</f>
        <v>0</v>
      </c>
      <c r="F245" s="18">
        <f t="shared" ref="F245" si="655">SUM(G245+H245+I245+P245+S245+T245+U245+AE245+AD245)</f>
        <v>0</v>
      </c>
      <c r="G245" s="18">
        <v>0</v>
      </c>
      <c r="H245" s="18">
        <v>0</v>
      </c>
      <c r="I245" s="18">
        <f t="shared" ref="I245" si="656">SUM(J245:O245)</f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f>32507-32507</f>
        <v>0</v>
      </c>
      <c r="P245" s="18">
        <f t="shared" ref="P245" si="657">SUM(Q245:R245)</f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f t="shared" ref="U245" si="658">SUM(V245:AC245)</f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  <c r="AB245" s="18">
        <v>0</v>
      </c>
      <c r="AC245" s="18">
        <v>0</v>
      </c>
      <c r="AD245" s="18">
        <v>0</v>
      </c>
      <c r="AE245" s="18">
        <f t="shared" ref="AE245" si="659">SUM(AF245:AZ245)</f>
        <v>0</v>
      </c>
      <c r="AF245" s="18">
        <v>0</v>
      </c>
      <c r="AG245" s="18">
        <v>0</v>
      </c>
      <c r="AH245" s="18">
        <v>0</v>
      </c>
      <c r="AI245" s="18">
        <v>0</v>
      </c>
      <c r="AJ245" s="22"/>
      <c r="AK245" s="22"/>
      <c r="AL245" s="18">
        <v>0</v>
      </c>
      <c r="AM245" s="18">
        <v>0</v>
      </c>
      <c r="AN245" s="18">
        <v>0</v>
      </c>
      <c r="AO245" s="18">
        <v>0</v>
      </c>
      <c r="AP245" s="18">
        <v>0</v>
      </c>
      <c r="AQ245" s="18">
        <v>0</v>
      </c>
      <c r="AR245" s="18">
        <v>0</v>
      </c>
      <c r="AS245" s="18">
        <v>0</v>
      </c>
      <c r="AT245" s="18">
        <v>0</v>
      </c>
      <c r="AU245" s="18">
        <v>0</v>
      </c>
      <c r="AV245" s="18">
        <v>0</v>
      </c>
      <c r="AW245" s="18">
        <v>0</v>
      </c>
      <c r="AX245" s="18">
        <v>0</v>
      </c>
      <c r="AY245" s="18">
        <v>0</v>
      </c>
      <c r="AZ245" s="22">
        <v>0</v>
      </c>
      <c r="BA245" s="35">
        <f>SUM(BB245+BF245+BJ245+BL245+BO245)</f>
        <v>0</v>
      </c>
      <c r="BB245" s="18">
        <f t="shared" ref="BB245" si="660">SUM(BC245:BE245)</f>
        <v>0</v>
      </c>
      <c r="BC245" s="18">
        <v>0</v>
      </c>
      <c r="BD245" s="18">
        <v>0</v>
      </c>
      <c r="BE245" s="18">
        <v>0</v>
      </c>
      <c r="BF245" s="18">
        <f t="shared" ref="BF245" si="661">SUM(BI245:BI245)</f>
        <v>0</v>
      </c>
      <c r="BG245" s="18">
        <v>0</v>
      </c>
      <c r="BH245" s="18">
        <v>0</v>
      </c>
      <c r="BI245" s="18">
        <v>0</v>
      </c>
      <c r="BJ245" s="18"/>
      <c r="BK245" s="18"/>
      <c r="BL245" s="18">
        <f t="shared" ref="BL245" si="662">SUM(BM245)</f>
        <v>0</v>
      </c>
      <c r="BM245" s="18">
        <v>0</v>
      </c>
      <c r="BN245" s="18">
        <v>0</v>
      </c>
      <c r="BO245" s="18">
        <f t="shared" ref="BO245" si="663">SUM(BP245:BZ245)</f>
        <v>0</v>
      </c>
      <c r="BP245" s="18">
        <v>0</v>
      </c>
      <c r="BQ245" s="18">
        <v>0</v>
      </c>
      <c r="BR245" s="18">
        <v>0</v>
      </c>
      <c r="BS245" s="18">
        <v>0</v>
      </c>
      <c r="BT245" s="18">
        <v>0</v>
      </c>
      <c r="BU245" s="18">
        <v>0</v>
      </c>
      <c r="BV245" s="18">
        <v>0</v>
      </c>
      <c r="BW245" s="18">
        <v>0</v>
      </c>
      <c r="BX245" s="18">
        <v>0</v>
      </c>
      <c r="BY245" s="18">
        <v>0</v>
      </c>
      <c r="BZ245" s="18">
        <v>0</v>
      </c>
      <c r="CA245" s="18">
        <f t="shared" si="611"/>
        <v>0</v>
      </c>
      <c r="CB245" s="18">
        <f t="shared" si="612"/>
        <v>0</v>
      </c>
      <c r="CC245" s="18">
        <f t="shared" ref="CC245" si="664">SUM(CD245:CE245)</f>
        <v>0</v>
      </c>
      <c r="CD245" s="18">
        <v>0</v>
      </c>
      <c r="CE245" s="18">
        <v>0</v>
      </c>
      <c r="CF245" s="18">
        <f t="shared" si="614"/>
        <v>0</v>
      </c>
      <c r="CG245" s="18">
        <v>0</v>
      </c>
      <c r="CH245" s="18">
        <v>0</v>
      </c>
      <c r="CI245" s="18">
        <v>0</v>
      </c>
      <c r="CJ245" s="18">
        <v>0</v>
      </c>
      <c r="CK245" s="18">
        <f t="shared" si="615"/>
        <v>0</v>
      </c>
      <c r="CL245" s="18">
        <v>0</v>
      </c>
      <c r="CM245" s="18">
        <v>0</v>
      </c>
      <c r="CN245" s="18">
        <v>0</v>
      </c>
      <c r="CO245" s="65">
        <f>SUM(CP245)</f>
        <v>113791741</v>
      </c>
      <c r="CP245" s="65">
        <f>SUM(CQ245:CR245)</f>
        <v>113791741</v>
      </c>
      <c r="CQ245" s="65"/>
      <c r="CR245" s="65">
        <f>0+113791741</f>
        <v>113791741</v>
      </c>
      <c r="GP245" s="49"/>
    </row>
    <row r="246" spans="1:198" s="46" customFormat="1" ht="46.8" x14ac:dyDescent="0.3">
      <c r="A246" s="93"/>
      <c r="B246" s="37" t="s">
        <v>74</v>
      </c>
      <c r="C246" s="38" t="s">
        <v>436</v>
      </c>
      <c r="D246" s="35">
        <f t="shared" si="601"/>
        <v>562128</v>
      </c>
      <c r="E246" s="35">
        <f t="shared" si="602"/>
        <v>562128</v>
      </c>
      <c r="F246" s="35">
        <f t="shared" si="603"/>
        <v>562128</v>
      </c>
      <c r="G246" s="35">
        <v>0</v>
      </c>
      <c r="H246" s="35">
        <v>0</v>
      </c>
      <c r="I246" s="35">
        <f t="shared" ref="I246" si="665">SUM(J246:O246)</f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0</v>
      </c>
      <c r="O246" s="35">
        <v>0</v>
      </c>
      <c r="P246" s="35">
        <f t="shared" ref="P246" si="666">SUM(Q246:R246)</f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f t="shared" si="605"/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f t="shared" si="606"/>
        <v>562128</v>
      </c>
      <c r="AF246" s="36"/>
      <c r="AG246" s="36"/>
      <c r="AH246" s="35">
        <v>0</v>
      </c>
      <c r="AI246" s="35">
        <v>0</v>
      </c>
      <c r="AJ246" s="35">
        <v>0</v>
      </c>
      <c r="AK246" s="35">
        <v>0</v>
      </c>
      <c r="AL246" s="35">
        <v>0</v>
      </c>
      <c r="AM246" s="35">
        <v>0</v>
      </c>
      <c r="AN246" s="35">
        <v>0</v>
      </c>
      <c r="AO246" s="35">
        <v>0</v>
      </c>
      <c r="AP246" s="35">
        <v>0</v>
      </c>
      <c r="AQ246" s="35">
        <v>0</v>
      </c>
      <c r="AR246" s="35">
        <v>0</v>
      </c>
      <c r="AS246" s="35">
        <v>0</v>
      </c>
      <c r="AT246" s="35">
        <v>0</v>
      </c>
      <c r="AU246" s="35">
        <v>0</v>
      </c>
      <c r="AV246" s="35">
        <v>0</v>
      </c>
      <c r="AW246" s="35">
        <v>0</v>
      </c>
      <c r="AX246" s="35">
        <v>0</v>
      </c>
      <c r="AY246" s="35">
        <v>0</v>
      </c>
      <c r="AZ246" s="31">
        <f>1875000-1312872</f>
        <v>562128</v>
      </c>
      <c r="BA246" s="35">
        <f>SUM(BB246+BF246+BJ246+BL246+BO246)</f>
        <v>0</v>
      </c>
      <c r="BB246" s="35">
        <f t="shared" si="607"/>
        <v>0</v>
      </c>
      <c r="BC246" s="35">
        <v>0</v>
      </c>
      <c r="BD246" s="35">
        <v>0</v>
      </c>
      <c r="BE246" s="35">
        <v>0</v>
      </c>
      <c r="BF246" s="35">
        <f t="shared" si="608"/>
        <v>0</v>
      </c>
      <c r="BG246" s="35">
        <v>0</v>
      </c>
      <c r="BH246" s="35">
        <v>0</v>
      </c>
      <c r="BI246" s="35">
        <v>0</v>
      </c>
      <c r="BJ246" s="35">
        <v>0</v>
      </c>
      <c r="BK246" s="35">
        <v>0</v>
      </c>
      <c r="BL246" s="35">
        <f t="shared" si="609"/>
        <v>0</v>
      </c>
      <c r="BM246" s="35">
        <v>0</v>
      </c>
      <c r="BN246" s="35">
        <v>0</v>
      </c>
      <c r="BO246" s="35">
        <f t="shared" si="610"/>
        <v>0</v>
      </c>
      <c r="BP246" s="35">
        <v>0</v>
      </c>
      <c r="BQ246" s="35">
        <v>0</v>
      </c>
      <c r="BR246" s="35">
        <v>0</v>
      </c>
      <c r="BS246" s="35">
        <v>0</v>
      </c>
      <c r="BT246" s="35">
        <v>0</v>
      </c>
      <c r="BU246" s="35">
        <v>0</v>
      </c>
      <c r="BV246" s="35">
        <v>0</v>
      </c>
      <c r="BW246" s="35">
        <v>0</v>
      </c>
      <c r="BX246" s="35">
        <v>0</v>
      </c>
      <c r="BY246" s="35">
        <v>0</v>
      </c>
      <c r="BZ246" s="35">
        <v>0</v>
      </c>
      <c r="CA246" s="35">
        <f t="shared" si="611"/>
        <v>0</v>
      </c>
      <c r="CB246" s="35">
        <f t="shared" si="612"/>
        <v>0</v>
      </c>
      <c r="CC246" s="35">
        <f t="shared" ref="CC246" si="667">SUM(CD246:CE246)</f>
        <v>0</v>
      </c>
      <c r="CD246" s="35">
        <v>0</v>
      </c>
      <c r="CE246" s="35">
        <v>0</v>
      </c>
      <c r="CF246" s="18">
        <f t="shared" si="614"/>
        <v>0</v>
      </c>
      <c r="CG246" s="35">
        <v>0</v>
      </c>
      <c r="CH246" s="35">
        <v>0</v>
      </c>
      <c r="CI246" s="35">
        <v>0</v>
      </c>
      <c r="CJ246" s="35">
        <v>0</v>
      </c>
      <c r="CK246" s="35">
        <f t="shared" si="615"/>
        <v>0</v>
      </c>
      <c r="CL246" s="35">
        <v>0</v>
      </c>
      <c r="CM246" s="35">
        <v>0</v>
      </c>
      <c r="CN246" s="35">
        <v>0</v>
      </c>
      <c r="CO246" s="65"/>
      <c r="CP246" s="65"/>
      <c r="CQ246" s="65"/>
      <c r="CR246" s="65"/>
      <c r="GP246" s="44"/>
    </row>
    <row r="247" spans="1:198" s="46" customFormat="1" ht="15.6" x14ac:dyDescent="0.3">
      <c r="A247" s="89"/>
      <c r="B247" s="15"/>
      <c r="C247" s="16" t="s">
        <v>483</v>
      </c>
      <c r="D247" s="17">
        <f t="shared" ref="D247:AI247" si="668">SUM(D248:D271)</f>
        <v>233904609</v>
      </c>
      <c r="E247" s="17">
        <f t="shared" si="668"/>
        <v>224328510</v>
      </c>
      <c r="F247" s="17">
        <f t="shared" si="668"/>
        <v>224086911</v>
      </c>
      <c r="G247" s="17">
        <f t="shared" si="668"/>
        <v>109199688</v>
      </c>
      <c r="H247" s="17">
        <f t="shared" si="668"/>
        <v>21628409</v>
      </c>
      <c r="I247" s="17">
        <f t="shared" si="668"/>
        <v>45954321</v>
      </c>
      <c r="J247" s="17">
        <f t="shared" si="668"/>
        <v>12853333</v>
      </c>
      <c r="K247" s="17">
        <f t="shared" si="668"/>
        <v>1448933</v>
      </c>
      <c r="L247" s="17">
        <f t="shared" si="668"/>
        <v>2464209</v>
      </c>
      <c r="M247" s="17">
        <f t="shared" si="668"/>
        <v>20000</v>
      </c>
      <c r="N247" s="17">
        <f t="shared" si="668"/>
        <v>7931437</v>
      </c>
      <c r="O247" s="17">
        <f t="shared" si="668"/>
        <v>21236409</v>
      </c>
      <c r="P247" s="17">
        <f t="shared" si="668"/>
        <v>628222</v>
      </c>
      <c r="Q247" s="17">
        <f t="shared" si="668"/>
        <v>79423</v>
      </c>
      <c r="R247" s="17">
        <f t="shared" si="668"/>
        <v>548799</v>
      </c>
      <c r="S247" s="17">
        <f t="shared" si="668"/>
        <v>71184</v>
      </c>
      <c r="T247" s="17">
        <f t="shared" si="668"/>
        <v>1448261</v>
      </c>
      <c r="U247" s="17">
        <f t="shared" si="668"/>
        <v>18225836</v>
      </c>
      <c r="V247" s="17">
        <f t="shared" si="668"/>
        <v>3468652</v>
      </c>
      <c r="W247" s="17">
        <f t="shared" si="668"/>
        <v>7455031</v>
      </c>
      <c r="X247" s="17">
        <f t="shared" si="668"/>
        <v>4185933</v>
      </c>
      <c r="Y247" s="17">
        <f t="shared" si="668"/>
        <v>1675362</v>
      </c>
      <c r="Z247" s="17">
        <f t="shared" si="668"/>
        <v>754676</v>
      </c>
      <c r="AA247" s="17">
        <f t="shared" si="668"/>
        <v>137722</v>
      </c>
      <c r="AB247" s="17">
        <f t="shared" si="668"/>
        <v>0</v>
      </c>
      <c r="AC247" s="17">
        <f t="shared" si="668"/>
        <v>548460</v>
      </c>
      <c r="AD247" s="17">
        <f t="shared" si="668"/>
        <v>0</v>
      </c>
      <c r="AE247" s="17">
        <f t="shared" si="668"/>
        <v>26930990</v>
      </c>
      <c r="AF247" s="17">
        <f t="shared" si="668"/>
        <v>0</v>
      </c>
      <c r="AG247" s="17">
        <f t="shared" si="668"/>
        <v>0</v>
      </c>
      <c r="AH247" s="17">
        <f t="shared" si="668"/>
        <v>2752126</v>
      </c>
      <c r="AI247" s="17">
        <f t="shared" si="668"/>
        <v>7380792</v>
      </c>
      <c r="AJ247" s="17">
        <f t="shared" ref="AJ247:BP247" si="669">SUM(AJ248:AJ271)</f>
        <v>257160</v>
      </c>
      <c r="AK247" s="17">
        <f t="shared" si="669"/>
        <v>390773</v>
      </c>
      <c r="AL247" s="17">
        <f t="shared" si="669"/>
        <v>5700</v>
      </c>
      <c r="AM247" s="17">
        <f t="shared" si="669"/>
        <v>282969</v>
      </c>
      <c r="AN247" s="17">
        <f t="shared" si="669"/>
        <v>2384751</v>
      </c>
      <c r="AO247" s="17">
        <f t="shared" si="669"/>
        <v>15000</v>
      </c>
      <c r="AP247" s="17">
        <f t="shared" si="669"/>
        <v>20600</v>
      </c>
      <c r="AQ247" s="17">
        <f t="shared" si="669"/>
        <v>392843</v>
      </c>
      <c r="AR247" s="17">
        <f t="shared" si="669"/>
        <v>215000</v>
      </c>
      <c r="AS247" s="17">
        <f t="shared" si="669"/>
        <v>616322</v>
      </c>
      <c r="AT247" s="17">
        <f t="shared" si="669"/>
        <v>0</v>
      </c>
      <c r="AU247" s="17">
        <f t="shared" si="669"/>
        <v>3618</v>
      </c>
      <c r="AV247" s="17">
        <f t="shared" si="669"/>
        <v>0</v>
      </c>
      <c r="AW247" s="17">
        <f t="shared" si="669"/>
        <v>1230675</v>
      </c>
      <c r="AX247" s="17">
        <f t="shared" si="669"/>
        <v>481927</v>
      </c>
      <c r="AY247" s="17">
        <f t="shared" si="669"/>
        <v>100000</v>
      </c>
      <c r="AZ247" s="17">
        <f t="shared" si="669"/>
        <v>10400734</v>
      </c>
      <c r="BA247" s="17">
        <f t="shared" si="669"/>
        <v>241599</v>
      </c>
      <c r="BB247" s="17">
        <f t="shared" si="669"/>
        <v>0</v>
      </c>
      <c r="BC247" s="17">
        <f t="shared" si="669"/>
        <v>0</v>
      </c>
      <c r="BD247" s="17">
        <f t="shared" si="669"/>
        <v>0</v>
      </c>
      <c r="BE247" s="17">
        <f t="shared" si="669"/>
        <v>0</v>
      </c>
      <c r="BF247" s="17">
        <f t="shared" si="669"/>
        <v>0</v>
      </c>
      <c r="BG247" s="17">
        <f t="shared" si="669"/>
        <v>0</v>
      </c>
      <c r="BH247" s="17">
        <f t="shared" ref="BH247" si="670">SUM(BH248:BH271)</f>
        <v>0</v>
      </c>
      <c r="BI247" s="17">
        <f t="shared" si="669"/>
        <v>0</v>
      </c>
      <c r="BJ247" s="17">
        <f t="shared" si="669"/>
        <v>0</v>
      </c>
      <c r="BK247" s="17">
        <f t="shared" si="669"/>
        <v>0</v>
      </c>
      <c r="BL247" s="17">
        <f t="shared" si="669"/>
        <v>0</v>
      </c>
      <c r="BM247" s="17">
        <f t="shared" si="669"/>
        <v>0</v>
      </c>
      <c r="BN247" s="17">
        <f t="shared" si="669"/>
        <v>0</v>
      </c>
      <c r="BO247" s="17">
        <f t="shared" si="669"/>
        <v>241599</v>
      </c>
      <c r="BP247" s="17">
        <f t="shared" si="669"/>
        <v>0</v>
      </c>
      <c r="BQ247" s="17">
        <f t="shared" ref="BQ247:CM247" si="671">SUM(BQ248:BQ271)</f>
        <v>0</v>
      </c>
      <c r="BR247" s="17">
        <f t="shared" si="671"/>
        <v>0</v>
      </c>
      <c r="BS247" s="17">
        <f t="shared" si="671"/>
        <v>0</v>
      </c>
      <c r="BT247" s="17">
        <f t="shared" si="671"/>
        <v>0</v>
      </c>
      <c r="BU247" s="17">
        <f t="shared" si="671"/>
        <v>0</v>
      </c>
      <c r="BV247" s="17">
        <f t="shared" si="671"/>
        <v>0</v>
      </c>
      <c r="BW247" s="17">
        <f t="shared" si="671"/>
        <v>0</v>
      </c>
      <c r="BX247" s="17">
        <f t="shared" si="671"/>
        <v>0</v>
      </c>
      <c r="BY247" s="17">
        <f t="shared" si="671"/>
        <v>38855</v>
      </c>
      <c r="BZ247" s="17">
        <f t="shared" si="671"/>
        <v>202744</v>
      </c>
      <c r="CA247" s="17">
        <f t="shared" si="671"/>
        <v>9576099</v>
      </c>
      <c r="CB247" s="17">
        <f t="shared" si="671"/>
        <v>9576099</v>
      </c>
      <c r="CC247" s="17">
        <f t="shared" si="671"/>
        <v>8059081</v>
      </c>
      <c r="CD247" s="17">
        <f t="shared" si="671"/>
        <v>310560</v>
      </c>
      <c r="CE247" s="17">
        <f t="shared" si="671"/>
        <v>7748521</v>
      </c>
      <c r="CF247" s="17">
        <f t="shared" si="671"/>
        <v>224076</v>
      </c>
      <c r="CG247" s="17">
        <f t="shared" si="671"/>
        <v>0</v>
      </c>
      <c r="CH247" s="17">
        <f t="shared" si="671"/>
        <v>0</v>
      </c>
      <c r="CI247" s="17">
        <f t="shared" si="671"/>
        <v>0</v>
      </c>
      <c r="CJ247" s="17">
        <f t="shared" si="671"/>
        <v>224076</v>
      </c>
      <c r="CK247" s="17">
        <f t="shared" si="671"/>
        <v>1292942</v>
      </c>
      <c r="CL247" s="17">
        <f t="shared" si="671"/>
        <v>300000</v>
      </c>
      <c r="CM247" s="17">
        <f t="shared" si="671"/>
        <v>992942</v>
      </c>
      <c r="CN247" s="17">
        <f>SUM(CN248:CN271)</f>
        <v>0</v>
      </c>
      <c r="CO247" s="64"/>
      <c r="CP247" s="64"/>
      <c r="CQ247" s="64"/>
      <c r="CR247" s="64"/>
    </row>
    <row r="248" spans="1:198" s="46" customFormat="1" ht="31.2" x14ac:dyDescent="0.3">
      <c r="A248" s="90" t="s">
        <v>1</v>
      </c>
      <c r="B248" s="19" t="s">
        <v>50</v>
      </c>
      <c r="C248" s="20" t="s">
        <v>484</v>
      </c>
      <c r="D248" s="18">
        <f t="shared" ref="D248:D271" si="672">SUM(E248+CA248)</f>
        <v>125750</v>
      </c>
      <c r="E248" s="18">
        <f t="shared" ref="E248:E271" si="673">SUM(F248+BA248)</f>
        <v>125750</v>
      </c>
      <c r="F248" s="18">
        <f t="shared" ref="F248:F271" si="674">SUM(G248+H248+I248+P248+S248+T248+U248+AE248+AD248)</f>
        <v>125750</v>
      </c>
      <c r="G248" s="21">
        <f>12000+15000</f>
        <v>27000</v>
      </c>
      <c r="H248" s="21">
        <f>3000+3750</f>
        <v>6750</v>
      </c>
      <c r="I248" s="18">
        <f t="shared" si="597"/>
        <v>2000</v>
      </c>
      <c r="J248" s="21">
        <v>0</v>
      </c>
      <c r="K248" s="21">
        <v>0</v>
      </c>
      <c r="L248" s="21">
        <v>0</v>
      </c>
      <c r="M248" s="21">
        <v>0</v>
      </c>
      <c r="N248" s="21">
        <v>0</v>
      </c>
      <c r="O248" s="21">
        <v>2000</v>
      </c>
      <c r="P248" s="18">
        <f t="shared" si="604"/>
        <v>0</v>
      </c>
      <c r="Q248" s="21">
        <v>0</v>
      </c>
      <c r="R248" s="21">
        <v>0</v>
      </c>
      <c r="S248" s="21">
        <v>0</v>
      </c>
      <c r="T248" s="21">
        <v>0</v>
      </c>
      <c r="U248" s="18">
        <f t="shared" ref="U248:U271" si="675">SUM(V248:AC248)</f>
        <v>0</v>
      </c>
      <c r="V248" s="21">
        <v>0</v>
      </c>
      <c r="W248" s="21">
        <v>0</v>
      </c>
      <c r="X248" s="21">
        <v>0</v>
      </c>
      <c r="Y248" s="21">
        <v>0</v>
      </c>
      <c r="Z248" s="21">
        <v>0</v>
      </c>
      <c r="AA248" s="21">
        <v>0</v>
      </c>
      <c r="AB248" s="21">
        <v>0</v>
      </c>
      <c r="AC248" s="21">
        <v>0</v>
      </c>
      <c r="AD248" s="21"/>
      <c r="AE248" s="18">
        <f t="shared" ref="AE248:AE271" si="676">SUM(AF248:AZ248)</f>
        <v>90000</v>
      </c>
      <c r="AF248" s="22">
        <v>0</v>
      </c>
      <c r="AG248" s="22">
        <v>0</v>
      </c>
      <c r="AH248" s="21">
        <v>0</v>
      </c>
      <c r="AI248" s="21">
        <v>0</v>
      </c>
      <c r="AJ248" s="21">
        <v>0</v>
      </c>
      <c r="AK248" s="21">
        <v>0</v>
      </c>
      <c r="AL248" s="21">
        <v>0</v>
      </c>
      <c r="AM248" s="21">
        <v>0</v>
      </c>
      <c r="AN248" s="21">
        <v>75000</v>
      </c>
      <c r="AO248" s="21">
        <v>0</v>
      </c>
      <c r="AP248" s="21">
        <v>0</v>
      </c>
      <c r="AQ248" s="21">
        <v>0</v>
      </c>
      <c r="AR248" s="21">
        <v>0</v>
      </c>
      <c r="AS248" s="21">
        <v>0</v>
      </c>
      <c r="AT248" s="21">
        <v>0</v>
      </c>
      <c r="AU248" s="21">
        <v>0</v>
      </c>
      <c r="AV248" s="21">
        <v>0</v>
      </c>
      <c r="AW248" s="21">
        <v>0</v>
      </c>
      <c r="AX248" s="21">
        <v>0</v>
      </c>
      <c r="AY248" s="21">
        <v>0</v>
      </c>
      <c r="AZ248" s="21">
        <v>15000</v>
      </c>
      <c r="BA248" s="18">
        <f t="shared" ref="BA248:BA271" si="677">SUM(BB248+BF248+BJ248+BL248+BO248)</f>
        <v>0</v>
      </c>
      <c r="BB248" s="18">
        <f t="shared" ref="BB248:BB271" si="678">SUM(BC248:BE248)</f>
        <v>0</v>
      </c>
      <c r="BC248" s="18">
        <v>0</v>
      </c>
      <c r="BD248" s="18">
        <v>0</v>
      </c>
      <c r="BE248" s="18">
        <v>0</v>
      </c>
      <c r="BF248" s="18">
        <f t="shared" ref="BF248:BF271" si="679">SUM(BI248:BI248)</f>
        <v>0</v>
      </c>
      <c r="BG248" s="18">
        <v>0</v>
      </c>
      <c r="BH248" s="18">
        <v>0</v>
      </c>
      <c r="BI248" s="18">
        <v>0</v>
      </c>
      <c r="BJ248" s="18">
        <v>0</v>
      </c>
      <c r="BK248" s="18">
        <v>0</v>
      </c>
      <c r="BL248" s="18">
        <f t="shared" si="609"/>
        <v>0</v>
      </c>
      <c r="BM248" s="18">
        <v>0</v>
      </c>
      <c r="BN248" s="18">
        <v>0</v>
      </c>
      <c r="BO248" s="18">
        <f t="shared" ref="BO248:BO271" si="680">SUM(BP248:BZ248)</f>
        <v>0</v>
      </c>
      <c r="BP248" s="18">
        <v>0</v>
      </c>
      <c r="BQ248" s="18">
        <v>0</v>
      </c>
      <c r="BR248" s="18">
        <v>0</v>
      </c>
      <c r="BS248" s="18">
        <v>0</v>
      </c>
      <c r="BT248" s="18">
        <v>0</v>
      </c>
      <c r="BU248" s="18">
        <v>0</v>
      </c>
      <c r="BV248" s="18">
        <v>0</v>
      </c>
      <c r="BW248" s="18">
        <v>0</v>
      </c>
      <c r="BX248" s="18">
        <v>0</v>
      </c>
      <c r="BY248" s="18">
        <v>0</v>
      </c>
      <c r="BZ248" s="18">
        <v>0</v>
      </c>
      <c r="CA248" s="18">
        <f t="shared" ref="CA248:CA271" si="681">SUM(CB248+CN248)</f>
        <v>0</v>
      </c>
      <c r="CB248" s="18">
        <f t="shared" ref="CB248:CB271" si="682">SUM(CC248+CF248+CK248)</f>
        <v>0</v>
      </c>
      <c r="CC248" s="18">
        <f t="shared" si="613"/>
        <v>0</v>
      </c>
      <c r="CD248" s="22"/>
      <c r="CE248" s="21">
        <v>0</v>
      </c>
      <c r="CF248" s="18">
        <f t="shared" ref="CF248:CF271" si="683">SUM(CG248:CJ248)</f>
        <v>0</v>
      </c>
      <c r="CG248" s="18">
        <v>0</v>
      </c>
      <c r="CH248" s="18">
        <v>0</v>
      </c>
      <c r="CI248" s="18">
        <v>0</v>
      </c>
      <c r="CJ248" s="18">
        <v>0</v>
      </c>
      <c r="CK248" s="18">
        <f t="shared" ref="CK248:CK271" si="684">SUM(CL248:CM248)</f>
        <v>0</v>
      </c>
      <c r="CL248" s="45">
        <v>0</v>
      </c>
      <c r="CM248" s="18">
        <v>0</v>
      </c>
      <c r="CN248" s="18">
        <v>0</v>
      </c>
      <c r="CO248" s="65"/>
      <c r="CP248" s="65"/>
      <c r="CQ248" s="65"/>
      <c r="CR248" s="65"/>
    </row>
    <row r="249" spans="1:198" s="46" customFormat="1" ht="31.2" x14ac:dyDescent="0.3">
      <c r="A249" s="90" t="s">
        <v>1</v>
      </c>
      <c r="B249" s="19" t="s">
        <v>52</v>
      </c>
      <c r="C249" s="20" t="s">
        <v>485</v>
      </c>
      <c r="D249" s="18">
        <f t="shared" si="672"/>
        <v>2458302</v>
      </c>
      <c r="E249" s="18">
        <f t="shared" si="673"/>
        <v>2458302</v>
      </c>
      <c r="F249" s="18">
        <f t="shared" si="674"/>
        <v>2458302</v>
      </c>
      <c r="G249" s="21">
        <f>752812+22784</f>
        <v>775596</v>
      </c>
      <c r="H249" s="21">
        <v>213204</v>
      </c>
      <c r="I249" s="18">
        <f t="shared" si="597"/>
        <v>843494</v>
      </c>
      <c r="J249" s="21">
        <v>20000</v>
      </c>
      <c r="K249" s="21">
        <v>0</v>
      </c>
      <c r="L249" s="21">
        <f>787047+34945-39029</f>
        <v>782963</v>
      </c>
      <c r="M249" s="21">
        <v>0</v>
      </c>
      <c r="N249" s="21">
        <v>28048</v>
      </c>
      <c r="O249" s="21">
        <f>16000-3517</f>
        <v>12483</v>
      </c>
      <c r="P249" s="18">
        <f t="shared" si="604"/>
        <v>0</v>
      </c>
      <c r="Q249" s="21">
        <v>0</v>
      </c>
      <c r="R249" s="21">
        <v>0</v>
      </c>
      <c r="S249" s="21">
        <v>0</v>
      </c>
      <c r="T249" s="21">
        <v>6556</v>
      </c>
      <c r="U249" s="18">
        <f t="shared" si="675"/>
        <v>176193</v>
      </c>
      <c r="V249" s="21">
        <f>11000+10000</f>
        <v>21000</v>
      </c>
      <c r="W249" s="21">
        <f>42599+10362+13937</f>
        <v>66898</v>
      </c>
      <c r="X249" s="21">
        <f>21024+8180+24376</f>
        <v>53580</v>
      </c>
      <c r="Y249" s="21">
        <f>23058+4233</f>
        <v>27291</v>
      </c>
      <c r="Z249" s="21">
        <v>7424</v>
      </c>
      <c r="AA249" s="21">
        <v>0</v>
      </c>
      <c r="AB249" s="21">
        <v>0</v>
      </c>
      <c r="AC249" s="21">
        <v>0</v>
      </c>
      <c r="AD249" s="21"/>
      <c r="AE249" s="18">
        <f t="shared" si="676"/>
        <v>443259</v>
      </c>
      <c r="AF249" s="22">
        <v>0</v>
      </c>
      <c r="AG249" s="22">
        <v>0</v>
      </c>
      <c r="AH249" s="21">
        <v>0</v>
      </c>
      <c r="AI249" s="21">
        <v>0</v>
      </c>
      <c r="AJ249" s="21">
        <v>0</v>
      </c>
      <c r="AK249" s="21">
        <v>0</v>
      </c>
      <c r="AL249" s="21">
        <v>0</v>
      </c>
      <c r="AM249" s="21">
        <v>0</v>
      </c>
      <c r="AN249" s="21">
        <v>0</v>
      </c>
      <c r="AO249" s="21">
        <v>0</v>
      </c>
      <c r="AP249" s="21">
        <v>0</v>
      </c>
      <c r="AQ249" s="21">
        <v>0</v>
      </c>
      <c r="AR249" s="21">
        <v>0</v>
      </c>
      <c r="AS249" s="21">
        <v>14024</v>
      </c>
      <c r="AT249" s="21">
        <v>0</v>
      </c>
      <c r="AU249" s="21">
        <v>0</v>
      </c>
      <c r="AV249" s="21">
        <v>0</v>
      </c>
      <c r="AW249" s="21">
        <v>0</v>
      </c>
      <c r="AX249" s="21">
        <v>0</v>
      </c>
      <c r="AY249" s="21">
        <v>0</v>
      </c>
      <c r="AZ249" s="21">
        <f>254180+75055+100000</f>
        <v>429235</v>
      </c>
      <c r="BA249" s="18">
        <f t="shared" si="677"/>
        <v>0</v>
      </c>
      <c r="BB249" s="18">
        <f t="shared" si="678"/>
        <v>0</v>
      </c>
      <c r="BC249" s="18">
        <v>0</v>
      </c>
      <c r="BD249" s="18">
        <v>0</v>
      </c>
      <c r="BE249" s="18">
        <v>0</v>
      </c>
      <c r="BF249" s="18">
        <f t="shared" si="679"/>
        <v>0</v>
      </c>
      <c r="BG249" s="18">
        <v>0</v>
      </c>
      <c r="BH249" s="18">
        <v>0</v>
      </c>
      <c r="BI249" s="18">
        <v>0</v>
      </c>
      <c r="BJ249" s="18">
        <v>0</v>
      </c>
      <c r="BK249" s="18">
        <v>0</v>
      </c>
      <c r="BL249" s="18">
        <f t="shared" si="609"/>
        <v>0</v>
      </c>
      <c r="BM249" s="18">
        <v>0</v>
      </c>
      <c r="BN249" s="18">
        <v>0</v>
      </c>
      <c r="BO249" s="18">
        <f t="shared" si="680"/>
        <v>0</v>
      </c>
      <c r="BP249" s="18">
        <v>0</v>
      </c>
      <c r="BQ249" s="18">
        <v>0</v>
      </c>
      <c r="BR249" s="18">
        <v>0</v>
      </c>
      <c r="BS249" s="18">
        <v>0</v>
      </c>
      <c r="BT249" s="18">
        <v>0</v>
      </c>
      <c r="BU249" s="18">
        <v>0</v>
      </c>
      <c r="BV249" s="18">
        <v>0</v>
      </c>
      <c r="BW249" s="18">
        <v>0</v>
      </c>
      <c r="BX249" s="18">
        <v>0</v>
      </c>
      <c r="BY249" s="18">
        <v>0</v>
      </c>
      <c r="BZ249" s="18">
        <v>0</v>
      </c>
      <c r="CA249" s="18">
        <f t="shared" si="681"/>
        <v>0</v>
      </c>
      <c r="CB249" s="18">
        <f t="shared" si="682"/>
        <v>0</v>
      </c>
      <c r="CC249" s="18">
        <f t="shared" si="613"/>
        <v>0</v>
      </c>
      <c r="CD249" s="22"/>
      <c r="CE249" s="21">
        <v>0</v>
      </c>
      <c r="CF249" s="18">
        <f t="shared" si="683"/>
        <v>0</v>
      </c>
      <c r="CG249" s="18">
        <v>0</v>
      </c>
      <c r="CH249" s="18">
        <v>0</v>
      </c>
      <c r="CI249" s="18">
        <v>0</v>
      </c>
      <c r="CJ249" s="18">
        <v>0</v>
      </c>
      <c r="CK249" s="18">
        <f t="shared" si="684"/>
        <v>0</v>
      </c>
      <c r="CL249" s="45">
        <v>0</v>
      </c>
      <c r="CM249" s="18">
        <v>0</v>
      </c>
      <c r="CN249" s="18">
        <v>0</v>
      </c>
      <c r="CO249" s="65"/>
      <c r="CP249" s="65"/>
      <c r="CQ249" s="65"/>
      <c r="CR249" s="65"/>
    </row>
    <row r="250" spans="1:198" s="46" customFormat="1" ht="31.2" x14ac:dyDescent="0.3">
      <c r="A250" s="90" t="s">
        <v>1</v>
      </c>
      <c r="B250" s="19" t="s">
        <v>54</v>
      </c>
      <c r="C250" s="20" t="s">
        <v>486</v>
      </c>
      <c r="D250" s="18">
        <f t="shared" si="672"/>
        <v>4381164</v>
      </c>
      <c r="E250" s="18">
        <f t="shared" si="673"/>
        <v>4381164</v>
      </c>
      <c r="F250" s="18">
        <f t="shared" si="674"/>
        <v>4381164</v>
      </c>
      <c r="G250" s="21">
        <f>2765630+250000</f>
        <v>3015630</v>
      </c>
      <c r="H250" s="21">
        <f>643988+50000</f>
        <v>693988</v>
      </c>
      <c r="I250" s="18">
        <f>SUM(J250:O250)</f>
        <v>142853</v>
      </c>
      <c r="J250" s="21">
        <v>1740</v>
      </c>
      <c r="K250" s="21">
        <f>116288-116228</f>
        <v>60</v>
      </c>
      <c r="L250" s="21">
        <f>0+116228</f>
        <v>116228</v>
      </c>
      <c r="M250" s="21">
        <v>0</v>
      </c>
      <c r="N250" s="21">
        <v>7825</v>
      </c>
      <c r="O250" s="21">
        <v>17000</v>
      </c>
      <c r="P250" s="18">
        <f>SUM(Q250:R250)</f>
        <v>2046</v>
      </c>
      <c r="Q250" s="21">
        <v>1476</v>
      </c>
      <c r="R250" s="21">
        <v>570</v>
      </c>
      <c r="S250" s="21">
        <v>0</v>
      </c>
      <c r="T250" s="21">
        <v>0</v>
      </c>
      <c r="U250" s="18">
        <f t="shared" si="675"/>
        <v>428206</v>
      </c>
      <c r="V250" s="21">
        <f>10400+15000</f>
        <v>25400</v>
      </c>
      <c r="W250" s="21">
        <f>142474+215318</f>
        <v>357792</v>
      </c>
      <c r="X250" s="21">
        <f>0+12000</f>
        <v>12000</v>
      </c>
      <c r="Y250" s="21">
        <v>16364</v>
      </c>
      <c r="Z250" s="21">
        <f>14150+2500</f>
        <v>16650</v>
      </c>
      <c r="AA250" s="21">
        <v>0</v>
      </c>
      <c r="AB250" s="21">
        <v>0</v>
      </c>
      <c r="AC250" s="21">
        <v>0</v>
      </c>
      <c r="AD250" s="21"/>
      <c r="AE250" s="18">
        <f t="shared" si="676"/>
        <v>98441</v>
      </c>
      <c r="AF250" s="22">
        <v>0</v>
      </c>
      <c r="AG250" s="22">
        <v>0</v>
      </c>
      <c r="AH250" s="21">
        <v>3200</v>
      </c>
      <c r="AI250" s="21">
        <v>4850</v>
      </c>
      <c r="AJ250" s="21">
        <v>3720</v>
      </c>
      <c r="AK250" s="21">
        <v>5940</v>
      </c>
      <c r="AL250" s="21">
        <v>0</v>
      </c>
      <c r="AM250" s="21">
        <v>2866</v>
      </c>
      <c r="AN250" s="21">
        <v>23965</v>
      </c>
      <c r="AO250" s="21">
        <v>0</v>
      </c>
      <c r="AP250" s="21">
        <v>0</v>
      </c>
      <c r="AQ250" s="21">
        <v>0</v>
      </c>
      <c r="AR250" s="21">
        <v>0</v>
      </c>
      <c r="AS250" s="21">
        <v>51600</v>
      </c>
      <c r="AT250" s="21">
        <v>0</v>
      </c>
      <c r="AU250" s="21">
        <v>0</v>
      </c>
      <c r="AV250" s="21">
        <v>0</v>
      </c>
      <c r="AW250" s="21">
        <v>0</v>
      </c>
      <c r="AX250" s="21">
        <v>0</v>
      </c>
      <c r="AY250" s="21">
        <v>0</v>
      </c>
      <c r="AZ250" s="21">
        <v>2300</v>
      </c>
      <c r="BA250" s="18">
        <f t="shared" si="677"/>
        <v>0</v>
      </c>
      <c r="BB250" s="18">
        <f t="shared" si="678"/>
        <v>0</v>
      </c>
      <c r="BC250" s="18">
        <v>0</v>
      </c>
      <c r="BD250" s="18">
        <v>0</v>
      </c>
      <c r="BE250" s="18">
        <v>0</v>
      </c>
      <c r="BF250" s="18">
        <f t="shared" si="679"/>
        <v>0</v>
      </c>
      <c r="BG250" s="18">
        <v>0</v>
      </c>
      <c r="BH250" s="18">
        <v>0</v>
      </c>
      <c r="BI250" s="18">
        <v>0</v>
      </c>
      <c r="BJ250" s="18">
        <v>0</v>
      </c>
      <c r="BK250" s="18">
        <v>0</v>
      </c>
      <c r="BL250" s="18">
        <f>SUM(BM250)</f>
        <v>0</v>
      </c>
      <c r="BM250" s="18">
        <v>0</v>
      </c>
      <c r="BN250" s="18">
        <v>0</v>
      </c>
      <c r="BO250" s="18">
        <f t="shared" si="680"/>
        <v>0</v>
      </c>
      <c r="BP250" s="18">
        <v>0</v>
      </c>
      <c r="BQ250" s="18">
        <v>0</v>
      </c>
      <c r="BR250" s="18">
        <v>0</v>
      </c>
      <c r="BS250" s="18">
        <v>0</v>
      </c>
      <c r="BT250" s="18">
        <v>0</v>
      </c>
      <c r="BU250" s="18">
        <v>0</v>
      </c>
      <c r="BV250" s="18">
        <v>0</v>
      </c>
      <c r="BW250" s="18">
        <v>0</v>
      </c>
      <c r="BX250" s="18">
        <v>0</v>
      </c>
      <c r="BY250" s="18">
        <v>0</v>
      </c>
      <c r="BZ250" s="18">
        <v>0</v>
      </c>
      <c r="CA250" s="18">
        <f t="shared" si="681"/>
        <v>0</v>
      </c>
      <c r="CB250" s="18">
        <f t="shared" si="682"/>
        <v>0</v>
      </c>
      <c r="CC250" s="18">
        <f>SUM(CD250:CE250)</f>
        <v>0</v>
      </c>
      <c r="CD250" s="22"/>
      <c r="CE250" s="21"/>
      <c r="CF250" s="18">
        <f t="shared" si="683"/>
        <v>0</v>
      </c>
      <c r="CG250" s="18">
        <v>0</v>
      </c>
      <c r="CH250" s="18">
        <v>0</v>
      </c>
      <c r="CI250" s="18">
        <v>0</v>
      </c>
      <c r="CJ250" s="18">
        <v>0</v>
      </c>
      <c r="CK250" s="18">
        <f t="shared" si="684"/>
        <v>0</v>
      </c>
      <c r="CL250" s="45">
        <v>0</v>
      </c>
      <c r="CM250" s="18">
        <v>0</v>
      </c>
      <c r="CN250" s="18">
        <v>0</v>
      </c>
      <c r="CO250" s="65"/>
      <c r="CP250" s="65"/>
      <c r="CQ250" s="65"/>
      <c r="CR250" s="65"/>
    </row>
    <row r="251" spans="1:198" s="68" customFormat="1" ht="31.2" x14ac:dyDescent="0.3">
      <c r="A251" s="92" t="s">
        <v>1</v>
      </c>
      <c r="B251" s="62" t="s">
        <v>54</v>
      </c>
      <c r="C251" s="63" t="s">
        <v>487</v>
      </c>
      <c r="D251" s="65">
        <f t="shared" si="672"/>
        <v>37873414</v>
      </c>
      <c r="E251" s="65">
        <f t="shared" si="673"/>
        <v>36448999</v>
      </c>
      <c r="F251" s="65">
        <f t="shared" si="674"/>
        <v>36448999</v>
      </c>
      <c r="G251" s="66">
        <f>14307855+208480</f>
        <v>14516335</v>
      </c>
      <c r="H251" s="66">
        <f>3576966+52120</f>
        <v>3629086</v>
      </c>
      <c r="I251" s="65">
        <f t="shared" si="597"/>
        <v>10554229</v>
      </c>
      <c r="J251" s="66">
        <f>6841666-1230094</f>
        <v>5611572</v>
      </c>
      <c r="K251" s="66">
        <f>44863</f>
        <v>44863</v>
      </c>
      <c r="L251" s="66">
        <f>43670</f>
        <v>43670</v>
      </c>
      <c r="M251" s="66">
        <v>20000</v>
      </c>
      <c r="N251" s="66">
        <f>640285-19109</f>
        <v>621176</v>
      </c>
      <c r="O251" s="66">
        <f>4212948</f>
        <v>4212948</v>
      </c>
      <c r="P251" s="65">
        <f t="shared" si="604"/>
        <v>8000</v>
      </c>
      <c r="Q251" s="66">
        <v>4000</v>
      </c>
      <c r="R251" s="66">
        <v>4000</v>
      </c>
      <c r="S251" s="66">
        <v>5362</v>
      </c>
      <c r="T251" s="66">
        <f>181282+3000</f>
        <v>184282</v>
      </c>
      <c r="U251" s="65">
        <f t="shared" si="675"/>
        <v>3492119</v>
      </c>
      <c r="V251" s="66">
        <f>984281+20000-90000</f>
        <v>914281</v>
      </c>
      <c r="W251" s="66">
        <f>422597+9995+640928</f>
        <v>1073520</v>
      </c>
      <c r="X251" s="66">
        <f>35086+10145+650289</f>
        <v>695520</v>
      </c>
      <c r="Y251" s="66">
        <f>349111+50+136832</f>
        <v>485993</v>
      </c>
      <c r="Z251" s="66">
        <v>195829</v>
      </c>
      <c r="AA251" s="66">
        <v>0</v>
      </c>
      <c r="AB251" s="66">
        <v>0</v>
      </c>
      <c r="AC251" s="66">
        <f>47626+2211+77139</f>
        <v>126976</v>
      </c>
      <c r="AD251" s="66"/>
      <c r="AE251" s="65">
        <f t="shared" si="676"/>
        <v>4059586</v>
      </c>
      <c r="AF251" s="67">
        <v>0</v>
      </c>
      <c r="AG251" s="67">
        <v>0</v>
      </c>
      <c r="AH251" s="66">
        <f>1039683-88969</f>
        <v>950714</v>
      </c>
      <c r="AI251" s="66">
        <f>861071</f>
        <v>861071</v>
      </c>
      <c r="AJ251" s="66">
        <v>0</v>
      </c>
      <c r="AK251" s="66">
        <f>70341</f>
        <v>70341</v>
      </c>
      <c r="AL251" s="66">
        <v>0</v>
      </c>
      <c r="AM251" s="66">
        <f>47332-2016</f>
        <v>45316</v>
      </c>
      <c r="AN251" s="66">
        <f>694463-35000</f>
        <v>659463</v>
      </c>
      <c r="AO251" s="66">
        <v>0</v>
      </c>
      <c r="AP251" s="66">
        <v>0</v>
      </c>
      <c r="AQ251" s="66">
        <v>0</v>
      </c>
      <c r="AR251" s="66">
        <v>16000</v>
      </c>
      <c r="AS251" s="66">
        <v>110000</v>
      </c>
      <c r="AT251" s="66">
        <v>0</v>
      </c>
      <c r="AU251" s="66">
        <v>3618</v>
      </c>
      <c r="AV251" s="66">
        <v>0</v>
      </c>
      <c r="AW251" s="66">
        <v>0</v>
      </c>
      <c r="AX251" s="66">
        <v>0</v>
      </c>
      <c r="AY251" s="66">
        <v>0</v>
      </c>
      <c r="AZ251" s="66">
        <v>1343063</v>
      </c>
      <c r="BA251" s="65">
        <f t="shared" si="677"/>
        <v>0</v>
      </c>
      <c r="BB251" s="65">
        <f t="shared" si="678"/>
        <v>0</v>
      </c>
      <c r="BC251" s="65">
        <v>0</v>
      </c>
      <c r="BD251" s="65">
        <v>0</v>
      </c>
      <c r="BE251" s="65">
        <v>0</v>
      </c>
      <c r="BF251" s="65">
        <f t="shared" si="679"/>
        <v>0</v>
      </c>
      <c r="BG251" s="65">
        <v>0</v>
      </c>
      <c r="BH251" s="65">
        <v>0</v>
      </c>
      <c r="BI251" s="65">
        <v>0</v>
      </c>
      <c r="BJ251" s="65">
        <v>0</v>
      </c>
      <c r="BK251" s="65">
        <v>0</v>
      </c>
      <c r="BL251" s="65">
        <f t="shared" si="609"/>
        <v>0</v>
      </c>
      <c r="BM251" s="65">
        <v>0</v>
      </c>
      <c r="BN251" s="65">
        <v>0</v>
      </c>
      <c r="BO251" s="65">
        <f t="shared" si="680"/>
        <v>0</v>
      </c>
      <c r="BP251" s="65">
        <v>0</v>
      </c>
      <c r="BQ251" s="65">
        <v>0</v>
      </c>
      <c r="BR251" s="65">
        <v>0</v>
      </c>
      <c r="BS251" s="65">
        <v>0</v>
      </c>
      <c r="BT251" s="65">
        <v>0</v>
      </c>
      <c r="BU251" s="65">
        <v>0</v>
      </c>
      <c r="BV251" s="65">
        <v>0</v>
      </c>
      <c r="BW251" s="65">
        <v>0</v>
      </c>
      <c r="BX251" s="65">
        <v>0</v>
      </c>
      <c r="BY251" s="65">
        <v>0</v>
      </c>
      <c r="BZ251" s="65">
        <v>0</v>
      </c>
      <c r="CA251" s="65">
        <f t="shared" si="681"/>
        <v>1424415</v>
      </c>
      <c r="CB251" s="65">
        <f t="shared" si="682"/>
        <v>1424415</v>
      </c>
      <c r="CC251" s="65">
        <f t="shared" si="613"/>
        <v>1424415</v>
      </c>
      <c r="CD251" s="67"/>
      <c r="CE251" s="66">
        <f>1464415-40000</f>
        <v>1424415</v>
      </c>
      <c r="CF251" s="65">
        <f t="shared" si="683"/>
        <v>0</v>
      </c>
      <c r="CG251" s="65">
        <v>0</v>
      </c>
      <c r="CH251" s="65">
        <v>0</v>
      </c>
      <c r="CI251" s="65">
        <v>0</v>
      </c>
      <c r="CJ251" s="65">
        <v>0</v>
      </c>
      <c r="CK251" s="65">
        <f t="shared" si="684"/>
        <v>0</v>
      </c>
      <c r="CL251" s="101"/>
      <c r="CM251" s="65">
        <v>0</v>
      </c>
      <c r="CN251" s="65">
        <v>0</v>
      </c>
      <c r="CO251" s="65"/>
      <c r="CP251" s="65"/>
      <c r="CQ251" s="65"/>
      <c r="CR251" s="65"/>
      <c r="GP251" s="46"/>
    </row>
    <row r="252" spans="1:198" s="46" customFormat="1" ht="31.2" x14ac:dyDescent="0.3">
      <c r="A252" s="90" t="s">
        <v>1</v>
      </c>
      <c r="B252" s="19" t="s">
        <v>54</v>
      </c>
      <c r="C252" s="20" t="s">
        <v>488</v>
      </c>
      <c r="D252" s="18">
        <f t="shared" si="672"/>
        <v>29347400</v>
      </c>
      <c r="E252" s="18">
        <f t="shared" si="673"/>
        <v>28055400</v>
      </c>
      <c r="F252" s="18">
        <f t="shared" si="674"/>
        <v>28055400</v>
      </c>
      <c r="G252" s="21">
        <f>11327912+250000-507180</f>
        <v>11070732</v>
      </c>
      <c r="H252" s="21">
        <f>2831978+62500-126795</f>
        <v>2767683</v>
      </c>
      <c r="I252" s="18">
        <f t="shared" si="597"/>
        <v>8147964</v>
      </c>
      <c r="J252" s="21">
        <f>5305888-99082</f>
        <v>5206806</v>
      </c>
      <c r="K252" s="21">
        <f>58000-4000</f>
        <v>54000</v>
      </c>
      <c r="L252" s="21">
        <f>17600+544-3944</f>
        <v>14200</v>
      </c>
      <c r="M252" s="21">
        <v>0</v>
      </c>
      <c r="N252" s="21">
        <f>500500-130000</f>
        <v>370500</v>
      </c>
      <c r="O252" s="21">
        <f>2228817+273641</f>
        <v>2502458</v>
      </c>
      <c r="P252" s="18">
        <f t="shared" si="604"/>
        <v>0</v>
      </c>
      <c r="Q252" s="21">
        <v>0</v>
      </c>
      <c r="R252" s="21">
        <v>0</v>
      </c>
      <c r="S252" s="21">
        <v>0</v>
      </c>
      <c r="T252" s="21">
        <f>97160-10000</f>
        <v>87160</v>
      </c>
      <c r="U252" s="18">
        <f t="shared" si="675"/>
        <v>2988628</v>
      </c>
      <c r="V252" s="21">
        <f>674182+50000</f>
        <v>724182</v>
      </c>
      <c r="W252" s="21">
        <f>387660+196486+545138</f>
        <v>1129284</v>
      </c>
      <c r="X252" s="21">
        <f>40883+133904+406680</f>
        <v>581467</v>
      </c>
      <c r="Y252" s="21">
        <f>150696+31807+23388</f>
        <v>205891</v>
      </c>
      <c r="Z252" s="21">
        <f>91919+55000</f>
        <v>146919</v>
      </c>
      <c r="AA252" s="21">
        <v>54040</v>
      </c>
      <c r="AB252" s="21">
        <v>0</v>
      </c>
      <c r="AC252" s="21">
        <f>8502+29+138314</f>
        <v>146845</v>
      </c>
      <c r="AD252" s="21"/>
      <c r="AE252" s="18">
        <f t="shared" si="676"/>
        <v>2993233</v>
      </c>
      <c r="AF252" s="22">
        <v>0</v>
      </c>
      <c r="AG252" s="22">
        <v>0</v>
      </c>
      <c r="AH252" s="21">
        <v>465572</v>
      </c>
      <c r="AI252" s="21">
        <f>1963613-358160</f>
        <v>1605453</v>
      </c>
      <c r="AJ252" s="21">
        <v>0</v>
      </c>
      <c r="AK252" s="21">
        <f>28000-3000</f>
        <v>25000</v>
      </c>
      <c r="AL252" s="21">
        <v>0</v>
      </c>
      <c r="AM252" s="21">
        <v>13000</v>
      </c>
      <c r="AN252" s="21">
        <f>330000-40000</f>
        <v>290000</v>
      </c>
      <c r="AO252" s="21">
        <v>0</v>
      </c>
      <c r="AP252" s="21">
        <v>600</v>
      </c>
      <c r="AQ252" s="21">
        <v>0</v>
      </c>
      <c r="AR252" s="21">
        <v>49000</v>
      </c>
      <c r="AS252" s="21">
        <v>40000</v>
      </c>
      <c r="AT252" s="21">
        <v>0</v>
      </c>
      <c r="AU252" s="21">
        <v>0</v>
      </c>
      <c r="AV252" s="21">
        <v>0</v>
      </c>
      <c r="AW252" s="21">
        <v>0</v>
      </c>
      <c r="AX252" s="21">
        <v>0</v>
      </c>
      <c r="AY252" s="21">
        <v>0</v>
      </c>
      <c r="AZ252" s="21">
        <v>504608</v>
      </c>
      <c r="BA252" s="18">
        <f t="shared" si="677"/>
        <v>0</v>
      </c>
      <c r="BB252" s="18">
        <f t="shared" si="678"/>
        <v>0</v>
      </c>
      <c r="BC252" s="18">
        <v>0</v>
      </c>
      <c r="BD252" s="18">
        <v>0</v>
      </c>
      <c r="BE252" s="18">
        <v>0</v>
      </c>
      <c r="BF252" s="18">
        <f t="shared" si="679"/>
        <v>0</v>
      </c>
      <c r="BG252" s="18">
        <v>0</v>
      </c>
      <c r="BH252" s="18">
        <v>0</v>
      </c>
      <c r="BI252" s="18">
        <v>0</v>
      </c>
      <c r="BJ252" s="18">
        <v>0</v>
      </c>
      <c r="BK252" s="18">
        <v>0</v>
      </c>
      <c r="BL252" s="18">
        <f t="shared" si="609"/>
        <v>0</v>
      </c>
      <c r="BM252" s="18">
        <v>0</v>
      </c>
      <c r="BN252" s="18">
        <v>0</v>
      </c>
      <c r="BO252" s="18">
        <f t="shared" si="680"/>
        <v>0</v>
      </c>
      <c r="BP252" s="18">
        <v>0</v>
      </c>
      <c r="BQ252" s="18">
        <v>0</v>
      </c>
      <c r="BR252" s="18">
        <v>0</v>
      </c>
      <c r="BS252" s="18">
        <v>0</v>
      </c>
      <c r="BT252" s="18">
        <v>0</v>
      </c>
      <c r="BU252" s="18">
        <v>0</v>
      </c>
      <c r="BV252" s="18">
        <v>0</v>
      </c>
      <c r="BW252" s="18">
        <v>0</v>
      </c>
      <c r="BX252" s="18">
        <v>0</v>
      </c>
      <c r="BY252" s="18">
        <v>0</v>
      </c>
      <c r="BZ252" s="18">
        <v>0</v>
      </c>
      <c r="CA252" s="18">
        <f t="shared" si="681"/>
        <v>1292000</v>
      </c>
      <c r="CB252" s="18">
        <f t="shared" si="682"/>
        <v>1292000</v>
      </c>
      <c r="CC252" s="18">
        <f t="shared" si="613"/>
        <v>1292000</v>
      </c>
      <c r="CD252" s="22"/>
      <c r="CE252" s="21">
        <f>1397000-105000</f>
        <v>1292000</v>
      </c>
      <c r="CF252" s="18">
        <f t="shared" si="683"/>
        <v>0</v>
      </c>
      <c r="CG252" s="18">
        <v>0</v>
      </c>
      <c r="CH252" s="18">
        <v>0</v>
      </c>
      <c r="CI252" s="18">
        <v>0</v>
      </c>
      <c r="CJ252" s="18">
        <v>0</v>
      </c>
      <c r="CK252" s="18">
        <f t="shared" si="684"/>
        <v>0</v>
      </c>
      <c r="CL252" s="45"/>
      <c r="CM252" s="18">
        <v>0</v>
      </c>
      <c r="CN252" s="18">
        <v>0</v>
      </c>
      <c r="CO252" s="65"/>
      <c r="CP252" s="65"/>
      <c r="CQ252" s="65"/>
      <c r="CR252" s="65"/>
    </row>
    <row r="253" spans="1:198" s="68" customFormat="1" ht="15.6" x14ac:dyDescent="0.3">
      <c r="A253" s="92" t="s">
        <v>1</v>
      </c>
      <c r="B253" s="62" t="s">
        <v>54</v>
      </c>
      <c r="C253" s="63" t="s">
        <v>489</v>
      </c>
      <c r="D253" s="65">
        <f t="shared" si="672"/>
        <v>8856534</v>
      </c>
      <c r="E253" s="65">
        <f t="shared" si="673"/>
        <v>8506393</v>
      </c>
      <c r="F253" s="65">
        <f t="shared" si="674"/>
        <v>8506393</v>
      </c>
      <c r="G253" s="66">
        <f>3818076+50520-318733</f>
        <v>3549863</v>
      </c>
      <c r="H253" s="66">
        <f>954521+12630-87889</f>
        <v>879262</v>
      </c>
      <c r="I253" s="65">
        <f t="shared" si="597"/>
        <v>2008700</v>
      </c>
      <c r="J253" s="66">
        <f>947073-494292</f>
        <v>452781</v>
      </c>
      <c r="K253" s="66">
        <f>26400-8100</f>
        <v>18300</v>
      </c>
      <c r="L253" s="66">
        <v>46000</v>
      </c>
      <c r="M253" s="66">
        <v>0</v>
      </c>
      <c r="N253" s="66">
        <f>336808-62000</f>
        <v>274808</v>
      </c>
      <c r="O253" s="66">
        <f>823302+393509</f>
        <v>1216811</v>
      </c>
      <c r="P253" s="65">
        <f t="shared" si="604"/>
        <v>15192</v>
      </c>
      <c r="Q253" s="66">
        <f>33800-18608</f>
        <v>15192</v>
      </c>
      <c r="R253" s="66">
        <f>2000-2000</f>
        <v>0</v>
      </c>
      <c r="S253" s="66">
        <v>0</v>
      </c>
      <c r="T253" s="66">
        <f>44200-6000</f>
        <v>38200</v>
      </c>
      <c r="U253" s="65">
        <f t="shared" si="675"/>
        <v>954421</v>
      </c>
      <c r="V253" s="66">
        <v>51900</v>
      </c>
      <c r="W253" s="66">
        <f>108107+30000+314284</f>
        <v>452391</v>
      </c>
      <c r="X253" s="66">
        <f>0+1598+322496</f>
        <v>324094</v>
      </c>
      <c r="Y253" s="66">
        <f>54211+36984</f>
        <v>91195</v>
      </c>
      <c r="Z253" s="66">
        <v>20364</v>
      </c>
      <c r="AA253" s="66">
        <v>0</v>
      </c>
      <c r="AB253" s="66">
        <v>0</v>
      </c>
      <c r="AC253" s="66">
        <f>4101+10376</f>
        <v>14477</v>
      </c>
      <c r="AD253" s="66"/>
      <c r="AE253" s="65">
        <f t="shared" si="676"/>
        <v>1060755</v>
      </c>
      <c r="AF253" s="67">
        <v>0</v>
      </c>
      <c r="AG253" s="67">
        <v>0</v>
      </c>
      <c r="AH253" s="66">
        <f>175649+3840</f>
        <v>179489</v>
      </c>
      <c r="AI253" s="66">
        <f>465074-25370</f>
        <v>439704</v>
      </c>
      <c r="AJ253" s="66">
        <v>0</v>
      </c>
      <c r="AK253" s="66">
        <f>27473-5490</f>
        <v>21983</v>
      </c>
      <c r="AL253" s="66">
        <v>0</v>
      </c>
      <c r="AM253" s="66">
        <v>2400</v>
      </c>
      <c r="AN253" s="66">
        <f>18400-7000</f>
        <v>11400</v>
      </c>
      <c r="AO253" s="66">
        <v>0</v>
      </c>
      <c r="AP253" s="66">
        <v>0</v>
      </c>
      <c r="AQ253" s="66">
        <v>0</v>
      </c>
      <c r="AR253" s="66">
        <v>0</v>
      </c>
      <c r="AS253" s="66">
        <f>227623+11853</f>
        <v>239476</v>
      </c>
      <c r="AT253" s="66">
        <v>0</v>
      </c>
      <c r="AU253" s="66">
        <v>0</v>
      </c>
      <c r="AV253" s="66">
        <v>0</v>
      </c>
      <c r="AW253" s="66">
        <v>0</v>
      </c>
      <c r="AX253" s="66">
        <v>0</v>
      </c>
      <c r="AY253" s="66">
        <v>0</v>
      </c>
      <c r="AZ253" s="66">
        <f>183882-17579</f>
        <v>166303</v>
      </c>
      <c r="BA253" s="65">
        <f t="shared" si="677"/>
        <v>0</v>
      </c>
      <c r="BB253" s="65">
        <f t="shared" si="678"/>
        <v>0</v>
      </c>
      <c r="BC253" s="65">
        <v>0</v>
      </c>
      <c r="BD253" s="65">
        <v>0</v>
      </c>
      <c r="BE253" s="65">
        <v>0</v>
      </c>
      <c r="BF253" s="65">
        <f t="shared" si="679"/>
        <v>0</v>
      </c>
      <c r="BG253" s="65">
        <v>0</v>
      </c>
      <c r="BH253" s="65">
        <v>0</v>
      </c>
      <c r="BI253" s="65">
        <v>0</v>
      </c>
      <c r="BJ253" s="65">
        <v>0</v>
      </c>
      <c r="BK253" s="65">
        <v>0</v>
      </c>
      <c r="BL253" s="65">
        <f t="shared" si="609"/>
        <v>0</v>
      </c>
      <c r="BM253" s="65">
        <v>0</v>
      </c>
      <c r="BN253" s="65">
        <v>0</v>
      </c>
      <c r="BO253" s="65">
        <f t="shared" si="680"/>
        <v>0</v>
      </c>
      <c r="BP253" s="65">
        <v>0</v>
      </c>
      <c r="BQ253" s="65">
        <v>0</v>
      </c>
      <c r="BR253" s="65">
        <v>0</v>
      </c>
      <c r="BS253" s="65">
        <v>0</v>
      </c>
      <c r="BT253" s="65">
        <v>0</v>
      </c>
      <c r="BU253" s="65">
        <v>0</v>
      </c>
      <c r="BV253" s="65">
        <v>0</v>
      </c>
      <c r="BW253" s="65">
        <v>0</v>
      </c>
      <c r="BX253" s="65">
        <v>0</v>
      </c>
      <c r="BY253" s="65">
        <v>0</v>
      </c>
      <c r="BZ253" s="65">
        <v>0</v>
      </c>
      <c r="CA253" s="65">
        <f t="shared" si="681"/>
        <v>350141</v>
      </c>
      <c r="CB253" s="65">
        <f t="shared" si="682"/>
        <v>350141</v>
      </c>
      <c r="CC253" s="65">
        <f t="shared" si="613"/>
        <v>350141</v>
      </c>
      <c r="CD253" s="67"/>
      <c r="CE253" s="66">
        <f>390422-40281</f>
        <v>350141</v>
      </c>
      <c r="CF253" s="65">
        <f t="shared" si="683"/>
        <v>0</v>
      </c>
      <c r="CG253" s="65">
        <v>0</v>
      </c>
      <c r="CH253" s="65">
        <v>0</v>
      </c>
      <c r="CI253" s="65">
        <v>0</v>
      </c>
      <c r="CJ253" s="65">
        <v>0</v>
      </c>
      <c r="CK253" s="65">
        <f t="shared" si="684"/>
        <v>0</v>
      </c>
      <c r="CL253" s="101">
        <v>0</v>
      </c>
      <c r="CM253" s="65">
        <v>0</v>
      </c>
      <c r="CN253" s="65">
        <v>0</v>
      </c>
      <c r="CO253" s="65"/>
      <c r="CP253" s="65"/>
      <c r="CQ253" s="65"/>
      <c r="CR253" s="65"/>
      <c r="GP253" s="46"/>
    </row>
    <row r="254" spans="1:198" s="68" customFormat="1" ht="31.2" x14ac:dyDescent="0.3">
      <c r="A254" s="92" t="s">
        <v>1</v>
      </c>
      <c r="B254" s="62" t="s">
        <v>56</v>
      </c>
      <c r="C254" s="63" t="s">
        <v>490</v>
      </c>
      <c r="D254" s="65">
        <f t="shared" si="672"/>
        <v>8807960</v>
      </c>
      <c r="E254" s="65">
        <f t="shared" si="673"/>
        <v>8807960</v>
      </c>
      <c r="F254" s="65">
        <f t="shared" si="674"/>
        <v>8605216</v>
      </c>
      <c r="G254" s="66">
        <f>2799022+200905</f>
        <v>2999927</v>
      </c>
      <c r="H254" s="66">
        <f>698604+50276</f>
        <v>748880</v>
      </c>
      <c r="I254" s="65">
        <f t="shared" si="597"/>
        <v>1706806</v>
      </c>
      <c r="J254" s="66">
        <v>0</v>
      </c>
      <c r="K254" s="66">
        <v>0</v>
      </c>
      <c r="L254" s="66">
        <f>794318+146830</f>
        <v>941148</v>
      </c>
      <c r="M254" s="66">
        <v>0</v>
      </c>
      <c r="N254" s="66">
        <v>482947</v>
      </c>
      <c r="O254" s="66">
        <v>282711</v>
      </c>
      <c r="P254" s="65">
        <f t="shared" si="604"/>
        <v>19187</v>
      </c>
      <c r="Q254" s="66">
        <v>19187</v>
      </c>
      <c r="R254" s="66">
        <v>0</v>
      </c>
      <c r="S254" s="66">
        <v>0</v>
      </c>
      <c r="T254" s="66">
        <f>44108+23070</f>
        <v>67178</v>
      </c>
      <c r="U254" s="65">
        <f t="shared" si="675"/>
        <v>2417982</v>
      </c>
      <c r="V254" s="66">
        <f>115241+28100</f>
        <v>143341</v>
      </c>
      <c r="W254" s="66">
        <f>785690+154143+405374</f>
        <v>1345207</v>
      </c>
      <c r="X254" s="66">
        <f>291189+78934+183256</f>
        <v>553379</v>
      </c>
      <c r="Y254" s="66">
        <f>142178+42200+94973</f>
        <v>279351</v>
      </c>
      <c r="Z254" s="66">
        <f>40704+56000</f>
        <v>96704</v>
      </c>
      <c r="AA254" s="66">
        <v>0</v>
      </c>
      <c r="AB254" s="66">
        <v>0</v>
      </c>
      <c r="AC254" s="66">
        <v>0</v>
      </c>
      <c r="AD254" s="66"/>
      <c r="AE254" s="65">
        <f t="shared" si="676"/>
        <v>645256</v>
      </c>
      <c r="AF254" s="67">
        <v>0</v>
      </c>
      <c r="AG254" s="67">
        <v>0</v>
      </c>
      <c r="AH254" s="101">
        <v>57629</v>
      </c>
      <c r="AI254" s="101">
        <v>101738</v>
      </c>
      <c r="AJ254" s="101">
        <v>0</v>
      </c>
      <c r="AK254" s="101">
        <v>25890</v>
      </c>
      <c r="AL254" s="101">
        <v>0</v>
      </c>
      <c r="AM254" s="101">
        <v>0</v>
      </c>
      <c r="AN254" s="101">
        <v>40742</v>
      </c>
      <c r="AO254" s="101">
        <v>0</v>
      </c>
      <c r="AP254" s="101">
        <v>0</v>
      </c>
      <c r="AQ254" s="101">
        <v>0</v>
      </c>
      <c r="AR254" s="101">
        <v>0</v>
      </c>
      <c r="AS254" s="101">
        <v>0</v>
      </c>
      <c r="AT254" s="101">
        <v>0</v>
      </c>
      <c r="AU254" s="101">
        <v>0</v>
      </c>
      <c r="AV254" s="101">
        <v>0</v>
      </c>
      <c r="AW254" s="101">
        <v>0</v>
      </c>
      <c r="AX254" s="101">
        <v>0</v>
      </c>
      <c r="AY254" s="101">
        <v>0</v>
      </c>
      <c r="AZ254" s="101">
        <f>248366+170891</f>
        <v>419257</v>
      </c>
      <c r="BA254" s="65">
        <f t="shared" si="677"/>
        <v>202744</v>
      </c>
      <c r="BB254" s="65">
        <f t="shared" si="678"/>
        <v>0</v>
      </c>
      <c r="BC254" s="65">
        <v>0</v>
      </c>
      <c r="BD254" s="65">
        <v>0</v>
      </c>
      <c r="BE254" s="65">
        <v>0</v>
      </c>
      <c r="BF254" s="65">
        <f t="shared" si="679"/>
        <v>0</v>
      </c>
      <c r="BG254" s="65">
        <v>0</v>
      </c>
      <c r="BH254" s="65">
        <v>0</v>
      </c>
      <c r="BI254" s="65">
        <v>0</v>
      </c>
      <c r="BJ254" s="65">
        <v>0</v>
      </c>
      <c r="BK254" s="65">
        <v>0</v>
      </c>
      <c r="BL254" s="65">
        <f t="shared" si="609"/>
        <v>0</v>
      </c>
      <c r="BM254" s="65">
        <v>0</v>
      </c>
      <c r="BN254" s="65">
        <v>0</v>
      </c>
      <c r="BO254" s="65">
        <f t="shared" si="680"/>
        <v>202744</v>
      </c>
      <c r="BP254" s="65">
        <v>0</v>
      </c>
      <c r="BQ254" s="65">
        <v>0</v>
      </c>
      <c r="BR254" s="65">
        <v>0</v>
      </c>
      <c r="BS254" s="65">
        <v>0</v>
      </c>
      <c r="BT254" s="65">
        <v>0</v>
      </c>
      <c r="BU254" s="65">
        <v>0</v>
      </c>
      <c r="BV254" s="65">
        <v>0</v>
      </c>
      <c r="BW254" s="65">
        <v>0</v>
      </c>
      <c r="BX254" s="65">
        <v>0</v>
      </c>
      <c r="BY254" s="65">
        <v>0</v>
      </c>
      <c r="BZ254" s="65">
        <v>202744</v>
      </c>
      <c r="CA254" s="65">
        <f t="shared" si="681"/>
        <v>0</v>
      </c>
      <c r="CB254" s="65">
        <f t="shared" si="682"/>
        <v>0</v>
      </c>
      <c r="CC254" s="65">
        <f t="shared" si="613"/>
        <v>0</v>
      </c>
      <c r="CD254" s="66">
        <v>0</v>
      </c>
      <c r="CE254" s="66">
        <v>0</v>
      </c>
      <c r="CF254" s="65">
        <f t="shared" si="683"/>
        <v>0</v>
      </c>
      <c r="CG254" s="66">
        <v>0</v>
      </c>
      <c r="CH254" s="66">
        <v>0</v>
      </c>
      <c r="CI254" s="66">
        <v>0</v>
      </c>
      <c r="CJ254" s="66">
        <v>0</v>
      </c>
      <c r="CK254" s="65">
        <f t="shared" si="684"/>
        <v>0</v>
      </c>
      <c r="CL254" s="66"/>
      <c r="CM254" s="66"/>
      <c r="CN254" s="65">
        <v>0</v>
      </c>
      <c r="CO254" s="65"/>
      <c r="CP254" s="65"/>
      <c r="CQ254" s="65"/>
      <c r="CR254" s="65"/>
      <c r="GP254" s="46"/>
    </row>
    <row r="255" spans="1:198" s="46" customFormat="1" ht="31.2" x14ac:dyDescent="0.3">
      <c r="A255" s="90" t="s">
        <v>1</v>
      </c>
      <c r="B255" s="19" t="s">
        <v>58</v>
      </c>
      <c r="C255" s="20" t="s">
        <v>595</v>
      </c>
      <c r="D255" s="18">
        <f t="shared" si="672"/>
        <v>547674</v>
      </c>
      <c r="E255" s="18">
        <f t="shared" si="673"/>
        <v>547674</v>
      </c>
      <c r="F255" s="18">
        <f t="shared" si="674"/>
        <v>547674</v>
      </c>
      <c r="G255" s="21">
        <v>0</v>
      </c>
      <c r="H255" s="21">
        <v>0</v>
      </c>
      <c r="I255" s="18">
        <f t="shared" si="597"/>
        <v>3478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3478</v>
      </c>
      <c r="P255" s="18">
        <f t="shared" si="604"/>
        <v>0</v>
      </c>
      <c r="Q255" s="21">
        <v>0</v>
      </c>
      <c r="R255" s="21">
        <v>0</v>
      </c>
      <c r="S255" s="21">
        <v>0</v>
      </c>
      <c r="T255" s="21">
        <v>0</v>
      </c>
      <c r="U255" s="18">
        <f t="shared" si="675"/>
        <v>0</v>
      </c>
      <c r="V255" s="21">
        <v>0</v>
      </c>
      <c r="W255" s="21">
        <v>0</v>
      </c>
      <c r="X255" s="21">
        <v>0</v>
      </c>
      <c r="Y255" s="21">
        <v>0</v>
      </c>
      <c r="Z255" s="21">
        <v>0</v>
      </c>
      <c r="AA255" s="21">
        <v>0</v>
      </c>
      <c r="AB255" s="21">
        <v>0</v>
      </c>
      <c r="AC255" s="21">
        <v>0</v>
      </c>
      <c r="AD255" s="21"/>
      <c r="AE255" s="18">
        <f t="shared" si="676"/>
        <v>544196</v>
      </c>
      <c r="AF255" s="22">
        <v>0</v>
      </c>
      <c r="AG255" s="22">
        <v>0</v>
      </c>
      <c r="AH255" s="45">
        <v>0</v>
      </c>
      <c r="AI255" s="45">
        <v>0</v>
      </c>
      <c r="AJ255" s="45">
        <v>0</v>
      </c>
      <c r="AK255" s="45">
        <v>0</v>
      </c>
      <c r="AL255" s="45">
        <v>0</v>
      </c>
      <c r="AM255" s="45">
        <v>1500</v>
      </c>
      <c r="AN255" s="45">
        <v>542566</v>
      </c>
      <c r="AO255" s="45">
        <v>0</v>
      </c>
      <c r="AP255" s="45">
        <v>0</v>
      </c>
      <c r="AQ255" s="45">
        <v>0</v>
      </c>
      <c r="AR255" s="45">
        <v>0</v>
      </c>
      <c r="AS255" s="45">
        <v>130</v>
      </c>
      <c r="AT255" s="45">
        <v>0</v>
      </c>
      <c r="AU255" s="45">
        <v>0</v>
      </c>
      <c r="AV255" s="45">
        <v>0</v>
      </c>
      <c r="AW255" s="45">
        <v>0</v>
      </c>
      <c r="AX255" s="45">
        <v>0</v>
      </c>
      <c r="AY255" s="45">
        <v>0</v>
      </c>
      <c r="AZ255" s="45">
        <v>0</v>
      </c>
      <c r="BA255" s="18">
        <f t="shared" si="677"/>
        <v>0</v>
      </c>
      <c r="BB255" s="18">
        <f t="shared" si="678"/>
        <v>0</v>
      </c>
      <c r="BC255" s="18">
        <v>0</v>
      </c>
      <c r="BD255" s="18">
        <v>0</v>
      </c>
      <c r="BE255" s="18">
        <v>0</v>
      </c>
      <c r="BF255" s="18">
        <f t="shared" si="679"/>
        <v>0</v>
      </c>
      <c r="BG255" s="18">
        <v>0</v>
      </c>
      <c r="BH255" s="18">
        <v>0</v>
      </c>
      <c r="BI255" s="18">
        <v>0</v>
      </c>
      <c r="BJ255" s="18">
        <v>0</v>
      </c>
      <c r="BK255" s="18">
        <v>0</v>
      </c>
      <c r="BL255" s="18">
        <f t="shared" si="609"/>
        <v>0</v>
      </c>
      <c r="BM255" s="18">
        <v>0</v>
      </c>
      <c r="BN255" s="18">
        <v>0</v>
      </c>
      <c r="BO255" s="18">
        <f t="shared" si="680"/>
        <v>0</v>
      </c>
      <c r="BP255" s="18">
        <v>0</v>
      </c>
      <c r="BQ255" s="18">
        <v>0</v>
      </c>
      <c r="BR255" s="18">
        <v>0</v>
      </c>
      <c r="BS255" s="18">
        <v>0</v>
      </c>
      <c r="BT255" s="18">
        <v>0</v>
      </c>
      <c r="BU255" s="18">
        <v>0</v>
      </c>
      <c r="BV255" s="18">
        <v>0</v>
      </c>
      <c r="BW255" s="18">
        <v>0</v>
      </c>
      <c r="BX255" s="18">
        <v>0</v>
      </c>
      <c r="BY255" s="18">
        <v>0</v>
      </c>
      <c r="BZ255" s="18">
        <v>0</v>
      </c>
      <c r="CA255" s="18">
        <f t="shared" si="681"/>
        <v>0</v>
      </c>
      <c r="CB255" s="18">
        <f t="shared" si="682"/>
        <v>0</v>
      </c>
      <c r="CC255" s="18">
        <f t="shared" si="613"/>
        <v>0</v>
      </c>
      <c r="CD255" s="21">
        <v>0</v>
      </c>
      <c r="CE255" s="21">
        <v>0</v>
      </c>
      <c r="CF255" s="18">
        <f t="shared" si="683"/>
        <v>0</v>
      </c>
      <c r="CG255" s="21">
        <v>0</v>
      </c>
      <c r="CH255" s="21">
        <v>0</v>
      </c>
      <c r="CI255" s="21">
        <v>0</v>
      </c>
      <c r="CJ255" s="21">
        <v>0</v>
      </c>
      <c r="CK255" s="18">
        <f t="shared" si="684"/>
        <v>0</v>
      </c>
      <c r="CL255" s="21"/>
      <c r="CM255" s="21"/>
      <c r="CN255" s="18">
        <v>0</v>
      </c>
      <c r="CO255" s="65"/>
      <c r="CP255" s="65"/>
      <c r="CQ255" s="65"/>
      <c r="CR255" s="65"/>
      <c r="GP255" s="68"/>
    </row>
    <row r="256" spans="1:198" s="68" customFormat="1" ht="15.6" x14ac:dyDescent="0.3">
      <c r="A256" s="92" t="s">
        <v>1</v>
      </c>
      <c r="B256" s="62" t="s">
        <v>122</v>
      </c>
      <c r="C256" s="63" t="s">
        <v>491</v>
      </c>
      <c r="D256" s="65">
        <f t="shared" si="672"/>
        <v>53486261</v>
      </c>
      <c r="E256" s="65">
        <f t="shared" si="673"/>
        <v>50894938</v>
      </c>
      <c r="F256" s="65">
        <f t="shared" si="674"/>
        <v>50869330</v>
      </c>
      <c r="G256" s="66">
        <v>34515800</v>
      </c>
      <c r="H256" s="66">
        <f>2871528+155769</f>
        <v>3027297</v>
      </c>
      <c r="I256" s="65">
        <f t="shared" si="597"/>
        <v>8328668</v>
      </c>
      <c r="J256" s="66">
        <v>29809</v>
      </c>
      <c r="K256" s="66">
        <v>1020096</v>
      </c>
      <c r="L256" s="66">
        <v>0</v>
      </c>
      <c r="M256" s="66">
        <v>0</v>
      </c>
      <c r="N256" s="66">
        <v>3260344</v>
      </c>
      <c r="O256" s="66">
        <f>4019694-1275</f>
        <v>4018419</v>
      </c>
      <c r="P256" s="65">
        <f t="shared" si="604"/>
        <v>83148</v>
      </c>
      <c r="Q256" s="66">
        <v>16148</v>
      </c>
      <c r="R256" s="66">
        <v>67000</v>
      </c>
      <c r="S256" s="66">
        <v>0</v>
      </c>
      <c r="T256" s="66">
        <f>366066+50000</f>
        <v>416066</v>
      </c>
      <c r="U256" s="65">
        <f t="shared" si="675"/>
        <v>921200</v>
      </c>
      <c r="V256" s="66">
        <f>124338+45000</f>
        <v>169338</v>
      </c>
      <c r="W256" s="66">
        <f>179103+266+58769</f>
        <v>238138</v>
      </c>
      <c r="X256" s="66">
        <f>136247+210311-13215</f>
        <v>333343</v>
      </c>
      <c r="Y256" s="66">
        <f>113154+21851-28059</f>
        <v>106946</v>
      </c>
      <c r="Z256" s="66">
        <f>34129+5000</f>
        <v>39129</v>
      </c>
      <c r="AA256" s="66">
        <v>17642</v>
      </c>
      <c r="AB256" s="66">
        <v>0</v>
      </c>
      <c r="AC256" s="66">
        <f>8875+4200+3589</f>
        <v>16664</v>
      </c>
      <c r="AD256" s="66"/>
      <c r="AE256" s="65">
        <f t="shared" si="676"/>
        <v>3577151</v>
      </c>
      <c r="AF256" s="67">
        <v>0</v>
      </c>
      <c r="AG256" s="67">
        <v>0</v>
      </c>
      <c r="AH256" s="101">
        <v>188450</v>
      </c>
      <c r="AI256" s="101">
        <v>815411</v>
      </c>
      <c r="AJ256" s="101">
        <v>14000</v>
      </c>
      <c r="AK256" s="101">
        <v>33586</v>
      </c>
      <c r="AL256" s="101">
        <v>0</v>
      </c>
      <c r="AM256" s="101">
        <v>24597</v>
      </c>
      <c r="AN256" s="101">
        <v>6949</v>
      </c>
      <c r="AO256" s="101">
        <v>0</v>
      </c>
      <c r="AP256" s="101">
        <v>0</v>
      </c>
      <c r="AQ256" s="101">
        <v>392843</v>
      </c>
      <c r="AR256" s="101">
        <v>0</v>
      </c>
      <c r="AS256" s="101">
        <v>120942</v>
      </c>
      <c r="AT256" s="101">
        <v>0</v>
      </c>
      <c r="AU256" s="101">
        <v>0</v>
      </c>
      <c r="AV256" s="101">
        <v>0</v>
      </c>
      <c r="AW256" s="101">
        <v>1226780</v>
      </c>
      <c r="AX256" s="101">
        <v>240000</v>
      </c>
      <c r="AY256" s="101">
        <v>0</v>
      </c>
      <c r="AZ256" s="101">
        <v>513593</v>
      </c>
      <c r="BA256" s="65">
        <f t="shared" si="677"/>
        <v>25608</v>
      </c>
      <c r="BB256" s="65">
        <f t="shared" si="678"/>
        <v>0</v>
      </c>
      <c r="BC256" s="65">
        <v>0</v>
      </c>
      <c r="BD256" s="65">
        <v>0</v>
      </c>
      <c r="BE256" s="65">
        <v>0</v>
      </c>
      <c r="BF256" s="65">
        <f t="shared" si="679"/>
        <v>0</v>
      </c>
      <c r="BG256" s="65">
        <v>0</v>
      </c>
      <c r="BH256" s="65">
        <v>0</v>
      </c>
      <c r="BI256" s="65">
        <v>0</v>
      </c>
      <c r="BJ256" s="65">
        <v>0</v>
      </c>
      <c r="BK256" s="65">
        <v>0</v>
      </c>
      <c r="BL256" s="65">
        <f t="shared" si="609"/>
        <v>0</v>
      </c>
      <c r="BM256" s="65">
        <v>0</v>
      </c>
      <c r="BN256" s="65">
        <v>0</v>
      </c>
      <c r="BO256" s="65">
        <f t="shared" si="680"/>
        <v>25608</v>
      </c>
      <c r="BP256" s="65">
        <v>0</v>
      </c>
      <c r="BQ256" s="65">
        <v>0</v>
      </c>
      <c r="BR256" s="65">
        <v>0</v>
      </c>
      <c r="BS256" s="65">
        <v>0</v>
      </c>
      <c r="BT256" s="65">
        <v>0</v>
      </c>
      <c r="BU256" s="65">
        <v>0</v>
      </c>
      <c r="BV256" s="65">
        <v>0</v>
      </c>
      <c r="BW256" s="65">
        <v>0</v>
      </c>
      <c r="BX256" s="65">
        <v>0</v>
      </c>
      <c r="BY256" s="65">
        <v>25608</v>
      </c>
      <c r="BZ256" s="65">
        <v>0</v>
      </c>
      <c r="CA256" s="65">
        <f t="shared" si="681"/>
        <v>2591323</v>
      </c>
      <c r="CB256" s="65">
        <f t="shared" si="682"/>
        <v>2591323</v>
      </c>
      <c r="CC256" s="65">
        <f t="shared" si="613"/>
        <v>1765302</v>
      </c>
      <c r="CD256" s="66">
        <v>0</v>
      </c>
      <c r="CE256" s="66">
        <f>2017273-293245+41274</f>
        <v>1765302</v>
      </c>
      <c r="CF256" s="65">
        <f t="shared" si="683"/>
        <v>0</v>
      </c>
      <c r="CG256" s="66">
        <v>0</v>
      </c>
      <c r="CH256" s="66"/>
      <c r="CI256" s="66"/>
      <c r="CJ256" s="66"/>
      <c r="CK256" s="65">
        <f t="shared" si="684"/>
        <v>826021</v>
      </c>
      <c r="CL256" s="66"/>
      <c r="CM256" s="66">
        <v>826021</v>
      </c>
      <c r="CN256" s="65">
        <v>0</v>
      </c>
      <c r="CO256" s="65"/>
      <c r="CP256" s="65"/>
      <c r="CQ256" s="65"/>
      <c r="CR256" s="65"/>
      <c r="GP256" s="46"/>
    </row>
    <row r="257" spans="1:198" s="46" customFormat="1" ht="31.2" x14ac:dyDescent="0.3">
      <c r="A257" s="90" t="s">
        <v>1</v>
      </c>
      <c r="B257" s="19" t="s">
        <v>62</v>
      </c>
      <c r="C257" s="20" t="s">
        <v>609</v>
      </c>
      <c r="D257" s="18">
        <f t="shared" si="672"/>
        <v>289215</v>
      </c>
      <c r="E257" s="18">
        <f t="shared" si="673"/>
        <v>259215</v>
      </c>
      <c r="F257" s="18">
        <f t="shared" si="674"/>
        <v>259215</v>
      </c>
      <c r="G257" s="21">
        <f>80000+22572</f>
        <v>102572</v>
      </c>
      <c r="H257" s="21">
        <f>20000+5643</f>
        <v>25643</v>
      </c>
      <c r="I257" s="18">
        <f>SUM(J257:O257)</f>
        <v>62702</v>
      </c>
      <c r="J257" s="21">
        <v>0</v>
      </c>
      <c r="K257" s="21">
        <v>0</v>
      </c>
      <c r="L257" s="21">
        <v>0</v>
      </c>
      <c r="M257" s="21">
        <v>0</v>
      </c>
      <c r="N257" s="21">
        <v>5000</v>
      </c>
      <c r="O257" s="21">
        <v>57702</v>
      </c>
      <c r="P257" s="18">
        <f>SUM(Q257:R257)</f>
        <v>0</v>
      </c>
      <c r="Q257" s="21">
        <v>0</v>
      </c>
      <c r="R257" s="21">
        <v>0</v>
      </c>
      <c r="S257" s="21">
        <v>0</v>
      </c>
      <c r="T257" s="21">
        <v>0</v>
      </c>
      <c r="U257" s="18">
        <f t="shared" si="675"/>
        <v>18000</v>
      </c>
      <c r="V257" s="21">
        <v>0</v>
      </c>
      <c r="W257" s="21">
        <v>0</v>
      </c>
      <c r="X257" s="21">
        <v>0</v>
      </c>
      <c r="Y257" s="21">
        <v>0</v>
      </c>
      <c r="Z257" s="21">
        <v>0</v>
      </c>
      <c r="AA257" s="21">
        <f>7000+11000</f>
        <v>18000</v>
      </c>
      <c r="AB257" s="21">
        <v>0</v>
      </c>
      <c r="AC257" s="21">
        <v>0</v>
      </c>
      <c r="AD257" s="21"/>
      <c r="AE257" s="18">
        <f t="shared" si="676"/>
        <v>50298</v>
      </c>
      <c r="AF257" s="21"/>
      <c r="AG257" s="22">
        <v>0</v>
      </c>
      <c r="AH257" s="45">
        <v>5000</v>
      </c>
      <c r="AI257" s="45">
        <v>0</v>
      </c>
      <c r="AJ257" s="45">
        <v>0</v>
      </c>
      <c r="AK257" s="45">
        <v>900</v>
      </c>
      <c r="AL257" s="45">
        <v>0</v>
      </c>
      <c r="AM257" s="45">
        <v>0</v>
      </c>
      <c r="AN257" s="45">
        <v>0</v>
      </c>
      <c r="AO257" s="45">
        <v>0</v>
      </c>
      <c r="AP257" s="45">
        <v>0</v>
      </c>
      <c r="AQ257" s="45">
        <v>0</v>
      </c>
      <c r="AR257" s="45">
        <v>0</v>
      </c>
      <c r="AS257" s="45">
        <v>6000</v>
      </c>
      <c r="AT257" s="45">
        <v>0</v>
      </c>
      <c r="AU257" s="45">
        <v>0</v>
      </c>
      <c r="AV257" s="45">
        <v>0</v>
      </c>
      <c r="AW257" s="45">
        <v>0</v>
      </c>
      <c r="AX257" s="45">
        <v>0</v>
      </c>
      <c r="AY257" s="45">
        <v>0</v>
      </c>
      <c r="AZ257" s="45">
        <v>38398</v>
      </c>
      <c r="BA257" s="18">
        <f t="shared" si="677"/>
        <v>0</v>
      </c>
      <c r="BB257" s="18">
        <f t="shared" si="678"/>
        <v>0</v>
      </c>
      <c r="BC257" s="18">
        <v>0</v>
      </c>
      <c r="BD257" s="18">
        <v>0</v>
      </c>
      <c r="BE257" s="18">
        <v>0</v>
      </c>
      <c r="BF257" s="18">
        <f t="shared" si="679"/>
        <v>0</v>
      </c>
      <c r="BG257" s="18">
        <v>0</v>
      </c>
      <c r="BH257" s="18">
        <v>0</v>
      </c>
      <c r="BI257" s="18">
        <v>0</v>
      </c>
      <c r="BJ257" s="18">
        <v>0</v>
      </c>
      <c r="BK257" s="18">
        <v>0</v>
      </c>
      <c r="BL257" s="18">
        <f>SUM(BM257)</f>
        <v>0</v>
      </c>
      <c r="BM257" s="18">
        <v>0</v>
      </c>
      <c r="BN257" s="18">
        <v>0</v>
      </c>
      <c r="BO257" s="18">
        <f t="shared" si="680"/>
        <v>0</v>
      </c>
      <c r="BP257" s="18">
        <v>0</v>
      </c>
      <c r="BQ257" s="18">
        <v>0</v>
      </c>
      <c r="BR257" s="18">
        <v>0</v>
      </c>
      <c r="BS257" s="18">
        <v>0</v>
      </c>
      <c r="BT257" s="18">
        <v>0</v>
      </c>
      <c r="BU257" s="18">
        <v>0</v>
      </c>
      <c r="BV257" s="18">
        <v>0</v>
      </c>
      <c r="BW257" s="18">
        <v>0</v>
      </c>
      <c r="BX257" s="18">
        <v>0</v>
      </c>
      <c r="BY257" s="18">
        <v>0</v>
      </c>
      <c r="BZ257" s="18">
        <v>0</v>
      </c>
      <c r="CA257" s="18">
        <f t="shared" si="681"/>
        <v>30000</v>
      </c>
      <c r="CB257" s="18">
        <f t="shared" si="682"/>
        <v>30000</v>
      </c>
      <c r="CC257" s="18">
        <f>SUM(CD257:CE257)</f>
        <v>30000</v>
      </c>
      <c r="CD257" s="21">
        <v>0</v>
      </c>
      <c r="CE257" s="21">
        <v>30000</v>
      </c>
      <c r="CF257" s="18">
        <f t="shared" si="683"/>
        <v>0</v>
      </c>
      <c r="CG257" s="21">
        <v>0</v>
      </c>
      <c r="CH257" s="21">
        <v>0</v>
      </c>
      <c r="CI257" s="21">
        <v>0</v>
      </c>
      <c r="CJ257" s="21">
        <v>0</v>
      </c>
      <c r="CK257" s="18">
        <f t="shared" si="684"/>
        <v>0</v>
      </c>
      <c r="CL257" s="21"/>
      <c r="CM257" s="21"/>
      <c r="CN257" s="18">
        <v>0</v>
      </c>
      <c r="CO257" s="65"/>
      <c r="CP257" s="65"/>
      <c r="CQ257" s="65"/>
      <c r="CR257" s="65"/>
      <c r="GP257" s="68"/>
    </row>
    <row r="258" spans="1:198" s="68" customFormat="1" ht="31.2" x14ac:dyDescent="0.3">
      <c r="A258" s="92" t="s">
        <v>1</v>
      </c>
      <c r="B258" s="62" t="s">
        <v>62</v>
      </c>
      <c r="C258" s="63" t="s">
        <v>596</v>
      </c>
      <c r="D258" s="65">
        <f t="shared" si="672"/>
        <v>24088760</v>
      </c>
      <c r="E258" s="65">
        <f t="shared" si="673"/>
        <v>22292056</v>
      </c>
      <c r="F258" s="65">
        <f t="shared" si="674"/>
        <v>22292056</v>
      </c>
      <c r="G258" s="66">
        <f>11501625+400000</f>
        <v>11901625</v>
      </c>
      <c r="H258" s="66">
        <f>2803286+200000</f>
        <v>3003286</v>
      </c>
      <c r="I258" s="65">
        <f t="shared" si="597"/>
        <v>3630458</v>
      </c>
      <c r="J258" s="66">
        <f>1213471+300000-27282</f>
        <v>1486189</v>
      </c>
      <c r="K258" s="66">
        <v>50000</v>
      </c>
      <c r="L258" s="66">
        <v>5000</v>
      </c>
      <c r="M258" s="66">
        <v>0</v>
      </c>
      <c r="N258" s="66">
        <v>775119</v>
      </c>
      <c r="O258" s="66">
        <f>1317584-3434</f>
        <v>1314150</v>
      </c>
      <c r="P258" s="65">
        <f t="shared" si="604"/>
        <v>70963</v>
      </c>
      <c r="Q258" s="66">
        <v>400</v>
      </c>
      <c r="R258" s="66">
        <v>70563</v>
      </c>
      <c r="S258" s="66">
        <v>50000</v>
      </c>
      <c r="T258" s="66">
        <v>210227</v>
      </c>
      <c r="U258" s="65">
        <f t="shared" si="675"/>
        <v>545444</v>
      </c>
      <c r="V258" s="66">
        <v>30000</v>
      </c>
      <c r="W258" s="66">
        <f>96390+4000+40774</f>
        <v>141164</v>
      </c>
      <c r="X258" s="66">
        <f>122843+135670</f>
        <v>258513</v>
      </c>
      <c r="Y258" s="66">
        <f>15971+2000+2657</f>
        <v>20628</v>
      </c>
      <c r="Z258" s="66">
        <v>30000</v>
      </c>
      <c r="AA258" s="66">
        <v>25000</v>
      </c>
      <c r="AB258" s="66">
        <v>0</v>
      </c>
      <c r="AC258" s="66">
        <f>13081+2000+25058</f>
        <v>40139</v>
      </c>
      <c r="AD258" s="66"/>
      <c r="AE258" s="65">
        <f t="shared" si="676"/>
        <v>2880053</v>
      </c>
      <c r="AF258" s="67">
        <v>0</v>
      </c>
      <c r="AG258" s="67">
        <v>0</v>
      </c>
      <c r="AH258" s="101">
        <v>421204</v>
      </c>
      <c r="AI258" s="101">
        <f>1500487-116205</f>
        <v>1384282</v>
      </c>
      <c r="AJ258" s="101">
        <v>0</v>
      </c>
      <c r="AK258" s="101">
        <v>50000</v>
      </c>
      <c r="AL258" s="101">
        <v>0</v>
      </c>
      <c r="AM258" s="101">
        <v>71126</v>
      </c>
      <c r="AN258" s="101">
        <f>400000-57238</f>
        <v>342762</v>
      </c>
      <c r="AO258" s="101">
        <v>0</v>
      </c>
      <c r="AP258" s="101">
        <v>10000</v>
      </c>
      <c r="AQ258" s="101">
        <v>0</v>
      </c>
      <c r="AR258" s="101">
        <v>150000</v>
      </c>
      <c r="AS258" s="101">
        <v>0</v>
      </c>
      <c r="AT258" s="101">
        <v>0</v>
      </c>
      <c r="AU258" s="101">
        <v>0</v>
      </c>
      <c r="AV258" s="101">
        <v>0</v>
      </c>
      <c r="AW258" s="101">
        <v>0</v>
      </c>
      <c r="AX258" s="101">
        <v>0</v>
      </c>
      <c r="AY258" s="101">
        <v>0</v>
      </c>
      <c r="AZ258" s="101">
        <v>450679</v>
      </c>
      <c r="BA258" s="65">
        <f t="shared" si="677"/>
        <v>0</v>
      </c>
      <c r="BB258" s="65">
        <f t="shared" si="678"/>
        <v>0</v>
      </c>
      <c r="BC258" s="65">
        <v>0</v>
      </c>
      <c r="BD258" s="65">
        <v>0</v>
      </c>
      <c r="BE258" s="65">
        <v>0</v>
      </c>
      <c r="BF258" s="65">
        <f t="shared" si="679"/>
        <v>0</v>
      </c>
      <c r="BG258" s="65">
        <v>0</v>
      </c>
      <c r="BH258" s="65">
        <v>0</v>
      </c>
      <c r="BI258" s="65">
        <v>0</v>
      </c>
      <c r="BJ258" s="65">
        <v>0</v>
      </c>
      <c r="BK258" s="65">
        <v>0</v>
      </c>
      <c r="BL258" s="65">
        <f t="shared" si="609"/>
        <v>0</v>
      </c>
      <c r="BM258" s="65">
        <v>0</v>
      </c>
      <c r="BN258" s="65">
        <v>0</v>
      </c>
      <c r="BO258" s="65">
        <f t="shared" si="680"/>
        <v>0</v>
      </c>
      <c r="BP258" s="65">
        <v>0</v>
      </c>
      <c r="BQ258" s="65">
        <v>0</v>
      </c>
      <c r="BR258" s="65">
        <v>0</v>
      </c>
      <c r="BS258" s="65">
        <v>0</v>
      </c>
      <c r="BT258" s="65">
        <v>0</v>
      </c>
      <c r="BU258" s="65">
        <v>0</v>
      </c>
      <c r="BV258" s="65">
        <v>0</v>
      </c>
      <c r="BW258" s="65">
        <v>0</v>
      </c>
      <c r="BX258" s="65">
        <v>0</v>
      </c>
      <c r="BY258" s="65">
        <v>0</v>
      </c>
      <c r="BZ258" s="65">
        <v>0</v>
      </c>
      <c r="CA258" s="65">
        <f t="shared" si="681"/>
        <v>1796704</v>
      </c>
      <c r="CB258" s="65">
        <f t="shared" si="682"/>
        <v>1796704</v>
      </c>
      <c r="CC258" s="65">
        <f t="shared" si="613"/>
        <v>1496704</v>
      </c>
      <c r="CD258" s="66">
        <v>0</v>
      </c>
      <c r="CE258" s="66">
        <v>1496704</v>
      </c>
      <c r="CF258" s="65">
        <f t="shared" si="683"/>
        <v>0</v>
      </c>
      <c r="CG258" s="66">
        <v>0</v>
      </c>
      <c r="CH258" s="66">
        <v>0</v>
      </c>
      <c r="CI258" s="66">
        <v>0</v>
      </c>
      <c r="CJ258" s="66">
        <v>0</v>
      </c>
      <c r="CK258" s="65">
        <f t="shared" si="684"/>
        <v>300000</v>
      </c>
      <c r="CL258" s="66">
        <v>300000</v>
      </c>
      <c r="CM258" s="66"/>
      <c r="CN258" s="65">
        <v>0</v>
      </c>
      <c r="CO258" s="65"/>
      <c r="CP258" s="65"/>
      <c r="CQ258" s="65"/>
      <c r="CR258" s="65"/>
    </row>
    <row r="259" spans="1:198" s="68" customFormat="1" ht="31.2" x14ac:dyDescent="0.3">
      <c r="A259" s="92" t="s">
        <v>1</v>
      </c>
      <c r="B259" s="62" t="s">
        <v>62</v>
      </c>
      <c r="C259" s="63" t="s">
        <v>597</v>
      </c>
      <c r="D259" s="65">
        <f t="shared" si="672"/>
        <v>194920</v>
      </c>
      <c r="E259" s="65">
        <f t="shared" si="673"/>
        <v>192156</v>
      </c>
      <c r="F259" s="65">
        <f t="shared" si="674"/>
        <v>178909</v>
      </c>
      <c r="G259" s="66">
        <v>30000</v>
      </c>
      <c r="H259" s="66">
        <v>7500</v>
      </c>
      <c r="I259" s="65">
        <f>SUM(J259:O259)</f>
        <v>84368</v>
      </c>
      <c r="J259" s="66">
        <v>0</v>
      </c>
      <c r="K259" s="66">
        <v>4833</v>
      </c>
      <c r="L259" s="66">
        <v>0</v>
      </c>
      <c r="M259" s="66">
        <v>0</v>
      </c>
      <c r="N259" s="66">
        <v>38534</v>
      </c>
      <c r="O259" s="66">
        <v>41001</v>
      </c>
      <c r="P259" s="65">
        <f>SUM(Q259:R259)</f>
        <v>1020</v>
      </c>
      <c r="Q259" s="66">
        <v>1020</v>
      </c>
      <c r="R259" s="66">
        <v>0</v>
      </c>
      <c r="S259" s="66">
        <v>0</v>
      </c>
      <c r="T259" s="66">
        <v>19731</v>
      </c>
      <c r="U259" s="65">
        <f t="shared" si="675"/>
        <v>22957</v>
      </c>
      <c r="V259" s="66">
        <v>2500</v>
      </c>
      <c r="W259" s="66">
        <v>0</v>
      </c>
      <c r="X259" s="66">
        <v>0</v>
      </c>
      <c r="Y259" s="66">
        <f>5469+931</f>
        <v>6400</v>
      </c>
      <c r="Z259" s="66">
        <v>2280</v>
      </c>
      <c r="AA259" s="66">
        <v>1440</v>
      </c>
      <c r="AB259" s="66">
        <v>0</v>
      </c>
      <c r="AC259" s="66">
        <f>3576+6761</f>
        <v>10337</v>
      </c>
      <c r="AD259" s="66"/>
      <c r="AE259" s="65">
        <f t="shared" si="676"/>
        <v>13333</v>
      </c>
      <c r="AF259" s="67">
        <v>0</v>
      </c>
      <c r="AG259" s="67">
        <v>0</v>
      </c>
      <c r="AH259" s="101">
        <v>1174</v>
      </c>
      <c r="AI259" s="101">
        <v>0</v>
      </c>
      <c r="AJ259" s="101">
        <v>0</v>
      </c>
      <c r="AK259" s="101">
        <v>0</v>
      </c>
      <c r="AL259" s="101">
        <v>0</v>
      </c>
      <c r="AM259" s="101">
        <v>1200</v>
      </c>
      <c r="AN259" s="101">
        <v>0</v>
      </c>
      <c r="AO259" s="101">
        <v>0</v>
      </c>
      <c r="AP259" s="101">
        <v>0</v>
      </c>
      <c r="AQ259" s="101">
        <v>0</v>
      </c>
      <c r="AR259" s="101">
        <v>0</v>
      </c>
      <c r="AS259" s="101">
        <v>0</v>
      </c>
      <c r="AT259" s="101">
        <v>0</v>
      </c>
      <c r="AU259" s="101">
        <v>0</v>
      </c>
      <c r="AV259" s="101">
        <v>0</v>
      </c>
      <c r="AW259" s="101">
        <v>0</v>
      </c>
      <c r="AX259" s="101">
        <v>3964</v>
      </c>
      <c r="AY259" s="101">
        <v>0</v>
      </c>
      <c r="AZ259" s="101">
        <v>6995</v>
      </c>
      <c r="BA259" s="65">
        <f t="shared" si="677"/>
        <v>13247</v>
      </c>
      <c r="BB259" s="65">
        <f t="shared" si="678"/>
        <v>0</v>
      </c>
      <c r="BC259" s="65">
        <v>0</v>
      </c>
      <c r="BD259" s="65">
        <v>0</v>
      </c>
      <c r="BE259" s="65">
        <v>0</v>
      </c>
      <c r="BF259" s="65">
        <f t="shared" si="679"/>
        <v>0</v>
      </c>
      <c r="BG259" s="65">
        <v>0</v>
      </c>
      <c r="BH259" s="65">
        <v>0</v>
      </c>
      <c r="BI259" s="65">
        <v>0</v>
      </c>
      <c r="BJ259" s="65">
        <v>0</v>
      </c>
      <c r="BK259" s="65">
        <v>0</v>
      </c>
      <c r="BL259" s="65">
        <f>SUM(BM259)</f>
        <v>0</v>
      </c>
      <c r="BM259" s="65">
        <v>0</v>
      </c>
      <c r="BN259" s="65">
        <v>0</v>
      </c>
      <c r="BO259" s="65">
        <f t="shared" si="680"/>
        <v>13247</v>
      </c>
      <c r="BP259" s="65">
        <v>0</v>
      </c>
      <c r="BQ259" s="65">
        <v>0</v>
      </c>
      <c r="BR259" s="65">
        <v>0</v>
      </c>
      <c r="BS259" s="65">
        <v>0</v>
      </c>
      <c r="BT259" s="65">
        <v>0</v>
      </c>
      <c r="BU259" s="65">
        <v>0</v>
      </c>
      <c r="BV259" s="65">
        <v>0</v>
      </c>
      <c r="BW259" s="65">
        <v>0</v>
      </c>
      <c r="BX259" s="65">
        <v>0</v>
      </c>
      <c r="BY259" s="65">
        <v>13247</v>
      </c>
      <c r="BZ259" s="65">
        <v>0</v>
      </c>
      <c r="CA259" s="65">
        <f t="shared" si="681"/>
        <v>2764</v>
      </c>
      <c r="CB259" s="65">
        <f t="shared" si="682"/>
        <v>2764</v>
      </c>
      <c r="CC259" s="65">
        <f>SUM(CD259:CE259)</f>
        <v>2764</v>
      </c>
      <c r="CD259" s="66">
        <v>0</v>
      </c>
      <c r="CE259" s="66">
        <f>10456-7692</f>
        <v>2764</v>
      </c>
      <c r="CF259" s="65">
        <f t="shared" si="683"/>
        <v>0</v>
      </c>
      <c r="CG259" s="66">
        <v>0</v>
      </c>
      <c r="CH259" s="66">
        <v>0</v>
      </c>
      <c r="CI259" s="66">
        <v>0</v>
      </c>
      <c r="CJ259" s="66">
        <v>0</v>
      </c>
      <c r="CK259" s="65">
        <f t="shared" si="684"/>
        <v>0</v>
      </c>
      <c r="CL259" s="66"/>
      <c r="CM259" s="66"/>
      <c r="CN259" s="65">
        <v>0</v>
      </c>
      <c r="CO259" s="65"/>
      <c r="CP259" s="65"/>
      <c r="CQ259" s="65"/>
      <c r="CR259" s="65"/>
      <c r="GP259" s="46"/>
    </row>
    <row r="260" spans="1:198" ht="15.6" x14ac:dyDescent="0.3">
      <c r="A260" s="90" t="s">
        <v>1</v>
      </c>
      <c r="B260" s="19" t="s">
        <v>284</v>
      </c>
      <c r="C260" s="20" t="s">
        <v>492</v>
      </c>
      <c r="D260" s="18">
        <f t="shared" si="672"/>
        <v>3189164</v>
      </c>
      <c r="E260" s="18">
        <f t="shared" si="673"/>
        <v>3122537</v>
      </c>
      <c r="F260" s="18">
        <f t="shared" si="674"/>
        <v>3122537</v>
      </c>
      <c r="G260" s="21">
        <v>1860291</v>
      </c>
      <c r="H260" s="21">
        <v>444373</v>
      </c>
      <c r="I260" s="18">
        <f t="shared" si="597"/>
        <v>230000</v>
      </c>
      <c r="J260" s="21">
        <v>0</v>
      </c>
      <c r="K260" s="21">
        <v>0</v>
      </c>
      <c r="L260" s="21">
        <v>0</v>
      </c>
      <c r="M260" s="21">
        <v>0</v>
      </c>
      <c r="N260" s="21">
        <v>100000</v>
      </c>
      <c r="O260" s="21">
        <v>130000</v>
      </c>
      <c r="P260" s="18">
        <f t="shared" si="604"/>
        <v>0</v>
      </c>
      <c r="Q260" s="21">
        <v>0</v>
      </c>
      <c r="R260" s="21">
        <v>0</v>
      </c>
      <c r="S260" s="21">
        <v>0</v>
      </c>
      <c r="T260" s="21">
        <v>28000</v>
      </c>
      <c r="U260" s="18">
        <f t="shared" si="675"/>
        <v>100709</v>
      </c>
      <c r="V260" s="21">
        <v>0</v>
      </c>
      <c r="W260" s="21">
        <v>49497</v>
      </c>
      <c r="X260" s="21">
        <f>21180+20000</f>
        <v>41180</v>
      </c>
      <c r="Y260" s="21">
        <v>4032</v>
      </c>
      <c r="Z260" s="21">
        <v>6000</v>
      </c>
      <c r="AA260" s="21">
        <v>0</v>
      </c>
      <c r="AB260" s="21">
        <v>0</v>
      </c>
      <c r="AC260" s="21">
        <v>0</v>
      </c>
      <c r="AD260" s="21"/>
      <c r="AE260" s="18">
        <f t="shared" si="676"/>
        <v>459164</v>
      </c>
      <c r="AF260" s="22">
        <v>0</v>
      </c>
      <c r="AG260" s="22">
        <v>0</v>
      </c>
      <c r="AH260" s="45">
        <v>30000</v>
      </c>
      <c r="AI260" s="45">
        <f>10000+239164-20000</f>
        <v>229164</v>
      </c>
      <c r="AJ260" s="45">
        <v>0</v>
      </c>
      <c r="AK260" s="45">
        <v>0</v>
      </c>
      <c r="AL260" s="45">
        <v>0</v>
      </c>
      <c r="AM260" s="45">
        <v>30000</v>
      </c>
      <c r="AN260" s="45">
        <v>0</v>
      </c>
      <c r="AO260" s="45">
        <v>0</v>
      </c>
      <c r="AP260" s="45">
        <v>0</v>
      </c>
      <c r="AQ260" s="45">
        <v>0</v>
      </c>
      <c r="AR260" s="45">
        <v>0</v>
      </c>
      <c r="AS260" s="45">
        <v>20000</v>
      </c>
      <c r="AT260" s="45">
        <v>0</v>
      </c>
      <c r="AU260" s="45">
        <v>0</v>
      </c>
      <c r="AV260" s="45">
        <v>0</v>
      </c>
      <c r="AW260" s="45">
        <v>0</v>
      </c>
      <c r="AX260" s="45">
        <v>0</v>
      </c>
      <c r="AY260" s="45">
        <v>100000</v>
      </c>
      <c r="AZ260" s="45">
        <v>50000</v>
      </c>
      <c r="BA260" s="18">
        <f t="shared" si="677"/>
        <v>0</v>
      </c>
      <c r="BB260" s="18">
        <f t="shared" si="678"/>
        <v>0</v>
      </c>
      <c r="BC260" s="18">
        <v>0</v>
      </c>
      <c r="BD260" s="18">
        <v>0</v>
      </c>
      <c r="BE260" s="18">
        <v>0</v>
      </c>
      <c r="BF260" s="18">
        <f t="shared" si="679"/>
        <v>0</v>
      </c>
      <c r="BG260" s="18">
        <v>0</v>
      </c>
      <c r="BH260" s="18">
        <v>0</v>
      </c>
      <c r="BI260" s="18">
        <v>0</v>
      </c>
      <c r="BJ260" s="18">
        <v>0</v>
      </c>
      <c r="BK260" s="18">
        <v>0</v>
      </c>
      <c r="BL260" s="18">
        <f t="shared" si="609"/>
        <v>0</v>
      </c>
      <c r="BM260" s="18">
        <v>0</v>
      </c>
      <c r="BN260" s="18">
        <v>0</v>
      </c>
      <c r="BO260" s="18">
        <f t="shared" si="680"/>
        <v>0</v>
      </c>
      <c r="BP260" s="18">
        <v>0</v>
      </c>
      <c r="BQ260" s="18">
        <v>0</v>
      </c>
      <c r="BR260" s="18">
        <v>0</v>
      </c>
      <c r="BS260" s="18">
        <v>0</v>
      </c>
      <c r="BT260" s="18">
        <v>0</v>
      </c>
      <c r="BU260" s="18">
        <v>0</v>
      </c>
      <c r="BV260" s="18">
        <v>0</v>
      </c>
      <c r="BW260" s="18">
        <v>0</v>
      </c>
      <c r="BX260" s="18">
        <v>0</v>
      </c>
      <c r="BY260" s="18">
        <v>0</v>
      </c>
      <c r="BZ260" s="18">
        <v>0</v>
      </c>
      <c r="CA260" s="18">
        <f t="shared" si="681"/>
        <v>66627</v>
      </c>
      <c r="CB260" s="18">
        <f t="shared" si="682"/>
        <v>66627</v>
      </c>
      <c r="CC260" s="18">
        <f t="shared" si="613"/>
        <v>66627</v>
      </c>
      <c r="CD260" s="21">
        <v>0</v>
      </c>
      <c r="CE260" s="21">
        <f>16627+50000</f>
        <v>66627</v>
      </c>
      <c r="CF260" s="18">
        <f t="shared" si="683"/>
        <v>0</v>
      </c>
      <c r="CG260" s="21">
        <v>0</v>
      </c>
      <c r="CH260" s="21">
        <v>0</v>
      </c>
      <c r="CI260" s="21">
        <v>0</v>
      </c>
      <c r="CJ260" s="21">
        <v>0</v>
      </c>
      <c r="CK260" s="18">
        <f t="shared" si="684"/>
        <v>0</v>
      </c>
      <c r="CL260" s="21"/>
      <c r="CM260" s="21"/>
      <c r="CN260" s="18">
        <v>0</v>
      </c>
      <c r="CO260" s="65"/>
      <c r="CP260" s="65"/>
      <c r="CQ260" s="65"/>
      <c r="CR260" s="65"/>
      <c r="CS260" s="46"/>
      <c r="GP260" s="68"/>
    </row>
    <row r="261" spans="1:198" s="68" customFormat="1" ht="31.2" x14ac:dyDescent="0.3">
      <c r="A261" s="92" t="s">
        <v>1</v>
      </c>
      <c r="B261" s="62" t="s">
        <v>158</v>
      </c>
      <c r="C261" s="63" t="s">
        <v>493</v>
      </c>
      <c r="D261" s="65">
        <f t="shared" si="672"/>
        <v>3914399</v>
      </c>
      <c r="E261" s="65">
        <f t="shared" si="673"/>
        <v>3914399</v>
      </c>
      <c r="F261" s="65">
        <f t="shared" si="674"/>
        <v>3914399</v>
      </c>
      <c r="G261" s="66">
        <v>0</v>
      </c>
      <c r="H261" s="66">
        <v>0</v>
      </c>
      <c r="I261" s="65">
        <f>SUM(J261:O261)</f>
        <v>0</v>
      </c>
      <c r="J261" s="66">
        <v>0</v>
      </c>
      <c r="K261" s="66">
        <v>0</v>
      </c>
      <c r="L261" s="66">
        <v>0</v>
      </c>
      <c r="M261" s="66">
        <v>0</v>
      </c>
      <c r="N261" s="66">
        <v>0</v>
      </c>
      <c r="O261" s="66">
        <v>0</v>
      </c>
      <c r="P261" s="65">
        <f>SUM(Q261:R261)</f>
        <v>0</v>
      </c>
      <c r="Q261" s="66">
        <v>0</v>
      </c>
      <c r="R261" s="66">
        <v>0</v>
      </c>
      <c r="S261" s="66">
        <v>0</v>
      </c>
      <c r="T261" s="66">
        <v>0</v>
      </c>
      <c r="U261" s="65">
        <f t="shared" si="675"/>
        <v>0</v>
      </c>
      <c r="V261" s="66"/>
      <c r="W261" s="66"/>
      <c r="X261" s="66"/>
      <c r="Y261" s="66"/>
      <c r="Z261" s="66"/>
      <c r="AA261" s="66">
        <v>0</v>
      </c>
      <c r="AB261" s="66">
        <v>0</v>
      </c>
      <c r="AC261" s="66"/>
      <c r="AD261" s="66"/>
      <c r="AE261" s="65">
        <f t="shared" si="676"/>
        <v>3914399</v>
      </c>
      <c r="AF261" s="67">
        <v>0</v>
      </c>
      <c r="AG261" s="67">
        <v>0</v>
      </c>
      <c r="AH261" s="101">
        <v>0</v>
      </c>
      <c r="AI261" s="101">
        <v>0</v>
      </c>
      <c r="AJ261" s="101">
        <v>0</v>
      </c>
      <c r="AK261" s="101">
        <v>0</v>
      </c>
      <c r="AL261" s="101">
        <v>0</v>
      </c>
      <c r="AM261" s="101">
        <v>0</v>
      </c>
      <c r="AN261" s="101">
        <v>0</v>
      </c>
      <c r="AO261" s="101">
        <v>0</v>
      </c>
      <c r="AP261" s="101">
        <v>0</v>
      </c>
      <c r="AQ261" s="101">
        <v>0</v>
      </c>
      <c r="AR261" s="101">
        <v>0</v>
      </c>
      <c r="AS261" s="101">
        <v>0</v>
      </c>
      <c r="AT261" s="101">
        <v>0</v>
      </c>
      <c r="AU261" s="101">
        <v>0</v>
      </c>
      <c r="AV261" s="101">
        <v>0</v>
      </c>
      <c r="AW261" s="101">
        <v>0</v>
      </c>
      <c r="AX261" s="101">
        <v>0</v>
      </c>
      <c r="AY261" s="101">
        <v>0</v>
      </c>
      <c r="AZ261" s="101">
        <f>6100503-1319623-866481</f>
        <v>3914399</v>
      </c>
      <c r="BA261" s="65">
        <f t="shared" si="677"/>
        <v>0</v>
      </c>
      <c r="BB261" s="65">
        <f t="shared" si="678"/>
        <v>0</v>
      </c>
      <c r="BC261" s="65">
        <v>0</v>
      </c>
      <c r="BD261" s="65">
        <v>0</v>
      </c>
      <c r="BE261" s="65">
        <v>0</v>
      </c>
      <c r="BF261" s="65">
        <f t="shared" si="679"/>
        <v>0</v>
      </c>
      <c r="BG261" s="65">
        <v>0</v>
      </c>
      <c r="BH261" s="65">
        <v>0</v>
      </c>
      <c r="BI261" s="65">
        <v>0</v>
      </c>
      <c r="BJ261" s="65">
        <v>0</v>
      </c>
      <c r="BK261" s="65">
        <v>0</v>
      </c>
      <c r="BL261" s="65">
        <f>SUM(BM261)</f>
        <v>0</v>
      </c>
      <c r="BM261" s="65">
        <v>0</v>
      </c>
      <c r="BN261" s="65">
        <v>0</v>
      </c>
      <c r="BO261" s="65">
        <f t="shared" si="680"/>
        <v>0</v>
      </c>
      <c r="BP261" s="65">
        <v>0</v>
      </c>
      <c r="BQ261" s="65">
        <v>0</v>
      </c>
      <c r="BR261" s="65">
        <v>0</v>
      </c>
      <c r="BS261" s="65">
        <v>0</v>
      </c>
      <c r="BT261" s="65">
        <v>0</v>
      </c>
      <c r="BU261" s="65">
        <v>0</v>
      </c>
      <c r="BV261" s="65">
        <v>0</v>
      </c>
      <c r="BW261" s="65">
        <v>0</v>
      </c>
      <c r="BX261" s="65">
        <v>0</v>
      </c>
      <c r="BY261" s="65">
        <v>0</v>
      </c>
      <c r="BZ261" s="65">
        <v>0</v>
      </c>
      <c r="CA261" s="65">
        <f t="shared" si="681"/>
        <v>0</v>
      </c>
      <c r="CB261" s="65">
        <f t="shared" si="682"/>
        <v>0</v>
      </c>
      <c r="CC261" s="65">
        <f>SUM(CD261:CE261)</f>
        <v>0</v>
      </c>
      <c r="CD261" s="66">
        <v>0</v>
      </c>
      <c r="CE261" s="66">
        <v>0</v>
      </c>
      <c r="CF261" s="65">
        <f t="shared" si="683"/>
        <v>0</v>
      </c>
      <c r="CG261" s="66">
        <v>0</v>
      </c>
      <c r="CH261" s="66">
        <v>0</v>
      </c>
      <c r="CI261" s="66">
        <v>0</v>
      </c>
      <c r="CJ261" s="66">
        <v>0</v>
      </c>
      <c r="CK261" s="65">
        <f t="shared" si="684"/>
        <v>0</v>
      </c>
      <c r="CL261" s="66">
        <v>0</v>
      </c>
      <c r="CM261" s="66">
        <v>0</v>
      </c>
      <c r="CN261" s="65">
        <v>0</v>
      </c>
      <c r="CO261" s="65"/>
      <c r="CP261" s="65"/>
      <c r="CQ261" s="65"/>
      <c r="CR261" s="65"/>
      <c r="GP261" s="46"/>
    </row>
    <row r="262" spans="1:198" s="68" customFormat="1" ht="15.6" x14ac:dyDescent="0.3">
      <c r="A262" s="92" t="s">
        <v>1</v>
      </c>
      <c r="B262" s="62" t="s">
        <v>158</v>
      </c>
      <c r="C262" s="63" t="s">
        <v>494</v>
      </c>
      <c r="D262" s="65">
        <f t="shared" si="672"/>
        <v>36172539</v>
      </c>
      <c r="E262" s="65">
        <f t="shared" si="673"/>
        <v>36018539</v>
      </c>
      <c r="F262" s="65">
        <f t="shared" si="674"/>
        <v>36018539</v>
      </c>
      <c r="G262" s="66">
        <v>22900000</v>
      </c>
      <c r="H262" s="66">
        <v>5725000</v>
      </c>
      <c r="I262" s="65">
        <f t="shared" si="597"/>
        <v>1532383</v>
      </c>
      <c r="J262" s="66">
        <v>16000</v>
      </c>
      <c r="K262" s="66">
        <v>24500</v>
      </c>
      <c r="L262" s="66">
        <v>500000</v>
      </c>
      <c r="M262" s="66">
        <v>0</v>
      </c>
      <c r="N262" s="66">
        <f>591883-65000</f>
        <v>526883</v>
      </c>
      <c r="O262" s="66">
        <f>415000+50000</f>
        <v>465000</v>
      </c>
      <c r="P262" s="65">
        <f t="shared" si="604"/>
        <v>300000</v>
      </c>
      <c r="Q262" s="66">
        <v>10000</v>
      </c>
      <c r="R262" s="66">
        <v>290000</v>
      </c>
      <c r="S262" s="66">
        <v>0</v>
      </c>
      <c r="T262" s="66">
        <v>150000</v>
      </c>
      <c r="U262" s="65">
        <f t="shared" si="675"/>
        <v>3895810</v>
      </c>
      <c r="V262" s="66">
        <f>322000+204000+40000</f>
        <v>566000</v>
      </c>
      <c r="W262" s="66">
        <f>1328181+960000</f>
        <v>2288181</v>
      </c>
      <c r="X262" s="66">
        <f>306699+291900+20000+33000</f>
        <v>651599</v>
      </c>
      <c r="Y262" s="66">
        <f>171095+118000</f>
        <v>289095</v>
      </c>
      <c r="Z262" s="66">
        <f>93000+7500</f>
        <v>100500</v>
      </c>
      <c r="AA262" s="66">
        <v>0</v>
      </c>
      <c r="AB262" s="66">
        <v>0</v>
      </c>
      <c r="AC262" s="66">
        <f>135+300</f>
        <v>435</v>
      </c>
      <c r="AD262" s="66"/>
      <c r="AE262" s="65">
        <f t="shared" si="676"/>
        <v>1515346</v>
      </c>
      <c r="AF262" s="67">
        <v>0</v>
      </c>
      <c r="AG262" s="67">
        <v>0</v>
      </c>
      <c r="AH262" s="101">
        <v>55000</v>
      </c>
      <c r="AI262" s="101">
        <f>222000-20000</f>
        <v>202000</v>
      </c>
      <c r="AJ262" s="101">
        <f>250000-13000</f>
        <v>237000</v>
      </c>
      <c r="AK262" s="101">
        <v>103500</v>
      </c>
      <c r="AL262" s="101">
        <v>0</v>
      </c>
      <c r="AM262" s="101">
        <f>123000-40000</f>
        <v>83000</v>
      </c>
      <c r="AN262" s="101">
        <f>294852-20000</f>
        <v>274852</v>
      </c>
      <c r="AO262" s="101">
        <v>0</v>
      </c>
      <c r="AP262" s="101">
        <v>10000</v>
      </c>
      <c r="AQ262" s="101">
        <v>0</v>
      </c>
      <c r="AR262" s="101">
        <v>0</v>
      </c>
      <c r="AS262" s="101">
        <v>0</v>
      </c>
      <c r="AT262" s="101">
        <v>0</v>
      </c>
      <c r="AU262" s="101">
        <v>0</v>
      </c>
      <c r="AV262" s="101">
        <v>0</v>
      </c>
      <c r="AW262" s="101">
        <v>0</v>
      </c>
      <c r="AX262" s="101">
        <v>0</v>
      </c>
      <c r="AY262" s="101">
        <v>0</v>
      </c>
      <c r="AZ262" s="101">
        <f>534994+15000</f>
        <v>549994</v>
      </c>
      <c r="BA262" s="65">
        <f t="shared" si="677"/>
        <v>0</v>
      </c>
      <c r="BB262" s="65">
        <f t="shared" si="678"/>
        <v>0</v>
      </c>
      <c r="BC262" s="65">
        <v>0</v>
      </c>
      <c r="BD262" s="65">
        <v>0</v>
      </c>
      <c r="BE262" s="65">
        <v>0</v>
      </c>
      <c r="BF262" s="65">
        <f t="shared" si="679"/>
        <v>0</v>
      </c>
      <c r="BG262" s="65">
        <v>0</v>
      </c>
      <c r="BH262" s="65">
        <v>0</v>
      </c>
      <c r="BI262" s="65">
        <v>0</v>
      </c>
      <c r="BJ262" s="65">
        <v>0</v>
      </c>
      <c r="BK262" s="65">
        <v>0</v>
      </c>
      <c r="BL262" s="65">
        <f t="shared" si="609"/>
        <v>0</v>
      </c>
      <c r="BM262" s="65">
        <v>0</v>
      </c>
      <c r="BN262" s="65">
        <v>0</v>
      </c>
      <c r="BO262" s="65">
        <f t="shared" si="680"/>
        <v>0</v>
      </c>
      <c r="BP262" s="65">
        <v>0</v>
      </c>
      <c r="BQ262" s="65">
        <v>0</v>
      </c>
      <c r="BR262" s="65"/>
      <c r="BS262" s="65">
        <v>0</v>
      </c>
      <c r="BT262" s="65">
        <v>0</v>
      </c>
      <c r="BU262" s="65">
        <v>0</v>
      </c>
      <c r="BV262" s="65">
        <v>0</v>
      </c>
      <c r="BW262" s="65">
        <v>0</v>
      </c>
      <c r="BX262" s="65">
        <v>0</v>
      </c>
      <c r="BY262" s="65">
        <v>0</v>
      </c>
      <c r="BZ262" s="65">
        <v>0</v>
      </c>
      <c r="CA262" s="65">
        <f t="shared" si="681"/>
        <v>154000</v>
      </c>
      <c r="CB262" s="65">
        <f t="shared" si="682"/>
        <v>154000</v>
      </c>
      <c r="CC262" s="65">
        <f t="shared" si="613"/>
        <v>154000</v>
      </c>
      <c r="CD262" s="66">
        <v>0</v>
      </c>
      <c r="CE262" s="66">
        <v>154000</v>
      </c>
      <c r="CF262" s="65">
        <f t="shared" si="683"/>
        <v>0</v>
      </c>
      <c r="CG262" s="66">
        <v>0</v>
      </c>
      <c r="CH262" s="66">
        <v>0</v>
      </c>
      <c r="CI262" s="66">
        <v>0</v>
      </c>
      <c r="CJ262" s="66">
        <v>0</v>
      </c>
      <c r="CK262" s="65">
        <f t="shared" si="684"/>
        <v>0</v>
      </c>
      <c r="CL262" s="66"/>
      <c r="CM262" s="66">
        <v>0</v>
      </c>
      <c r="CN262" s="65">
        <v>0</v>
      </c>
      <c r="CO262" s="65"/>
      <c r="CP262" s="65"/>
      <c r="CQ262" s="65"/>
      <c r="CR262" s="65"/>
    </row>
    <row r="263" spans="1:198" ht="15.6" x14ac:dyDescent="0.3">
      <c r="A263" s="90" t="s">
        <v>1</v>
      </c>
      <c r="B263" s="19" t="s">
        <v>125</v>
      </c>
      <c r="C263" s="20" t="s">
        <v>495</v>
      </c>
      <c r="D263" s="18">
        <f t="shared" si="672"/>
        <v>2000092</v>
      </c>
      <c r="E263" s="18">
        <f t="shared" si="673"/>
        <v>1815092</v>
      </c>
      <c r="F263" s="18">
        <f t="shared" si="674"/>
        <v>1815092</v>
      </c>
      <c r="G263" s="21">
        <f>256000+92</f>
        <v>256092</v>
      </c>
      <c r="H263" s="21">
        <v>64000</v>
      </c>
      <c r="I263" s="18">
        <f t="shared" si="597"/>
        <v>730000</v>
      </c>
      <c r="J263" s="21">
        <v>0</v>
      </c>
      <c r="K263" s="21">
        <v>200000</v>
      </c>
      <c r="L263" s="21">
        <v>0</v>
      </c>
      <c r="M263" s="21">
        <v>0</v>
      </c>
      <c r="N263" s="21">
        <v>130000</v>
      </c>
      <c r="O263" s="21">
        <v>400000</v>
      </c>
      <c r="P263" s="18">
        <f t="shared" si="604"/>
        <v>10000</v>
      </c>
      <c r="Q263" s="21">
        <v>10000</v>
      </c>
      <c r="R263" s="21">
        <v>0</v>
      </c>
      <c r="S263" s="21">
        <v>0</v>
      </c>
      <c r="T263" s="21">
        <v>100000</v>
      </c>
      <c r="U263" s="18">
        <f t="shared" si="675"/>
        <v>10000</v>
      </c>
      <c r="V263" s="21">
        <v>10000</v>
      </c>
      <c r="W263" s="21">
        <v>0</v>
      </c>
      <c r="X263" s="21">
        <v>0</v>
      </c>
      <c r="Y263" s="21">
        <v>0</v>
      </c>
      <c r="Z263" s="21">
        <v>0</v>
      </c>
      <c r="AA263" s="21">
        <v>0</v>
      </c>
      <c r="AB263" s="21">
        <v>0</v>
      </c>
      <c r="AC263" s="21">
        <v>0</v>
      </c>
      <c r="AD263" s="21"/>
      <c r="AE263" s="18">
        <f t="shared" si="676"/>
        <v>645000</v>
      </c>
      <c r="AF263" s="22">
        <v>0</v>
      </c>
      <c r="AG263" s="22">
        <v>0</v>
      </c>
      <c r="AH263" s="45">
        <v>100000</v>
      </c>
      <c r="AI263" s="45">
        <v>130000</v>
      </c>
      <c r="AJ263" s="45">
        <v>0</v>
      </c>
      <c r="AK263" s="45">
        <v>0</v>
      </c>
      <c r="AL263" s="45">
        <v>0</v>
      </c>
      <c r="AM263" s="45">
        <v>0</v>
      </c>
      <c r="AN263" s="45">
        <v>0</v>
      </c>
      <c r="AO263" s="45">
        <v>15000</v>
      </c>
      <c r="AP263" s="45">
        <v>0</v>
      </c>
      <c r="AQ263" s="45">
        <v>0</v>
      </c>
      <c r="AR263" s="45">
        <v>0</v>
      </c>
      <c r="AS263" s="45">
        <v>0</v>
      </c>
      <c r="AT263" s="45">
        <v>0</v>
      </c>
      <c r="AU263" s="45">
        <v>0</v>
      </c>
      <c r="AV263" s="45">
        <v>0</v>
      </c>
      <c r="AW263" s="45">
        <v>0</v>
      </c>
      <c r="AX263" s="45">
        <v>0</v>
      </c>
      <c r="AY263" s="45">
        <v>0</v>
      </c>
      <c r="AZ263" s="45">
        <v>400000</v>
      </c>
      <c r="BA263" s="18">
        <f t="shared" si="677"/>
        <v>0</v>
      </c>
      <c r="BB263" s="18">
        <f t="shared" si="678"/>
        <v>0</v>
      </c>
      <c r="BC263" s="18">
        <v>0</v>
      </c>
      <c r="BD263" s="18">
        <v>0</v>
      </c>
      <c r="BE263" s="18">
        <v>0</v>
      </c>
      <c r="BF263" s="18">
        <f t="shared" si="679"/>
        <v>0</v>
      </c>
      <c r="BG263" s="18">
        <v>0</v>
      </c>
      <c r="BH263" s="18">
        <v>0</v>
      </c>
      <c r="BI263" s="18">
        <v>0</v>
      </c>
      <c r="BJ263" s="18">
        <v>0</v>
      </c>
      <c r="BK263" s="18">
        <v>0</v>
      </c>
      <c r="BL263" s="18">
        <f t="shared" si="609"/>
        <v>0</v>
      </c>
      <c r="BM263" s="18">
        <v>0</v>
      </c>
      <c r="BN263" s="18">
        <v>0</v>
      </c>
      <c r="BO263" s="18">
        <f t="shared" si="680"/>
        <v>0</v>
      </c>
      <c r="BP263" s="18">
        <v>0</v>
      </c>
      <c r="BQ263" s="18">
        <v>0</v>
      </c>
      <c r="BR263" s="18">
        <v>0</v>
      </c>
      <c r="BS263" s="18">
        <v>0</v>
      </c>
      <c r="BT263" s="18">
        <v>0</v>
      </c>
      <c r="BU263" s="18">
        <v>0</v>
      </c>
      <c r="BV263" s="18">
        <v>0</v>
      </c>
      <c r="BW263" s="18">
        <v>0</v>
      </c>
      <c r="BX263" s="18">
        <v>0</v>
      </c>
      <c r="BY263" s="18">
        <v>0</v>
      </c>
      <c r="BZ263" s="18">
        <v>0</v>
      </c>
      <c r="CA263" s="18">
        <f t="shared" si="681"/>
        <v>185000</v>
      </c>
      <c r="CB263" s="18">
        <f t="shared" si="682"/>
        <v>185000</v>
      </c>
      <c r="CC263" s="18">
        <f t="shared" si="613"/>
        <v>185000</v>
      </c>
      <c r="CD263" s="21">
        <v>0</v>
      </c>
      <c r="CE263" s="21">
        <v>185000</v>
      </c>
      <c r="CF263" s="18">
        <f t="shared" si="683"/>
        <v>0</v>
      </c>
      <c r="CG263" s="21">
        <v>0</v>
      </c>
      <c r="CH263" s="21">
        <v>0</v>
      </c>
      <c r="CI263" s="21">
        <v>0</v>
      </c>
      <c r="CJ263" s="21">
        <v>0</v>
      </c>
      <c r="CK263" s="18">
        <f t="shared" si="684"/>
        <v>0</v>
      </c>
      <c r="CL263" s="21">
        <v>0</v>
      </c>
      <c r="CM263" s="21">
        <v>0</v>
      </c>
      <c r="CN263" s="18">
        <v>0</v>
      </c>
      <c r="CO263" s="65"/>
      <c r="CP263" s="65"/>
      <c r="CQ263" s="65"/>
      <c r="CR263" s="65"/>
      <c r="CS263" s="46"/>
      <c r="GP263" s="68"/>
    </row>
    <row r="264" spans="1:198" s="68" customFormat="1" ht="15.6" x14ac:dyDescent="0.3">
      <c r="A264" s="92" t="s">
        <v>1</v>
      </c>
      <c r="B264" s="62" t="s">
        <v>127</v>
      </c>
      <c r="C264" s="63" t="s">
        <v>496</v>
      </c>
      <c r="D264" s="65">
        <f t="shared" si="672"/>
        <v>11356063</v>
      </c>
      <c r="E264" s="65">
        <f t="shared" si="673"/>
        <v>10529362</v>
      </c>
      <c r="F264" s="65">
        <f t="shared" si="674"/>
        <v>10529362</v>
      </c>
      <c r="G264" s="66">
        <v>777797</v>
      </c>
      <c r="H264" s="66">
        <v>168325</v>
      </c>
      <c r="I264" s="65">
        <f t="shared" si="597"/>
        <v>6417891</v>
      </c>
      <c r="J264" s="66">
        <f>12074+4000</f>
        <v>16074</v>
      </c>
      <c r="K264" s="66">
        <v>12500</v>
      </c>
      <c r="L264" s="66">
        <v>15000</v>
      </c>
      <c r="M264" s="66">
        <v>0</v>
      </c>
      <c r="N264" s="66">
        <f>1339548-139897-498000</f>
        <v>701651</v>
      </c>
      <c r="O264" s="66">
        <f>2232808+3439858</f>
        <v>5672666</v>
      </c>
      <c r="P264" s="65">
        <f t="shared" si="604"/>
        <v>0</v>
      </c>
      <c r="Q264" s="66">
        <v>0</v>
      </c>
      <c r="R264" s="66">
        <v>0</v>
      </c>
      <c r="S264" s="66">
        <v>0</v>
      </c>
      <c r="T264" s="66">
        <v>5400</v>
      </c>
      <c r="U264" s="65">
        <f t="shared" si="675"/>
        <v>893960</v>
      </c>
      <c r="V264" s="66">
        <f>110753+429799</f>
        <v>540552</v>
      </c>
      <c r="W264" s="66">
        <v>0</v>
      </c>
      <c r="X264" s="66">
        <f>69286+9693+77884</f>
        <v>156863</v>
      </c>
      <c r="Y264" s="66">
        <f>4497+27174</f>
        <v>31671</v>
      </c>
      <c r="Z264" s="66">
        <v>59359</v>
      </c>
      <c r="AA264" s="66">
        <v>0</v>
      </c>
      <c r="AB264" s="66">
        <v>0</v>
      </c>
      <c r="AC264" s="66">
        <f>70676+34839</f>
        <v>105515</v>
      </c>
      <c r="AD264" s="66"/>
      <c r="AE264" s="65">
        <f t="shared" si="676"/>
        <v>2265989</v>
      </c>
      <c r="AF264" s="67">
        <v>0</v>
      </c>
      <c r="AG264" s="67">
        <v>0</v>
      </c>
      <c r="AH264" s="101">
        <f>78562+20000</f>
        <v>98562</v>
      </c>
      <c r="AI264" s="101">
        <f>488487+181461+498000</f>
        <v>1167948</v>
      </c>
      <c r="AJ264" s="101">
        <v>0</v>
      </c>
      <c r="AK264" s="101">
        <v>16500</v>
      </c>
      <c r="AL264" s="101">
        <v>5700</v>
      </c>
      <c r="AM264" s="101">
        <v>0</v>
      </c>
      <c r="AN264" s="101">
        <v>16802</v>
      </c>
      <c r="AO264" s="101">
        <v>0</v>
      </c>
      <c r="AP264" s="101">
        <v>0</v>
      </c>
      <c r="AQ264" s="101">
        <v>0</v>
      </c>
      <c r="AR264" s="101">
        <v>0</v>
      </c>
      <c r="AS264" s="101">
        <v>0</v>
      </c>
      <c r="AT264" s="101">
        <v>0</v>
      </c>
      <c r="AU264" s="101">
        <v>0</v>
      </c>
      <c r="AV264" s="101">
        <v>0</v>
      </c>
      <c r="AW264" s="101">
        <v>3895</v>
      </c>
      <c r="AX264" s="101">
        <v>0</v>
      </c>
      <c r="AY264" s="101">
        <v>0</v>
      </c>
      <c r="AZ264" s="101">
        <v>956582</v>
      </c>
      <c r="BA264" s="65">
        <f t="shared" si="677"/>
        <v>0</v>
      </c>
      <c r="BB264" s="65">
        <f t="shared" si="678"/>
        <v>0</v>
      </c>
      <c r="BC264" s="65">
        <v>0</v>
      </c>
      <c r="BD264" s="65">
        <v>0</v>
      </c>
      <c r="BE264" s="65">
        <v>0</v>
      </c>
      <c r="BF264" s="65">
        <f t="shared" si="679"/>
        <v>0</v>
      </c>
      <c r="BG264" s="65">
        <v>0</v>
      </c>
      <c r="BH264" s="65">
        <v>0</v>
      </c>
      <c r="BI264" s="65">
        <v>0</v>
      </c>
      <c r="BJ264" s="65">
        <v>0</v>
      </c>
      <c r="BK264" s="65">
        <v>0</v>
      </c>
      <c r="BL264" s="65">
        <f t="shared" si="609"/>
        <v>0</v>
      </c>
      <c r="BM264" s="65">
        <v>0</v>
      </c>
      <c r="BN264" s="65">
        <v>0</v>
      </c>
      <c r="BO264" s="65">
        <f t="shared" si="680"/>
        <v>0</v>
      </c>
      <c r="BP264" s="65">
        <v>0</v>
      </c>
      <c r="BQ264" s="65">
        <v>0</v>
      </c>
      <c r="BR264" s="65">
        <v>0</v>
      </c>
      <c r="BS264" s="65">
        <v>0</v>
      </c>
      <c r="BT264" s="65">
        <v>0</v>
      </c>
      <c r="BU264" s="65">
        <v>0</v>
      </c>
      <c r="BV264" s="65">
        <v>0</v>
      </c>
      <c r="BW264" s="65">
        <v>0</v>
      </c>
      <c r="BX264" s="65">
        <v>0</v>
      </c>
      <c r="BY264" s="65">
        <v>0</v>
      </c>
      <c r="BZ264" s="65">
        <v>0</v>
      </c>
      <c r="CA264" s="65">
        <f t="shared" si="681"/>
        <v>826701</v>
      </c>
      <c r="CB264" s="65">
        <f t="shared" si="682"/>
        <v>826701</v>
      </c>
      <c r="CC264" s="65">
        <f t="shared" si="613"/>
        <v>659780</v>
      </c>
      <c r="CD264" s="66">
        <v>310560</v>
      </c>
      <c r="CE264" s="66">
        <v>349220</v>
      </c>
      <c r="CF264" s="65">
        <f t="shared" si="683"/>
        <v>0</v>
      </c>
      <c r="CG264" s="66">
        <v>0</v>
      </c>
      <c r="CH264" s="66">
        <v>0</v>
      </c>
      <c r="CI264" s="66">
        <v>0</v>
      </c>
      <c r="CJ264" s="66">
        <v>0</v>
      </c>
      <c r="CK264" s="65">
        <f t="shared" si="684"/>
        <v>166921</v>
      </c>
      <c r="CL264" s="66">
        <v>0</v>
      </c>
      <c r="CM264" s="66">
        <f>146920+20001</f>
        <v>166921</v>
      </c>
      <c r="CN264" s="65">
        <v>0</v>
      </c>
      <c r="CO264" s="65"/>
      <c r="CP264" s="65"/>
      <c r="CQ264" s="65"/>
      <c r="CR264" s="65"/>
      <c r="GP264" s="44"/>
    </row>
    <row r="265" spans="1:198" s="68" customFormat="1" ht="15.6" x14ac:dyDescent="0.3">
      <c r="A265" s="92" t="s">
        <v>1</v>
      </c>
      <c r="B265" s="62" t="s">
        <v>64</v>
      </c>
      <c r="C265" s="63" t="s">
        <v>497</v>
      </c>
      <c r="D265" s="65">
        <f t="shared" si="672"/>
        <v>42054</v>
      </c>
      <c r="E265" s="65">
        <f t="shared" si="673"/>
        <v>34980</v>
      </c>
      <c r="F265" s="65">
        <f t="shared" si="674"/>
        <v>34980</v>
      </c>
      <c r="G265" s="66">
        <v>3537</v>
      </c>
      <c r="H265" s="66">
        <v>884</v>
      </c>
      <c r="I265" s="65">
        <f t="shared" si="597"/>
        <v>20683</v>
      </c>
      <c r="J265" s="66">
        <f>2476+6686</f>
        <v>9162</v>
      </c>
      <c r="K265" s="66">
        <v>531</v>
      </c>
      <c r="L265" s="66">
        <v>0</v>
      </c>
      <c r="M265" s="66">
        <v>0</v>
      </c>
      <c r="N265" s="66">
        <v>0</v>
      </c>
      <c r="O265" s="66">
        <f>11317-327</f>
        <v>10990</v>
      </c>
      <c r="P265" s="65">
        <f t="shared" si="604"/>
        <v>0</v>
      </c>
      <c r="Q265" s="66">
        <v>0</v>
      </c>
      <c r="R265" s="66">
        <v>0</v>
      </c>
      <c r="S265" s="66">
        <v>0</v>
      </c>
      <c r="T265" s="66">
        <v>0</v>
      </c>
      <c r="U265" s="65">
        <f t="shared" si="675"/>
        <v>1745</v>
      </c>
      <c r="V265" s="66">
        <v>0</v>
      </c>
      <c r="W265" s="66">
        <v>0</v>
      </c>
      <c r="X265" s="66">
        <v>0</v>
      </c>
      <c r="Y265" s="66">
        <f>1418+327</f>
        <v>1745</v>
      </c>
      <c r="Z265" s="66">
        <v>0</v>
      </c>
      <c r="AA265" s="66">
        <v>0</v>
      </c>
      <c r="AB265" s="66">
        <v>0</v>
      </c>
      <c r="AC265" s="66">
        <v>0</v>
      </c>
      <c r="AD265" s="66"/>
      <c r="AE265" s="65">
        <f t="shared" si="676"/>
        <v>8131</v>
      </c>
      <c r="AF265" s="67">
        <v>0</v>
      </c>
      <c r="AG265" s="67">
        <v>0</v>
      </c>
      <c r="AH265" s="101">
        <v>707</v>
      </c>
      <c r="AI265" s="101">
        <v>0</v>
      </c>
      <c r="AJ265" s="101">
        <v>0</v>
      </c>
      <c r="AK265" s="101">
        <v>350</v>
      </c>
      <c r="AL265" s="101">
        <v>0</v>
      </c>
      <c r="AM265" s="101">
        <v>0</v>
      </c>
      <c r="AN265" s="101">
        <v>0</v>
      </c>
      <c r="AO265" s="101">
        <v>0</v>
      </c>
      <c r="AP265" s="101">
        <v>0</v>
      </c>
      <c r="AQ265" s="101">
        <v>0</v>
      </c>
      <c r="AR265" s="101">
        <v>0</v>
      </c>
      <c r="AS265" s="101">
        <v>0</v>
      </c>
      <c r="AT265" s="101">
        <v>0</v>
      </c>
      <c r="AU265" s="101">
        <v>0</v>
      </c>
      <c r="AV265" s="101">
        <v>0</v>
      </c>
      <c r="AW265" s="101">
        <v>0</v>
      </c>
      <c r="AX265" s="101">
        <v>0</v>
      </c>
      <c r="AY265" s="101">
        <v>0</v>
      </c>
      <c r="AZ265" s="101">
        <v>7074</v>
      </c>
      <c r="BA265" s="65">
        <f t="shared" si="677"/>
        <v>0</v>
      </c>
      <c r="BB265" s="65">
        <f t="shared" si="678"/>
        <v>0</v>
      </c>
      <c r="BC265" s="65">
        <v>0</v>
      </c>
      <c r="BD265" s="65">
        <v>0</v>
      </c>
      <c r="BE265" s="65">
        <v>0</v>
      </c>
      <c r="BF265" s="65">
        <f t="shared" si="679"/>
        <v>0</v>
      </c>
      <c r="BG265" s="65">
        <v>0</v>
      </c>
      <c r="BH265" s="65">
        <v>0</v>
      </c>
      <c r="BI265" s="65">
        <v>0</v>
      </c>
      <c r="BJ265" s="65">
        <v>0</v>
      </c>
      <c r="BK265" s="65">
        <v>0</v>
      </c>
      <c r="BL265" s="65">
        <f t="shared" si="609"/>
        <v>0</v>
      </c>
      <c r="BM265" s="65">
        <v>0</v>
      </c>
      <c r="BN265" s="65">
        <v>0</v>
      </c>
      <c r="BO265" s="65">
        <f t="shared" si="680"/>
        <v>0</v>
      </c>
      <c r="BP265" s="65">
        <v>0</v>
      </c>
      <c r="BQ265" s="65">
        <v>0</v>
      </c>
      <c r="BR265" s="65">
        <v>0</v>
      </c>
      <c r="BS265" s="65">
        <v>0</v>
      </c>
      <c r="BT265" s="65">
        <v>0</v>
      </c>
      <c r="BU265" s="65">
        <v>0</v>
      </c>
      <c r="BV265" s="65">
        <v>0</v>
      </c>
      <c r="BW265" s="65">
        <v>0</v>
      </c>
      <c r="BX265" s="65">
        <v>0</v>
      </c>
      <c r="BY265" s="65">
        <v>0</v>
      </c>
      <c r="BZ265" s="65">
        <v>0</v>
      </c>
      <c r="CA265" s="65">
        <f t="shared" si="681"/>
        <v>7074</v>
      </c>
      <c r="CB265" s="65">
        <f t="shared" si="682"/>
        <v>7074</v>
      </c>
      <c r="CC265" s="65">
        <f t="shared" si="613"/>
        <v>7074</v>
      </c>
      <c r="CD265" s="66">
        <v>0</v>
      </c>
      <c r="CE265" s="66">
        <v>7074</v>
      </c>
      <c r="CF265" s="65">
        <f t="shared" si="683"/>
        <v>0</v>
      </c>
      <c r="CG265" s="66">
        <v>0</v>
      </c>
      <c r="CH265" s="66">
        <v>0</v>
      </c>
      <c r="CI265" s="66">
        <v>0</v>
      </c>
      <c r="CJ265" s="66">
        <v>0</v>
      </c>
      <c r="CK265" s="65">
        <f t="shared" si="684"/>
        <v>0</v>
      </c>
      <c r="CL265" s="66">
        <v>0</v>
      </c>
      <c r="CM265" s="66">
        <v>0</v>
      </c>
      <c r="CN265" s="65">
        <v>0</v>
      </c>
      <c r="CO265" s="65"/>
      <c r="CP265" s="65"/>
      <c r="CQ265" s="65"/>
      <c r="CR265" s="65"/>
    </row>
    <row r="266" spans="1:198" s="68" customFormat="1" ht="15.6" x14ac:dyDescent="0.3">
      <c r="A266" s="92" t="s">
        <v>1</v>
      </c>
      <c r="B266" s="62" t="s">
        <v>66</v>
      </c>
      <c r="C266" s="63" t="s">
        <v>498</v>
      </c>
      <c r="D266" s="65">
        <f t="shared" si="672"/>
        <v>610135</v>
      </c>
      <c r="E266" s="65">
        <f t="shared" si="673"/>
        <v>544635</v>
      </c>
      <c r="F266" s="65">
        <f t="shared" si="674"/>
        <v>544635</v>
      </c>
      <c r="G266" s="66">
        <f>55384+5000</f>
        <v>60384</v>
      </c>
      <c r="H266" s="66">
        <f>13846+2000</f>
        <v>15846</v>
      </c>
      <c r="I266" s="65">
        <f t="shared" si="597"/>
        <v>103180</v>
      </c>
      <c r="J266" s="66">
        <v>2200</v>
      </c>
      <c r="K266" s="66">
        <v>0</v>
      </c>
      <c r="L266" s="66">
        <v>0</v>
      </c>
      <c r="M266" s="66">
        <v>0</v>
      </c>
      <c r="N266" s="66">
        <v>10500</v>
      </c>
      <c r="O266" s="66">
        <f>96380-5900</f>
        <v>90480</v>
      </c>
      <c r="P266" s="65">
        <f t="shared" si="604"/>
        <v>0</v>
      </c>
      <c r="Q266" s="66">
        <v>0</v>
      </c>
      <c r="R266" s="66">
        <v>0</v>
      </c>
      <c r="S266" s="66">
        <f>3000-2333</f>
        <v>667</v>
      </c>
      <c r="T266" s="66">
        <v>2500</v>
      </c>
      <c r="U266" s="65">
        <f t="shared" si="675"/>
        <v>307466</v>
      </c>
      <c r="V266" s="66">
        <v>1871</v>
      </c>
      <c r="W266" s="66">
        <v>144184</v>
      </c>
      <c r="X266" s="66">
        <f>67902+5000+8233</f>
        <v>81135</v>
      </c>
      <c r="Y266" s="66">
        <f>54456+5000</f>
        <v>59456</v>
      </c>
      <c r="Z266" s="66">
        <f>7927+2000</f>
        <v>9927</v>
      </c>
      <c r="AA266" s="66">
        <v>9600</v>
      </c>
      <c r="AB266" s="66">
        <v>0</v>
      </c>
      <c r="AC266" s="66">
        <f>693+600</f>
        <v>1293</v>
      </c>
      <c r="AD266" s="66"/>
      <c r="AE266" s="65">
        <f t="shared" si="676"/>
        <v>54592</v>
      </c>
      <c r="AF266" s="67">
        <v>0</v>
      </c>
      <c r="AG266" s="67">
        <v>0</v>
      </c>
      <c r="AH266" s="101">
        <v>0</v>
      </c>
      <c r="AI266" s="101">
        <v>11572</v>
      </c>
      <c r="AJ266" s="101">
        <v>2440</v>
      </c>
      <c r="AK266" s="101">
        <v>7500</v>
      </c>
      <c r="AL266" s="101">
        <v>0</v>
      </c>
      <c r="AM266" s="101">
        <v>1620</v>
      </c>
      <c r="AN266" s="101">
        <v>12250</v>
      </c>
      <c r="AO266" s="101">
        <v>0</v>
      </c>
      <c r="AP266" s="101">
        <v>0</v>
      </c>
      <c r="AQ266" s="101">
        <v>0</v>
      </c>
      <c r="AR266" s="101">
        <v>0</v>
      </c>
      <c r="AS266" s="101">
        <v>14150</v>
      </c>
      <c r="AT266" s="101">
        <v>0</v>
      </c>
      <c r="AU266" s="101">
        <v>0</v>
      </c>
      <c r="AV266" s="101">
        <v>0</v>
      </c>
      <c r="AW266" s="101">
        <v>0</v>
      </c>
      <c r="AX266" s="101">
        <v>0</v>
      </c>
      <c r="AY266" s="101">
        <v>0</v>
      </c>
      <c r="AZ266" s="101">
        <v>5060</v>
      </c>
      <c r="BA266" s="65">
        <f t="shared" si="677"/>
        <v>0</v>
      </c>
      <c r="BB266" s="65">
        <f t="shared" si="678"/>
        <v>0</v>
      </c>
      <c r="BC266" s="65">
        <v>0</v>
      </c>
      <c r="BD266" s="65">
        <v>0</v>
      </c>
      <c r="BE266" s="65">
        <v>0</v>
      </c>
      <c r="BF266" s="65">
        <f t="shared" si="679"/>
        <v>0</v>
      </c>
      <c r="BG266" s="65">
        <v>0</v>
      </c>
      <c r="BH266" s="65">
        <v>0</v>
      </c>
      <c r="BI266" s="65">
        <v>0</v>
      </c>
      <c r="BJ266" s="65">
        <v>0</v>
      </c>
      <c r="BK266" s="65">
        <v>0</v>
      </c>
      <c r="BL266" s="65">
        <f t="shared" si="609"/>
        <v>0</v>
      </c>
      <c r="BM266" s="65">
        <v>0</v>
      </c>
      <c r="BN266" s="65">
        <v>0</v>
      </c>
      <c r="BO266" s="65">
        <f t="shared" si="680"/>
        <v>0</v>
      </c>
      <c r="BP266" s="65">
        <v>0</v>
      </c>
      <c r="BQ266" s="65">
        <v>0</v>
      </c>
      <c r="BR266" s="65">
        <v>0</v>
      </c>
      <c r="BS266" s="65">
        <v>0</v>
      </c>
      <c r="BT266" s="65">
        <v>0</v>
      </c>
      <c r="BU266" s="65">
        <v>0</v>
      </c>
      <c r="BV266" s="65">
        <v>0</v>
      </c>
      <c r="BW266" s="65">
        <v>0</v>
      </c>
      <c r="BX266" s="65">
        <v>0</v>
      </c>
      <c r="BY266" s="65">
        <v>0</v>
      </c>
      <c r="BZ266" s="65">
        <v>0</v>
      </c>
      <c r="CA266" s="65">
        <f t="shared" si="681"/>
        <v>65500</v>
      </c>
      <c r="CB266" s="65">
        <f t="shared" si="682"/>
        <v>65500</v>
      </c>
      <c r="CC266" s="65">
        <f t="shared" si="613"/>
        <v>65500</v>
      </c>
      <c r="CD266" s="66">
        <v>0</v>
      </c>
      <c r="CE266" s="66">
        <v>65500</v>
      </c>
      <c r="CF266" s="65">
        <f t="shared" si="683"/>
        <v>0</v>
      </c>
      <c r="CG266" s="66">
        <v>0</v>
      </c>
      <c r="CH266" s="66">
        <v>0</v>
      </c>
      <c r="CI266" s="66">
        <v>0</v>
      </c>
      <c r="CJ266" s="66">
        <v>0</v>
      </c>
      <c r="CK266" s="65">
        <f t="shared" si="684"/>
        <v>0</v>
      </c>
      <c r="CL266" s="66">
        <v>0</v>
      </c>
      <c r="CM266" s="66">
        <v>0</v>
      </c>
      <c r="CN266" s="65">
        <v>0</v>
      </c>
      <c r="CO266" s="65"/>
      <c r="CP266" s="65"/>
      <c r="CQ266" s="65"/>
      <c r="CR266" s="65"/>
    </row>
    <row r="267" spans="1:198" s="68" customFormat="1" ht="31.2" x14ac:dyDescent="0.3">
      <c r="A267" s="92" t="s">
        <v>1</v>
      </c>
      <c r="B267" s="62" t="s">
        <v>66</v>
      </c>
      <c r="C267" s="63" t="s">
        <v>598</v>
      </c>
      <c r="D267" s="65">
        <f t="shared" si="672"/>
        <v>1430515</v>
      </c>
      <c r="E267" s="65">
        <f t="shared" si="673"/>
        <v>1396515</v>
      </c>
      <c r="F267" s="65">
        <f t="shared" si="674"/>
        <v>1396515</v>
      </c>
      <c r="G267" s="66">
        <f>223543+35236+45000</f>
        <v>303779</v>
      </c>
      <c r="H267" s="66">
        <f>55886+8809+11250</f>
        <v>75945</v>
      </c>
      <c r="I267" s="65">
        <f t="shared" si="597"/>
        <v>391983</v>
      </c>
      <c r="J267" s="66">
        <v>1000</v>
      </c>
      <c r="K267" s="66">
        <v>19250</v>
      </c>
      <c r="L267" s="66">
        <v>0</v>
      </c>
      <c r="M267" s="66">
        <v>0</v>
      </c>
      <c r="N267" s="66">
        <v>130615</v>
      </c>
      <c r="O267" s="66">
        <f>147368+93750</f>
        <v>241118</v>
      </c>
      <c r="P267" s="65">
        <f t="shared" si="604"/>
        <v>0</v>
      </c>
      <c r="Q267" s="66">
        <v>0</v>
      </c>
      <c r="R267" s="66">
        <v>0</v>
      </c>
      <c r="S267" s="66">
        <v>0</v>
      </c>
      <c r="T267" s="66">
        <f>14352+66070-66070</f>
        <v>14352</v>
      </c>
      <c r="U267" s="65">
        <f t="shared" si="675"/>
        <v>154127</v>
      </c>
      <c r="V267" s="66">
        <v>64373</v>
      </c>
      <c r="W267" s="66">
        <f>10266+30000-2893</f>
        <v>37373</v>
      </c>
      <c r="X267" s="66">
        <f>4479+36070</f>
        <v>40549</v>
      </c>
      <c r="Y267" s="66">
        <f>1370+2893</f>
        <v>4263</v>
      </c>
      <c r="Z267" s="66">
        <v>7569</v>
      </c>
      <c r="AA267" s="66">
        <v>0</v>
      </c>
      <c r="AB267" s="66">
        <v>0</v>
      </c>
      <c r="AC267" s="66">
        <v>0</v>
      </c>
      <c r="AD267" s="66"/>
      <c r="AE267" s="65">
        <f t="shared" si="676"/>
        <v>456329</v>
      </c>
      <c r="AF267" s="67">
        <v>0</v>
      </c>
      <c r="AG267" s="67">
        <v>0</v>
      </c>
      <c r="AH267" s="66">
        <v>33169</v>
      </c>
      <c r="AI267" s="66">
        <v>82250</v>
      </c>
      <c r="AJ267" s="66">
        <v>0</v>
      </c>
      <c r="AK267" s="66">
        <v>3600</v>
      </c>
      <c r="AL267" s="66">
        <v>0</v>
      </c>
      <c r="AM267" s="66">
        <v>2757</v>
      </c>
      <c r="AN267" s="66">
        <v>60000</v>
      </c>
      <c r="AO267" s="66">
        <v>0</v>
      </c>
      <c r="AP267" s="66">
        <v>0</v>
      </c>
      <c r="AQ267" s="66">
        <v>0</v>
      </c>
      <c r="AR267" s="66">
        <v>0</v>
      </c>
      <c r="AS267" s="66">
        <v>0</v>
      </c>
      <c r="AT267" s="66">
        <v>0</v>
      </c>
      <c r="AU267" s="66">
        <v>0</v>
      </c>
      <c r="AV267" s="66">
        <v>0</v>
      </c>
      <c r="AW267" s="66">
        <v>0</v>
      </c>
      <c r="AX267" s="66">
        <f>78163+50000</f>
        <v>128163</v>
      </c>
      <c r="AY267" s="66">
        <v>0</v>
      </c>
      <c r="AZ267" s="66">
        <f>96390+50000</f>
        <v>146390</v>
      </c>
      <c r="BA267" s="65">
        <f t="shared" si="677"/>
        <v>0</v>
      </c>
      <c r="BB267" s="65">
        <f t="shared" si="678"/>
        <v>0</v>
      </c>
      <c r="BC267" s="65">
        <v>0</v>
      </c>
      <c r="BD267" s="65">
        <v>0</v>
      </c>
      <c r="BE267" s="65">
        <v>0</v>
      </c>
      <c r="BF267" s="65">
        <f t="shared" si="679"/>
        <v>0</v>
      </c>
      <c r="BG267" s="65">
        <v>0</v>
      </c>
      <c r="BH267" s="65">
        <v>0</v>
      </c>
      <c r="BI267" s="65">
        <v>0</v>
      </c>
      <c r="BJ267" s="65">
        <v>0</v>
      </c>
      <c r="BK267" s="65">
        <v>0</v>
      </c>
      <c r="BL267" s="65">
        <f t="shared" si="609"/>
        <v>0</v>
      </c>
      <c r="BM267" s="65">
        <v>0</v>
      </c>
      <c r="BN267" s="65">
        <v>0</v>
      </c>
      <c r="BO267" s="65">
        <f t="shared" si="680"/>
        <v>0</v>
      </c>
      <c r="BP267" s="65">
        <v>0</v>
      </c>
      <c r="BQ267" s="65">
        <v>0</v>
      </c>
      <c r="BR267" s="65">
        <v>0</v>
      </c>
      <c r="BS267" s="65">
        <v>0</v>
      </c>
      <c r="BT267" s="65">
        <v>0</v>
      </c>
      <c r="BU267" s="65">
        <v>0</v>
      </c>
      <c r="BV267" s="65">
        <v>0</v>
      </c>
      <c r="BW267" s="65">
        <v>0</v>
      </c>
      <c r="BX267" s="65">
        <v>0</v>
      </c>
      <c r="BY267" s="65">
        <v>0</v>
      </c>
      <c r="BZ267" s="65">
        <v>0</v>
      </c>
      <c r="CA267" s="65">
        <f t="shared" si="681"/>
        <v>34000</v>
      </c>
      <c r="CB267" s="65">
        <f t="shared" si="682"/>
        <v>34000</v>
      </c>
      <c r="CC267" s="65">
        <f t="shared" si="613"/>
        <v>34000</v>
      </c>
      <c r="CD267" s="67"/>
      <c r="CE267" s="66">
        <v>34000</v>
      </c>
      <c r="CF267" s="65">
        <f t="shared" si="683"/>
        <v>0</v>
      </c>
      <c r="CG267" s="65">
        <v>0</v>
      </c>
      <c r="CH267" s="65">
        <v>0</v>
      </c>
      <c r="CI267" s="65">
        <v>0</v>
      </c>
      <c r="CJ267" s="65">
        <v>0</v>
      </c>
      <c r="CK267" s="65">
        <f t="shared" si="684"/>
        <v>0</v>
      </c>
      <c r="CL267" s="67"/>
      <c r="CM267" s="65">
        <v>0</v>
      </c>
      <c r="CN267" s="65">
        <v>0</v>
      </c>
      <c r="CO267" s="65"/>
      <c r="CP267" s="65"/>
      <c r="CQ267" s="65"/>
      <c r="CR267" s="65"/>
      <c r="GP267" s="44"/>
    </row>
    <row r="268" spans="1:198" s="68" customFormat="1" ht="15.6" x14ac:dyDescent="0.3">
      <c r="A268" s="92" t="s">
        <v>1</v>
      </c>
      <c r="B268" s="62" t="s">
        <v>66</v>
      </c>
      <c r="C268" s="63" t="s">
        <v>564</v>
      </c>
      <c r="D268" s="65">
        <f t="shared" si="672"/>
        <v>1925000</v>
      </c>
      <c r="E268" s="65">
        <f t="shared" si="673"/>
        <v>1727134</v>
      </c>
      <c r="F268" s="65">
        <f t="shared" si="674"/>
        <v>1727134</v>
      </c>
      <c r="G268" s="66">
        <f>258720+100000</f>
        <v>358720</v>
      </c>
      <c r="H268" s="66">
        <f>64680+25000</f>
        <v>89680</v>
      </c>
      <c r="I268" s="65">
        <f t="shared" si="597"/>
        <v>165640</v>
      </c>
      <c r="J268" s="66">
        <v>0</v>
      </c>
      <c r="K268" s="66">
        <v>0</v>
      </c>
      <c r="L268" s="66">
        <v>0</v>
      </c>
      <c r="M268" s="66">
        <v>0</v>
      </c>
      <c r="N268" s="66">
        <v>106068</v>
      </c>
      <c r="O268" s="66">
        <v>59572</v>
      </c>
      <c r="P268" s="65">
        <f t="shared" si="604"/>
        <v>73750</v>
      </c>
      <c r="Q268" s="66">
        <v>1000</v>
      </c>
      <c r="R268" s="66">
        <v>72750</v>
      </c>
      <c r="S268" s="66">
        <v>0</v>
      </c>
      <c r="T268" s="66">
        <v>31277</v>
      </c>
      <c r="U268" s="65">
        <f t="shared" si="675"/>
        <v>289613</v>
      </c>
      <c r="V268" s="66">
        <v>43582</v>
      </c>
      <c r="W268" s="66">
        <f>2368+707</f>
        <v>3075</v>
      </c>
      <c r="X268" s="66">
        <f>66942+80000</f>
        <v>146942</v>
      </c>
      <c r="Y268" s="66">
        <f>13860+4140</f>
        <v>18000</v>
      </c>
      <c r="Z268" s="66">
        <v>4414</v>
      </c>
      <c r="AA268" s="66">
        <v>0</v>
      </c>
      <c r="AB268" s="66">
        <v>0</v>
      </c>
      <c r="AC268" s="66">
        <f>24723+48877</f>
        <v>73600</v>
      </c>
      <c r="AD268" s="66"/>
      <c r="AE268" s="65">
        <f t="shared" si="676"/>
        <v>718454</v>
      </c>
      <c r="AF268" s="67">
        <v>0</v>
      </c>
      <c r="AG268" s="67">
        <v>0</v>
      </c>
      <c r="AH268" s="66">
        <v>55355</v>
      </c>
      <c r="AI268" s="66">
        <f>160000+66276</f>
        <v>226276</v>
      </c>
      <c r="AJ268" s="66">
        <v>0</v>
      </c>
      <c r="AK268" s="66">
        <v>1591</v>
      </c>
      <c r="AL268" s="66">
        <v>0</v>
      </c>
      <c r="AM268" s="66">
        <v>2587</v>
      </c>
      <c r="AN268" s="66">
        <v>3000</v>
      </c>
      <c r="AO268" s="66">
        <v>0</v>
      </c>
      <c r="AP268" s="66">
        <v>0</v>
      </c>
      <c r="AQ268" s="66">
        <v>0</v>
      </c>
      <c r="AR268" s="66">
        <v>0</v>
      </c>
      <c r="AS268" s="66">
        <v>0</v>
      </c>
      <c r="AT268" s="66">
        <v>0</v>
      </c>
      <c r="AU268" s="66">
        <v>0</v>
      </c>
      <c r="AV268" s="66">
        <v>0</v>
      </c>
      <c r="AW268" s="66">
        <v>0</v>
      </c>
      <c r="AX268" s="66">
        <v>109800</v>
      </c>
      <c r="AY268" s="66">
        <v>0</v>
      </c>
      <c r="AZ268" s="66">
        <v>319845</v>
      </c>
      <c r="BA268" s="65">
        <f t="shared" si="677"/>
        <v>0</v>
      </c>
      <c r="BB268" s="65">
        <f t="shared" si="678"/>
        <v>0</v>
      </c>
      <c r="BC268" s="65">
        <v>0</v>
      </c>
      <c r="BD268" s="65">
        <v>0</v>
      </c>
      <c r="BE268" s="65">
        <v>0</v>
      </c>
      <c r="BF268" s="65">
        <f t="shared" si="679"/>
        <v>0</v>
      </c>
      <c r="BG268" s="65">
        <v>0</v>
      </c>
      <c r="BH268" s="65">
        <v>0</v>
      </c>
      <c r="BI268" s="65">
        <v>0</v>
      </c>
      <c r="BJ268" s="65">
        <v>0</v>
      </c>
      <c r="BK268" s="65">
        <v>0</v>
      </c>
      <c r="BL268" s="65">
        <f t="shared" si="609"/>
        <v>0</v>
      </c>
      <c r="BM268" s="65">
        <v>0</v>
      </c>
      <c r="BN268" s="65">
        <v>0</v>
      </c>
      <c r="BO268" s="65">
        <f t="shared" si="680"/>
        <v>0</v>
      </c>
      <c r="BP268" s="65">
        <v>0</v>
      </c>
      <c r="BQ268" s="65">
        <v>0</v>
      </c>
      <c r="BR268" s="65">
        <v>0</v>
      </c>
      <c r="BS268" s="65">
        <v>0</v>
      </c>
      <c r="BT268" s="65">
        <v>0</v>
      </c>
      <c r="BU268" s="65">
        <v>0</v>
      </c>
      <c r="BV268" s="65">
        <v>0</v>
      </c>
      <c r="BW268" s="65">
        <v>0</v>
      </c>
      <c r="BX268" s="65">
        <v>0</v>
      </c>
      <c r="BY268" s="65">
        <v>0</v>
      </c>
      <c r="BZ268" s="65">
        <v>0</v>
      </c>
      <c r="CA268" s="65">
        <f t="shared" si="681"/>
        <v>197866</v>
      </c>
      <c r="CB268" s="65">
        <f t="shared" si="682"/>
        <v>197866</v>
      </c>
      <c r="CC268" s="65">
        <f t="shared" si="613"/>
        <v>197866</v>
      </c>
      <c r="CD268" s="67"/>
      <c r="CE268" s="66">
        <v>197866</v>
      </c>
      <c r="CF268" s="65">
        <f t="shared" si="683"/>
        <v>0</v>
      </c>
      <c r="CG268" s="65">
        <v>0</v>
      </c>
      <c r="CH268" s="65">
        <v>0</v>
      </c>
      <c r="CI268" s="65">
        <v>0</v>
      </c>
      <c r="CJ268" s="65">
        <v>0</v>
      </c>
      <c r="CK268" s="65">
        <f t="shared" si="684"/>
        <v>0</v>
      </c>
      <c r="CL268" s="67"/>
      <c r="CM268" s="65">
        <v>0</v>
      </c>
      <c r="CN268" s="65">
        <v>0</v>
      </c>
      <c r="CO268" s="65"/>
      <c r="CP268" s="65"/>
      <c r="CQ268" s="65"/>
      <c r="CR268" s="65"/>
    </row>
    <row r="269" spans="1:198" ht="31.2" x14ac:dyDescent="0.3">
      <c r="A269" s="92" t="s">
        <v>1</v>
      </c>
      <c r="B269" s="62" t="s">
        <v>68</v>
      </c>
      <c r="C269" s="63" t="s">
        <v>332</v>
      </c>
      <c r="D269" s="65">
        <f t="shared" si="672"/>
        <v>825000</v>
      </c>
      <c r="E269" s="65">
        <f t="shared" si="673"/>
        <v>625000</v>
      </c>
      <c r="F269" s="65">
        <f t="shared" si="674"/>
        <v>625000</v>
      </c>
      <c r="G269" s="66">
        <v>174008</v>
      </c>
      <c r="H269" s="66">
        <v>41777</v>
      </c>
      <c r="I269" s="65">
        <f t="shared" si="597"/>
        <v>195200</v>
      </c>
      <c r="J269" s="66">
        <v>0</v>
      </c>
      <c r="K269" s="66">
        <v>0</v>
      </c>
      <c r="L269" s="66">
        <v>0</v>
      </c>
      <c r="M269" s="66">
        <v>0</v>
      </c>
      <c r="N269" s="66">
        <v>18000</v>
      </c>
      <c r="O269" s="66">
        <v>177200</v>
      </c>
      <c r="P269" s="65">
        <f t="shared" si="604"/>
        <v>1000</v>
      </c>
      <c r="Q269" s="66">
        <v>1000</v>
      </c>
      <c r="R269" s="66">
        <v>0</v>
      </c>
      <c r="S269" s="66">
        <v>0</v>
      </c>
      <c r="T269" s="66">
        <v>9000</v>
      </c>
      <c r="U269" s="65">
        <f t="shared" si="675"/>
        <v>76615</v>
      </c>
      <c r="V269" s="66">
        <f>51615+25000</f>
        <v>76615</v>
      </c>
      <c r="W269" s="66">
        <v>0</v>
      </c>
      <c r="X269" s="66">
        <v>0</v>
      </c>
      <c r="Y269" s="66">
        <v>0</v>
      </c>
      <c r="Z269" s="66">
        <v>0</v>
      </c>
      <c r="AA269" s="66">
        <v>0</v>
      </c>
      <c r="AB269" s="66">
        <v>0</v>
      </c>
      <c r="AC269" s="66">
        <v>0</v>
      </c>
      <c r="AD269" s="66"/>
      <c r="AE269" s="65">
        <f t="shared" si="676"/>
        <v>127400</v>
      </c>
      <c r="AF269" s="67">
        <v>0</v>
      </c>
      <c r="AG269" s="67">
        <v>0</v>
      </c>
      <c r="AH269" s="66">
        <v>20000</v>
      </c>
      <c r="AI269" s="66">
        <v>51000</v>
      </c>
      <c r="AJ269" s="66">
        <v>0</v>
      </c>
      <c r="AK269" s="66">
        <v>400</v>
      </c>
      <c r="AL269" s="66">
        <v>0</v>
      </c>
      <c r="AM269" s="66">
        <v>1000</v>
      </c>
      <c r="AN269" s="66">
        <v>25000</v>
      </c>
      <c r="AO269" s="66">
        <v>0</v>
      </c>
      <c r="AP269" s="66">
        <v>0</v>
      </c>
      <c r="AQ269" s="66">
        <v>0</v>
      </c>
      <c r="AR269" s="66">
        <v>0</v>
      </c>
      <c r="AS269" s="66">
        <v>0</v>
      </c>
      <c r="AT269" s="66">
        <v>0</v>
      </c>
      <c r="AU269" s="66">
        <v>0</v>
      </c>
      <c r="AV269" s="66">
        <v>0</v>
      </c>
      <c r="AW269" s="66">
        <v>0</v>
      </c>
      <c r="AX269" s="66">
        <v>0</v>
      </c>
      <c r="AY269" s="66">
        <v>0</v>
      </c>
      <c r="AZ269" s="66">
        <v>30000</v>
      </c>
      <c r="BA269" s="65">
        <f t="shared" si="677"/>
        <v>0</v>
      </c>
      <c r="BB269" s="65">
        <f t="shared" si="678"/>
        <v>0</v>
      </c>
      <c r="BC269" s="65">
        <v>0</v>
      </c>
      <c r="BD269" s="65">
        <v>0</v>
      </c>
      <c r="BE269" s="65">
        <v>0</v>
      </c>
      <c r="BF269" s="65">
        <f t="shared" si="679"/>
        <v>0</v>
      </c>
      <c r="BG269" s="65">
        <v>0</v>
      </c>
      <c r="BH269" s="65">
        <v>0</v>
      </c>
      <c r="BI269" s="65">
        <v>0</v>
      </c>
      <c r="BJ269" s="65">
        <v>0</v>
      </c>
      <c r="BK269" s="65">
        <v>0</v>
      </c>
      <c r="BL269" s="65">
        <f t="shared" si="609"/>
        <v>0</v>
      </c>
      <c r="BM269" s="65">
        <v>0</v>
      </c>
      <c r="BN269" s="65">
        <v>0</v>
      </c>
      <c r="BO269" s="65">
        <f t="shared" si="680"/>
        <v>0</v>
      </c>
      <c r="BP269" s="65">
        <v>0</v>
      </c>
      <c r="BQ269" s="65">
        <v>0</v>
      </c>
      <c r="BR269" s="65">
        <v>0</v>
      </c>
      <c r="BS269" s="65">
        <v>0</v>
      </c>
      <c r="BT269" s="65">
        <v>0</v>
      </c>
      <c r="BU269" s="65">
        <v>0</v>
      </c>
      <c r="BV269" s="65">
        <v>0</v>
      </c>
      <c r="BW269" s="65">
        <v>0</v>
      </c>
      <c r="BX269" s="65">
        <v>0</v>
      </c>
      <c r="BY269" s="65">
        <v>0</v>
      </c>
      <c r="BZ269" s="65">
        <v>0</v>
      </c>
      <c r="CA269" s="65">
        <f t="shared" si="681"/>
        <v>200000</v>
      </c>
      <c r="CB269" s="65">
        <f t="shared" si="682"/>
        <v>200000</v>
      </c>
      <c r="CC269" s="65">
        <f t="shared" si="613"/>
        <v>200000</v>
      </c>
      <c r="CD269" s="67"/>
      <c r="CE269" s="66">
        <v>200000</v>
      </c>
      <c r="CF269" s="65">
        <f t="shared" si="683"/>
        <v>0</v>
      </c>
      <c r="CG269" s="65">
        <v>0</v>
      </c>
      <c r="CH269" s="65">
        <v>0</v>
      </c>
      <c r="CI269" s="65">
        <v>0</v>
      </c>
      <c r="CJ269" s="65">
        <v>0</v>
      </c>
      <c r="CK269" s="65">
        <f t="shared" si="684"/>
        <v>0</v>
      </c>
      <c r="CL269" s="67"/>
      <c r="CM269" s="65">
        <v>0</v>
      </c>
      <c r="CN269" s="65">
        <v>0</v>
      </c>
      <c r="CO269" s="65"/>
      <c r="CP269" s="65"/>
      <c r="CQ269" s="65"/>
      <c r="CR269" s="65"/>
      <c r="CS269" s="68"/>
      <c r="GP269" s="68"/>
    </row>
    <row r="270" spans="1:198" s="51" customFormat="1" ht="15.6" x14ac:dyDescent="0.3">
      <c r="A270" s="93"/>
      <c r="B270" s="37" t="s">
        <v>74</v>
      </c>
      <c r="C270" s="38" t="s">
        <v>532</v>
      </c>
      <c r="D270" s="35">
        <f t="shared" si="672"/>
        <v>1273428</v>
      </c>
      <c r="E270" s="35">
        <f t="shared" si="673"/>
        <v>1214644</v>
      </c>
      <c r="F270" s="35">
        <f t="shared" ref="F270" si="685">SUM(G270+H270+I270+P270+S270+T270+U270+AE270+AD270)</f>
        <v>1214644</v>
      </c>
      <c r="G270" s="31"/>
      <c r="H270" s="31"/>
      <c r="I270" s="35">
        <f t="shared" ref="I270" si="686">SUM(J270:O270)</f>
        <v>505410</v>
      </c>
      <c r="J270" s="31">
        <v>0</v>
      </c>
      <c r="K270" s="31">
        <v>0</v>
      </c>
      <c r="L270" s="31">
        <v>0</v>
      </c>
      <c r="M270" s="31">
        <v>0</v>
      </c>
      <c r="N270" s="31">
        <v>273492</v>
      </c>
      <c r="O270" s="31">
        <v>231918</v>
      </c>
      <c r="P270" s="35">
        <f t="shared" ref="P270" si="687">SUM(Q270:R270)</f>
        <v>43916</v>
      </c>
      <c r="Q270" s="31">
        <v>0</v>
      </c>
      <c r="R270" s="31">
        <f>60000-16084</f>
        <v>43916</v>
      </c>
      <c r="S270" s="31">
        <v>0</v>
      </c>
      <c r="T270" s="31">
        <v>50000</v>
      </c>
      <c r="U270" s="35">
        <f t="shared" si="675"/>
        <v>381001</v>
      </c>
      <c r="V270" s="31">
        <v>27000</v>
      </c>
      <c r="W270" s="31">
        <f>64173+9407+16084</f>
        <v>89664</v>
      </c>
      <c r="X270" s="31">
        <f>90743+12908+82184+24936</f>
        <v>210771</v>
      </c>
      <c r="Y270" s="31">
        <f>18286+113+2826</f>
        <v>21225</v>
      </c>
      <c r="Z270" s="31">
        <v>8162</v>
      </c>
      <c r="AA270" s="31">
        <v>12000</v>
      </c>
      <c r="AB270" s="31">
        <v>0</v>
      </c>
      <c r="AC270" s="31">
        <f>4342+7837</f>
        <v>12179</v>
      </c>
      <c r="AD270" s="31"/>
      <c r="AE270" s="35">
        <f t="shared" si="676"/>
        <v>234317</v>
      </c>
      <c r="AF270" s="36"/>
      <c r="AG270" s="36">
        <v>0</v>
      </c>
      <c r="AH270" s="31">
        <f>85400-7837</f>
        <v>77563</v>
      </c>
      <c r="AI270" s="31">
        <f>97000-16977-24936</f>
        <v>55087</v>
      </c>
      <c r="AJ270" s="31">
        <v>0</v>
      </c>
      <c r="AK270" s="31">
        <v>19700</v>
      </c>
      <c r="AL270" s="31">
        <v>0</v>
      </c>
      <c r="AM270" s="31">
        <v>0</v>
      </c>
      <c r="AN270" s="31">
        <v>0</v>
      </c>
      <c r="AO270" s="31">
        <v>0</v>
      </c>
      <c r="AP270" s="31">
        <v>0</v>
      </c>
      <c r="AQ270" s="31">
        <v>0</v>
      </c>
      <c r="AR270" s="31">
        <v>0</v>
      </c>
      <c r="AS270" s="31">
        <v>0</v>
      </c>
      <c r="AT270" s="31">
        <v>0</v>
      </c>
      <c r="AU270" s="31">
        <v>0</v>
      </c>
      <c r="AV270" s="31">
        <v>0</v>
      </c>
      <c r="AW270" s="31">
        <v>0</v>
      </c>
      <c r="AX270" s="31">
        <v>0</v>
      </c>
      <c r="AY270" s="31">
        <v>0</v>
      </c>
      <c r="AZ270" s="31">
        <f>150000-68033</f>
        <v>81967</v>
      </c>
      <c r="BA270" s="35">
        <f t="shared" si="677"/>
        <v>0</v>
      </c>
      <c r="BB270" s="35">
        <f t="shared" ref="BB270" si="688">SUM(BC270:BE270)</f>
        <v>0</v>
      </c>
      <c r="BC270" s="35">
        <v>0</v>
      </c>
      <c r="BD270" s="35">
        <v>0</v>
      </c>
      <c r="BE270" s="35">
        <v>0</v>
      </c>
      <c r="BF270" s="35">
        <f t="shared" si="679"/>
        <v>0</v>
      </c>
      <c r="BG270" s="35">
        <v>0</v>
      </c>
      <c r="BH270" s="35">
        <v>0</v>
      </c>
      <c r="BI270" s="35">
        <v>0</v>
      </c>
      <c r="BJ270" s="35">
        <v>0</v>
      </c>
      <c r="BK270" s="35">
        <v>0</v>
      </c>
      <c r="BL270" s="35">
        <f t="shared" ref="BL270" si="689">SUM(BM270)</f>
        <v>0</v>
      </c>
      <c r="BM270" s="35">
        <v>0</v>
      </c>
      <c r="BN270" s="35">
        <v>0</v>
      </c>
      <c r="BO270" s="35">
        <f t="shared" si="680"/>
        <v>0</v>
      </c>
      <c r="BP270" s="35">
        <v>0</v>
      </c>
      <c r="BQ270" s="35">
        <v>0</v>
      </c>
      <c r="BR270" s="35">
        <v>0</v>
      </c>
      <c r="BS270" s="35">
        <v>0</v>
      </c>
      <c r="BT270" s="35">
        <v>0</v>
      </c>
      <c r="BU270" s="35">
        <v>0</v>
      </c>
      <c r="BV270" s="35">
        <v>0</v>
      </c>
      <c r="BW270" s="35">
        <v>0</v>
      </c>
      <c r="BX270" s="35">
        <v>0</v>
      </c>
      <c r="BY270" s="35">
        <v>0</v>
      </c>
      <c r="BZ270" s="35">
        <v>0</v>
      </c>
      <c r="CA270" s="35">
        <f t="shared" si="681"/>
        <v>58784</v>
      </c>
      <c r="CB270" s="35">
        <f t="shared" si="682"/>
        <v>58784</v>
      </c>
      <c r="CC270" s="35">
        <f t="shared" ref="CC270" si="690">SUM(CD270:CE270)</f>
        <v>58784</v>
      </c>
      <c r="CD270" s="36"/>
      <c r="CE270" s="31">
        <v>58784</v>
      </c>
      <c r="CF270" s="35">
        <f t="shared" si="683"/>
        <v>0</v>
      </c>
      <c r="CG270" s="35">
        <v>0</v>
      </c>
      <c r="CH270" s="35">
        <v>0</v>
      </c>
      <c r="CI270" s="35">
        <v>0</v>
      </c>
      <c r="CJ270" s="35">
        <v>0</v>
      </c>
      <c r="CK270" s="35">
        <f t="shared" si="684"/>
        <v>0</v>
      </c>
      <c r="CL270" s="36"/>
      <c r="CM270" s="35">
        <v>0</v>
      </c>
      <c r="CN270" s="35">
        <v>0</v>
      </c>
      <c r="CO270" s="35"/>
      <c r="CP270" s="35"/>
      <c r="CQ270" s="35"/>
      <c r="CR270" s="35"/>
      <c r="CS270" s="46"/>
      <c r="GP270" s="68"/>
    </row>
    <row r="271" spans="1:198" s="46" customFormat="1" ht="15.6" x14ac:dyDescent="0.3">
      <c r="A271" s="93" t="s">
        <v>1</v>
      </c>
      <c r="B271" s="37" t="s">
        <v>74</v>
      </c>
      <c r="C271" s="38" t="s">
        <v>533</v>
      </c>
      <c r="D271" s="35">
        <f t="shared" si="672"/>
        <v>708866</v>
      </c>
      <c r="E271" s="35">
        <f t="shared" si="673"/>
        <v>415666</v>
      </c>
      <c r="F271" s="35">
        <f t="shared" si="674"/>
        <v>415666</v>
      </c>
      <c r="G271" s="31">
        <v>0</v>
      </c>
      <c r="H271" s="31">
        <v>0</v>
      </c>
      <c r="I271" s="35">
        <f t="shared" si="597"/>
        <v>146231</v>
      </c>
      <c r="J271" s="31"/>
      <c r="K271" s="31"/>
      <c r="L271" s="31"/>
      <c r="M271" s="31"/>
      <c r="N271" s="31">
        <f>45927+24000</f>
        <v>69927</v>
      </c>
      <c r="O271" s="31">
        <f>45757+30547</f>
        <v>76304</v>
      </c>
      <c r="P271" s="35">
        <f t="shared" si="604"/>
        <v>0</v>
      </c>
      <c r="Q271" s="31"/>
      <c r="R271" s="31">
        <v>0</v>
      </c>
      <c r="S271" s="31">
        <v>15155</v>
      </c>
      <c r="T271" s="31">
        <v>28332</v>
      </c>
      <c r="U271" s="35">
        <f t="shared" si="675"/>
        <v>149640</v>
      </c>
      <c r="V271" s="31">
        <f>6652+5000+45065</f>
        <v>56717</v>
      </c>
      <c r="W271" s="31">
        <f>33340+5323</f>
        <v>38663</v>
      </c>
      <c r="X271" s="31">
        <f>20771+1788+22439</f>
        <v>44998</v>
      </c>
      <c r="Y271" s="31">
        <f>4961+304+551</f>
        <v>5816</v>
      </c>
      <c r="Z271" s="31">
        <v>3446</v>
      </c>
      <c r="AA271" s="31">
        <v>0</v>
      </c>
      <c r="AB271" s="31"/>
      <c r="AC271" s="31"/>
      <c r="AD271" s="31"/>
      <c r="AE271" s="35">
        <f t="shared" si="676"/>
        <v>76308</v>
      </c>
      <c r="AF271" s="36"/>
      <c r="AG271" s="36"/>
      <c r="AH271" s="31">
        <v>9338</v>
      </c>
      <c r="AI271" s="31">
        <f>6493+6493</f>
        <v>12986</v>
      </c>
      <c r="AJ271" s="31"/>
      <c r="AK271" s="31">
        <v>3992</v>
      </c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>
        <v>49992</v>
      </c>
      <c r="BA271" s="35">
        <f t="shared" si="677"/>
        <v>0</v>
      </c>
      <c r="BB271" s="35">
        <f t="shared" si="678"/>
        <v>0</v>
      </c>
      <c r="BC271" s="35">
        <v>0</v>
      </c>
      <c r="BD271" s="35">
        <v>0</v>
      </c>
      <c r="BE271" s="35">
        <v>0</v>
      </c>
      <c r="BF271" s="35">
        <f t="shared" si="679"/>
        <v>0</v>
      </c>
      <c r="BG271" s="35">
        <v>0</v>
      </c>
      <c r="BH271" s="35">
        <v>0</v>
      </c>
      <c r="BI271" s="35">
        <v>0</v>
      </c>
      <c r="BJ271" s="35">
        <v>0</v>
      </c>
      <c r="BK271" s="35">
        <v>0</v>
      </c>
      <c r="BL271" s="35">
        <f t="shared" si="609"/>
        <v>0</v>
      </c>
      <c r="BM271" s="35">
        <v>0</v>
      </c>
      <c r="BN271" s="35">
        <v>0</v>
      </c>
      <c r="BO271" s="35">
        <f t="shared" si="680"/>
        <v>0</v>
      </c>
      <c r="BP271" s="35">
        <v>0</v>
      </c>
      <c r="BQ271" s="35">
        <v>0</v>
      </c>
      <c r="BR271" s="35">
        <v>0</v>
      </c>
      <c r="BS271" s="35">
        <v>0</v>
      </c>
      <c r="BT271" s="35">
        <v>0</v>
      </c>
      <c r="BU271" s="35">
        <v>0</v>
      </c>
      <c r="BV271" s="35">
        <v>0</v>
      </c>
      <c r="BW271" s="35">
        <v>0</v>
      </c>
      <c r="BX271" s="35">
        <v>0</v>
      </c>
      <c r="BY271" s="35">
        <v>0</v>
      </c>
      <c r="BZ271" s="35">
        <v>0</v>
      </c>
      <c r="CA271" s="35">
        <f t="shared" si="681"/>
        <v>293200</v>
      </c>
      <c r="CB271" s="35">
        <f t="shared" si="682"/>
        <v>293200</v>
      </c>
      <c r="CC271" s="35">
        <f t="shared" si="613"/>
        <v>69124</v>
      </c>
      <c r="CD271" s="36"/>
      <c r="CE271" s="31">
        <v>69124</v>
      </c>
      <c r="CF271" s="35">
        <f t="shared" si="683"/>
        <v>224076</v>
      </c>
      <c r="CG271" s="35">
        <v>0</v>
      </c>
      <c r="CH271" s="35">
        <v>0</v>
      </c>
      <c r="CI271" s="35">
        <v>0</v>
      </c>
      <c r="CJ271" s="35">
        <f>352106-128030</f>
        <v>224076</v>
      </c>
      <c r="CK271" s="35">
        <f t="shared" si="684"/>
        <v>0</v>
      </c>
      <c r="CL271" s="31"/>
      <c r="CM271" s="35">
        <v>0</v>
      </c>
      <c r="CN271" s="35">
        <v>0</v>
      </c>
      <c r="CO271" s="35"/>
      <c r="CP271" s="35"/>
      <c r="CQ271" s="35"/>
      <c r="CR271" s="35"/>
      <c r="GP271" s="68"/>
    </row>
    <row r="272" spans="1:198" ht="15.6" x14ac:dyDescent="0.3">
      <c r="A272" s="89" t="s">
        <v>285</v>
      </c>
      <c r="B272" s="15" t="s">
        <v>1</v>
      </c>
      <c r="C272" s="16" t="s">
        <v>286</v>
      </c>
      <c r="D272" s="17">
        <f t="shared" ref="D272:AC272" si="691">SUM(D273:D285)</f>
        <v>47732199</v>
      </c>
      <c r="E272" s="17">
        <f t="shared" si="691"/>
        <v>1495630</v>
      </c>
      <c r="F272" s="17">
        <f t="shared" si="691"/>
        <v>1495630</v>
      </c>
      <c r="G272" s="17">
        <f t="shared" si="691"/>
        <v>0</v>
      </c>
      <c r="H272" s="17">
        <f t="shared" si="691"/>
        <v>0</v>
      </c>
      <c r="I272" s="17">
        <f t="shared" si="691"/>
        <v>0</v>
      </c>
      <c r="J272" s="17">
        <f t="shared" si="691"/>
        <v>0</v>
      </c>
      <c r="K272" s="17">
        <f t="shared" si="691"/>
        <v>0</v>
      </c>
      <c r="L272" s="17">
        <f t="shared" si="691"/>
        <v>0</v>
      </c>
      <c r="M272" s="17">
        <f t="shared" si="691"/>
        <v>0</v>
      </c>
      <c r="N272" s="17">
        <f t="shared" si="691"/>
        <v>0</v>
      </c>
      <c r="O272" s="17">
        <f t="shared" si="691"/>
        <v>0</v>
      </c>
      <c r="P272" s="17">
        <f t="shared" si="691"/>
        <v>0</v>
      </c>
      <c r="Q272" s="17">
        <f t="shared" si="691"/>
        <v>0</v>
      </c>
      <c r="R272" s="17">
        <f t="shared" si="691"/>
        <v>0</v>
      </c>
      <c r="S272" s="17">
        <f t="shared" si="691"/>
        <v>0</v>
      </c>
      <c r="T272" s="17">
        <f t="shared" si="691"/>
        <v>0</v>
      </c>
      <c r="U272" s="17">
        <f t="shared" si="691"/>
        <v>0</v>
      </c>
      <c r="V272" s="17">
        <f t="shared" si="691"/>
        <v>0</v>
      </c>
      <c r="W272" s="17">
        <f t="shared" si="691"/>
        <v>0</v>
      </c>
      <c r="X272" s="17">
        <f t="shared" si="691"/>
        <v>0</v>
      </c>
      <c r="Y272" s="17">
        <f t="shared" si="691"/>
        <v>0</v>
      </c>
      <c r="Z272" s="17">
        <f t="shared" si="691"/>
        <v>0</v>
      </c>
      <c r="AA272" s="17">
        <f t="shared" si="691"/>
        <v>0</v>
      </c>
      <c r="AB272" s="17">
        <f t="shared" si="691"/>
        <v>0</v>
      </c>
      <c r="AC272" s="17">
        <f t="shared" si="691"/>
        <v>0</v>
      </c>
      <c r="AD272" s="17"/>
      <c r="AE272" s="17">
        <f t="shared" ref="AE272:AX272" si="692">SUM(AE273:AE285)</f>
        <v>1495630</v>
      </c>
      <c r="AF272" s="17">
        <f t="shared" si="692"/>
        <v>0</v>
      </c>
      <c r="AG272" s="17">
        <f t="shared" si="692"/>
        <v>0</v>
      </c>
      <c r="AH272" s="17">
        <f t="shared" si="692"/>
        <v>0</v>
      </c>
      <c r="AI272" s="17">
        <f t="shared" si="692"/>
        <v>0</v>
      </c>
      <c r="AJ272" s="17">
        <f t="shared" si="692"/>
        <v>0</v>
      </c>
      <c r="AK272" s="17">
        <f t="shared" si="692"/>
        <v>0</v>
      </c>
      <c r="AL272" s="17">
        <f t="shared" si="692"/>
        <v>0</v>
      </c>
      <c r="AM272" s="17">
        <f t="shared" si="692"/>
        <v>0</v>
      </c>
      <c r="AN272" s="17">
        <f t="shared" si="692"/>
        <v>0</v>
      </c>
      <c r="AO272" s="17">
        <f t="shared" si="692"/>
        <v>0</v>
      </c>
      <c r="AP272" s="17">
        <f t="shared" si="692"/>
        <v>0</v>
      </c>
      <c r="AQ272" s="17">
        <f t="shared" si="692"/>
        <v>0</v>
      </c>
      <c r="AR272" s="17">
        <f t="shared" si="692"/>
        <v>0</v>
      </c>
      <c r="AS272" s="17">
        <f t="shared" si="692"/>
        <v>0</v>
      </c>
      <c r="AT272" s="17">
        <f t="shared" si="692"/>
        <v>0</v>
      </c>
      <c r="AU272" s="17">
        <f t="shared" si="692"/>
        <v>0</v>
      </c>
      <c r="AV272" s="17">
        <f t="shared" si="692"/>
        <v>0</v>
      </c>
      <c r="AW272" s="17">
        <f t="shared" si="692"/>
        <v>0</v>
      </c>
      <c r="AX272" s="17">
        <f t="shared" si="692"/>
        <v>0</v>
      </c>
      <c r="AY272" s="17"/>
      <c r="AZ272" s="17">
        <f t="shared" ref="AZ272:CM272" si="693">SUM(AZ273:AZ285)</f>
        <v>1495630</v>
      </c>
      <c r="BA272" s="17">
        <f t="shared" si="693"/>
        <v>0</v>
      </c>
      <c r="BB272" s="17">
        <f t="shared" si="693"/>
        <v>0</v>
      </c>
      <c r="BC272" s="17">
        <f t="shared" si="693"/>
        <v>0</v>
      </c>
      <c r="BD272" s="17">
        <f t="shared" si="693"/>
        <v>0</v>
      </c>
      <c r="BE272" s="17">
        <f t="shared" si="693"/>
        <v>0</v>
      </c>
      <c r="BF272" s="17">
        <f t="shared" si="693"/>
        <v>0</v>
      </c>
      <c r="BG272" s="17">
        <f t="shared" si="693"/>
        <v>0</v>
      </c>
      <c r="BH272" s="17">
        <f t="shared" ref="BH272" si="694">SUM(BH273:BH285)</f>
        <v>0</v>
      </c>
      <c r="BI272" s="17">
        <f t="shared" si="693"/>
        <v>0</v>
      </c>
      <c r="BJ272" s="17">
        <f t="shared" si="693"/>
        <v>0</v>
      </c>
      <c r="BK272" s="17">
        <f t="shared" si="693"/>
        <v>0</v>
      </c>
      <c r="BL272" s="17">
        <f t="shared" si="693"/>
        <v>0</v>
      </c>
      <c r="BM272" s="17">
        <f t="shared" si="693"/>
        <v>0</v>
      </c>
      <c r="BN272" s="17">
        <f t="shared" si="693"/>
        <v>0</v>
      </c>
      <c r="BO272" s="17">
        <f t="shared" si="693"/>
        <v>0</v>
      </c>
      <c r="BP272" s="17">
        <f t="shared" si="693"/>
        <v>0</v>
      </c>
      <c r="BQ272" s="17">
        <f t="shared" si="693"/>
        <v>0</v>
      </c>
      <c r="BR272" s="17">
        <f t="shared" si="693"/>
        <v>0</v>
      </c>
      <c r="BS272" s="17">
        <f t="shared" si="693"/>
        <v>0</v>
      </c>
      <c r="BT272" s="17">
        <f t="shared" si="693"/>
        <v>0</v>
      </c>
      <c r="BU272" s="17">
        <f t="shared" si="693"/>
        <v>0</v>
      </c>
      <c r="BV272" s="17">
        <f t="shared" si="693"/>
        <v>0</v>
      </c>
      <c r="BW272" s="17">
        <f t="shared" si="693"/>
        <v>0</v>
      </c>
      <c r="BX272" s="17">
        <f t="shared" si="693"/>
        <v>0</v>
      </c>
      <c r="BY272" s="17">
        <f t="shared" si="693"/>
        <v>0</v>
      </c>
      <c r="BZ272" s="17">
        <f t="shared" si="693"/>
        <v>0</v>
      </c>
      <c r="CA272" s="17">
        <f t="shared" si="693"/>
        <v>46236569</v>
      </c>
      <c r="CB272" s="17">
        <f t="shared" si="693"/>
        <v>0</v>
      </c>
      <c r="CC272" s="17">
        <f t="shared" si="693"/>
        <v>0</v>
      </c>
      <c r="CD272" s="17">
        <f t="shared" si="693"/>
        <v>0</v>
      </c>
      <c r="CE272" s="17">
        <f t="shared" si="693"/>
        <v>0</v>
      </c>
      <c r="CF272" s="17">
        <f t="shared" si="693"/>
        <v>0</v>
      </c>
      <c r="CG272" s="17">
        <f t="shared" si="693"/>
        <v>0</v>
      </c>
      <c r="CH272" s="17">
        <f t="shared" si="693"/>
        <v>0</v>
      </c>
      <c r="CI272" s="17">
        <f t="shared" si="693"/>
        <v>0</v>
      </c>
      <c r="CJ272" s="17">
        <f t="shared" si="693"/>
        <v>0</v>
      </c>
      <c r="CK272" s="17">
        <f t="shared" si="693"/>
        <v>0</v>
      </c>
      <c r="CL272" s="17">
        <f t="shared" si="693"/>
        <v>0</v>
      </c>
      <c r="CM272" s="17">
        <f t="shared" si="693"/>
        <v>0</v>
      </c>
      <c r="CN272" s="34">
        <f>SUM(CN273:CN285)</f>
        <v>46236569</v>
      </c>
      <c r="CO272" s="64"/>
      <c r="CP272" s="64"/>
      <c r="CQ272" s="64"/>
      <c r="CR272" s="64"/>
      <c r="CS272" s="51"/>
      <c r="GP272" s="68"/>
    </row>
    <row r="273" spans="1:198" ht="15.6" x14ac:dyDescent="0.3">
      <c r="A273" s="90" t="s">
        <v>1</v>
      </c>
      <c r="B273" s="19" t="s">
        <v>50</v>
      </c>
      <c r="C273" s="20" t="s">
        <v>454</v>
      </c>
      <c r="D273" s="18">
        <f t="shared" ref="D273:D285" si="695">SUM(E273+CA273)</f>
        <v>573500</v>
      </c>
      <c r="E273" s="18">
        <f>SUM(F273+BA273)</f>
        <v>573500</v>
      </c>
      <c r="F273" s="18">
        <f t="shared" ref="F273" si="696">SUM(G273+H273+I273+P273+S273+T273+U273+AE273+AD273)</f>
        <v>573500</v>
      </c>
      <c r="G273" s="18">
        <v>0</v>
      </c>
      <c r="H273" s="18">
        <v>0</v>
      </c>
      <c r="I273" s="18">
        <f>SUM(J273:O273)</f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f>SUM(Q273:R273)</f>
        <v>0</v>
      </c>
      <c r="Q273" s="18">
        <v>0</v>
      </c>
      <c r="R273" s="18">
        <v>0</v>
      </c>
      <c r="S273" s="18">
        <v>0</v>
      </c>
      <c r="T273" s="18">
        <v>0</v>
      </c>
      <c r="U273" s="18">
        <f t="shared" ref="U273" si="697">SUM(V273:AC273)</f>
        <v>0</v>
      </c>
      <c r="V273" s="18">
        <v>0</v>
      </c>
      <c r="W273" s="18">
        <v>0</v>
      </c>
      <c r="X273" s="18">
        <v>0</v>
      </c>
      <c r="Y273" s="18">
        <v>0</v>
      </c>
      <c r="Z273" s="18">
        <v>0</v>
      </c>
      <c r="AA273" s="18">
        <v>0</v>
      </c>
      <c r="AB273" s="18">
        <v>0</v>
      </c>
      <c r="AC273" s="18">
        <v>0</v>
      </c>
      <c r="AD273" s="18"/>
      <c r="AE273" s="18">
        <f>SUM(AF273:AZ273)</f>
        <v>573500</v>
      </c>
      <c r="AF273" s="18">
        <v>0</v>
      </c>
      <c r="AG273" s="18">
        <v>0</v>
      </c>
      <c r="AH273" s="18">
        <v>0</v>
      </c>
      <c r="AI273" s="18">
        <v>0</v>
      </c>
      <c r="AJ273" s="18">
        <v>0</v>
      </c>
      <c r="AK273" s="18">
        <v>0</v>
      </c>
      <c r="AL273" s="18">
        <v>0</v>
      </c>
      <c r="AM273" s="18">
        <v>0</v>
      </c>
      <c r="AN273" s="18">
        <v>0</v>
      </c>
      <c r="AO273" s="18">
        <v>0</v>
      </c>
      <c r="AP273" s="18">
        <v>0</v>
      </c>
      <c r="AQ273" s="18">
        <v>0</v>
      </c>
      <c r="AR273" s="18">
        <v>0</v>
      </c>
      <c r="AS273" s="18">
        <v>0</v>
      </c>
      <c r="AT273" s="18">
        <v>0</v>
      </c>
      <c r="AU273" s="18">
        <v>0</v>
      </c>
      <c r="AV273" s="18">
        <v>0</v>
      </c>
      <c r="AW273" s="18">
        <v>0</v>
      </c>
      <c r="AX273" s="18">
        <v>0</v>
      </c>
      <c r="AY273" s="18">
        <v>0</v>
      </c>
      <c r="AZ273" s="21">
        <f>467000+106500</f>
        <v>573500</v>
      </c>
      <c r="BA273" s="18">
        <f>SUM(BB273+BF273+BJ273+BL273+BO273)</f>
        <v>0</v>
      </c>
      <c r="BB273" s="18">
        <f t="shared" ref="BB273" si="698">SUM(BC273:BE273)</f>
        <v>0</v>
      </c>
      <c r="BC273" s="18">
        <v>0</v>
      </c>
      <c r="BD273" s="18">
        <v>0</v>
      </c>
      <c r="BE273" s="18">
        <v>0</v>
      </c>
      <c r="BF273" s="18">
        <f t="shared" ref="BF273" si="699">SUM(BI273:BI273)</f>
        <v>0</v>
      </c>
      <c r="BG273" s="18">
        <v>0</v>
      </c>
      <c r="BH273" s="18">
        <v>0</v>
      </c>
      <c r="BI273" s="18">
        <v>0</v>
      </c>
      <c r="BJ273" s="18">
        <v>0</v>
      </c>
      <c r="BK273" s="18">
        <v>0</v>
      </c>
      <c r="BL273" s="18">
        <f>SUM(BM273)</f>
        <v>0</v>
      </c>
      <c r="BM273" s="18">
        <v>0</v>
      </c>
      <c r="BN273" s="18">
        <v>0</v>
      </c>
      <c r="BO273" s="18">
        <f t="shared" ref="BO273:BO285" si="700">SUM(BP273:BZ273)</f>
        <v>0</v>
      </c>
      <c r="BP273" s="18">
        <v>0</v>
      </c>
      <c r="BQ273" s="18">
        <v>0</v>
      </c>
      <c r="BR273" s="18">
        <v>0</v>
      </c>
      <c r="BS273" s="18">
        <v>0</v>
      </c>
      <c r="BT273" s="18">
        <v>0</v>
      </c>
      <c r="BU273" s="18">
        <v>0</v>
      </c>
      <c r="BV273" s="18">
        <v>0</v>
      </c>
      <c r="BW273" s="18">
        <v>0</v>
      </c>
      <c r="BX273" s="18">
        <v>0</v>
      </c>
      <c r="BY273" s="18">
        <v>0</v>
      </c>
      <c r="BZ273" s="18">
        <v>0</v>
      </c>
      <c r="CA273" s="18">
        <f t="shared" ref="CA273:CA285" si="701">SUM(CB273+CN273)</f>
        <v>0</v>
      </c>
      <c r="CB273" s="18">
        <f t="shared" ref="CB273:CB285" si="702">SUM(CC273+CF273+CK273)</f>
        <v>0</v>
      </c>
      <c r="CC273" s="18">
        <f>SUM(CD273:CE273)</f>
        <v>0</v>
      </c>
      <c r="CD273" s="18">
        <v>0</v>
      </c>
      <c r="CE273" s="18">
        <v>0</v>
      </c>
      <c r="CF273" s="18">
        <f t="shared" ref="CF273:CF285" si="703">SUM(CG273:CJ273)</f>
        <v>0</v>
      </c>
      <c r="CG273" s="18">
        <v>0</v>
      </c>
      <c r="CH273" s="18">
        <v>0</v>
      </c>
      <c r="CI273" s="18">
        <v>0</v>
      </c>
      <c r="CJ273" s="18">
        <v>0</v>
      </c>
      <c r="CK273" s="18">
        <f t="shared" ref="CK273:CK285" si="704">SUM(CL273:CM273)</f>
        <v>0</v>
      </c>
      <c r="CL273" s="18">
        <v>0</v>
      </c>
      <c r="CM273" s="18">
        <v>0</v>
      </c>
      <c r="CN273" s="35">
        <v>0</v>
      </c>
      <c r="CO273" s="65"/>
      <c r="CP273" s="65"/>
      <c r="CQ273" s="65"/>
      <c r="CR273" s="65"/>
      <c r="CS273" s="46"/>
    </row>
    <row r="274" spans="1:198" s="49" customFormat="1" ht="46.8" x14ac:dyDescent="0.3">
      <c r="A274" s="90" t="s">
        <v>1</v>
      </c>
      <c r="B274" s="19" t="s">
        <v>50</v>
      </c>
      <c r="C274" s="20" t="s">
        <v>579</v>
      </c>
      <c r="D274" s="18">
        <f t="shared" si="695"/>
        <v>1073906</v>
      </c>
      <c r="E274" s="18">
        <f>SUM(F274+BA274)</f>
        <v>0</v>
      </c>
      <c r="F274" s="18">
        <f t="shared" ref="F274" si="705">SUM(G274+H274+I274+P274+S274+T274+U274+AE274+AD274)</f>
        <v>0</v>
      </c>
      <c r="G274" s="18">
        <v>0</v>
      </c>
      <c r="H274" s="18">
        <v>0</v>
      </c>
      <c r="I274" s="18">
        <f>SUM(J274:O274)</f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18">
        <v>0</v>
      </c>
      <c r="P274" s="18">
        <f>SUM(Q274:R274)</f>
        <v>0</v>
      </c>
      <c r="Q274" s="18">
        <v>0</v>
      </c>
      <c r="R274" s="18">
        <v>0</v>
      </c>
      <c r="S274" s="18">
        <v>0</v>
      </c>
      <c r="T274" s="18">
        <v>0</v>
      </c>
      <c r="U274" s="18">
        <f t="shared" ref="U274" si="706">SUM(V274:AC274)</f>
        <v>0</v>
      </c>
      <c r="V274" s="18">
        <v>0</v>
      </c>
      <c r="W274" s="18">
        <v>0</v>
      </c>
      <c r="X274" s="18">
        <v>0</v>
      </c>
      <c r="Y274" s="18">
        <v>0</v>
      </c>
      <c r="Z274" s="18">
        <v>0</v>
      </c>
      <c r="AA274" s="18">
        <v>0</v>
      </c>
      <c r="AB274" s="18">
        <v>0</v>
      </c>
      <c r="AC274" s="18">
        <v>0</v>
      </c>
      <c r="AD274" s="18"/>
      <c r="AE274" s="18">
        <f>SUM(AF274:AZ274)</f>
        <v>0</v>
      </c>
      <c r="AF274" s="18">
        <v>0</v>
      </c>
      <c r="AG274" s="18">
        <v>0</v>
      </c>
      <c r="AH274" s="18">
        <v>0</v>
      </c>
      <c r="AI274" s="18">
        <v>0</v>
      </c>
      <c r="AJ274" s="18">
        <v>0</v>
      </c>
      <c r="AK274" s="18">
        <v>0</v>
      </c>
      <c r="AL274" s="18">
        <v>0</v>
      </c>
      <c r="AM274" s="18">
        <v>0</v>
      </c>
      <c r="AN274" s="18">
        <v>0</v>
      </c>
      <c r="AO274" s="18">
        <v>0</v>
      </c>
      <c r="AP274" s="18">
        <v>0</v>
      </c>
      <c r="AQ274" s="18">
        <v>0</v>
      </c>
      <c r="AR274" s="18">
        <v>0</v>
      </c>
      <c r="AS274" s="18">
        <v>0</v>
      </c>
      <c r="AT274" s="18">
        <v>0</v>
      </c>
      <c r="AU274" s="18">
        <v>0</v>
      </c>
      <c r="AV274" s="18">
        <v>0</v>
      </c>
      <c r="AW274" s="18">
        <v>0</v>
      </c>
      <c r="AX274" s="18">
        <v>0</v>
      </c>
      <c r="AY274" s="18">
        <v>0</v>
      </c>
      <c r="AZ274" s="21"/>
      <c r="BA274" s="18">
        <f>SUM(BB274+BF274+BJ274+BL274+BO274)</f>
        <v>0</v>
      </c>
      <c r="BB274" s="18">
        <f t="shared" ref="BB274" si="707">SUM(BC274:BE274)</f>
        <v>0</v>
      </c>
      <c r="BC274" s="18">
        <v>0</v>
      </c>
      <c r="BD274" s="18">
        <v>0</v>
      </c>
      <c r="BE274" s="18">
        <v>0</v>
      </c>
      <c r="BF274" s="18">
        <f t="shared" ref="BF274" si="708">SUM(BI274:BI274)</f>
        <v>0</v>
      </c>
      <c r="BG274" s="18">
        <v>0</v>
      </c>
      <c r="BH274" s="18">
        <v>0</v>
      </c>
      <c r="BI274" s="18">
        <v>0</v>
      </c>
      <c r="BJ274" s="18">
        <v>0</v>
      </c>
      <c r="BK274" s="18">
        <v>0</v>
      </c>
      <c r="BL274" s="18">
        <f>SUM(BM274)</f>
        <v>0</v>
      </c>
      <c r="BM274" s="18">
        <v>0</v>
      </c>
      <c r="BN274" s="18">
        <v>0</v>
      </c>
      <c r="BO274" s="18">
        <f t="shared" ref="BO274" si="709">SUM(BP274:BZ274)</f>
        <v>0</v>
      </c>
      <c r="BP274" s="18">
        <v>0</v>
      </c>
      <c r="BQ274" s="18">
        <v>0</v>
      </c>
      <c r="BR274" s="18">
        <v>0</v>
      </c>
      <c r="BS274" s="18">
        <v>0</v>
      </c>
      <c r="BT274" s="18">
        <v>0</v>
      </c>
      <c r="BU274" s="18">
        <v>0</v>
      </c>
      <c r="BV274" s="18">
        <v>0</v>
      </c>
      <c r="BW274" s="18">
        <v>0</v>
      </c>
      <c r="BX274" s="18">
        <v>0</v>
      </c>
      <c r="BY274" s="18">
        <v>0</v>
      </c>
      <c r="BZ274" s="18">
        <v>0</v>
      </c>
      <c r="CA274" s="18">
        <f t="shared" si="701"/>
        <v>1073906</v>
      </c>
      <c r="CB274" s="18">
        <f t="shared" si="702"/>
        <v>0</v>
      </c>
      <c r="CC274" s="18">
        <f>SUM(CD274:CE274)</f>
        <v>0</v>
      </c>
      <c r="CD274" s="18">
        <v>0</v>
      </c>
      <c r="CE274" s="18">
        <v>0</v>
      </c>
      <c r="CF274" s="18">
        <f t="shared" si="703"/>
        <v>0</v>
      </c>
      <c r="CG274" s="18">
        <v>0</v>
      </c>
      <c r="CH274" s="18">
        <v>0</v>
      </c>
      <c r="CI274" s="18">
        <v>0</v>
      </c>
      <c r="CJ274" s="18">
        <v>0</v>
      </c>
      <c r="CK274" s="18">
        <f t="shared" si="704"/>
        <v>0</v>
      </c>
      <c r="CL274" s="18">
        <v>0</v>
      </c>
      <c r="CM274" s="18">
        <v>0</v>
      </c>
      <c r="CN274" s="35">
        <f>0+1073906</f>
        <v>1073906</v>
      </c>
      <c r="CO274" s="65"/>
      <c r="CP274" s="65"/>
      <c r="CQ274" s="65"/>
      <c r="CR274" s="65"/>
      <c r="CS274" s="46"/>
      <c r="GP274" s="51"/>
    </row>
    <row r="275" spans="1:198" ht="15.6" x14ac:dyDescent="0.3">
      <c r="A275" s="93" t="s">
        <v>1</v>
      </c>
      <c r="B275" s="32" t="s">
        <v>52</v>
      </c>
      <c r="C275" s="33" t="s">
        <v>505</v>
      </c>
      <c r="D275" s="35">
        <f t="shared" si="695"/>
        <v>7001255</v>
      </c>
      <c r="E275" s="35">
        <f>SUM(F275+BA275)</f>
        <v>0</v>
      </c>
      <c r="F275" s="35">
        <f t="shared" ref="F275:F285" si="710">SUM(G275+H275+I275+P275+S275+T275+U275+AE275+AD275)</f>
        <v>0</v>
      </c>
      <c r="G275" s="35">
        <v>0</v>
      </c>
      <c r="H275" s="35">
        <v>0</v>
      </c>
      <c r="I275" s="35">
        <f t="shared" si="597"/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  <c r="O275" s="35">
        <v>0</v>
      </c>
      <c r="P275" s="35">
        <f t="shared" si="604"/>
        <v>0</v>
      </c>
      <c r="Q275" s="35">
        <v>0</v>
      </c>
      <c r="R275" s="35">
        <v>0</v>
      </c>
      <c r="S275" s="35">
        <v>0</v>
      </c>
      <c r="T275" s="35">
        <v>0</v>
      </c>
      <c r="U275" s="35">
        <f t="shared" ref="U275:U285" si="711">SUM(V275:AC275)</f>
        <v>0</v>
      </c>
      <c r="V275" s="35">
        <v>0</v>
      </c>
      <c r="W275" s="35">
        <v>0</v>
      </c>
      <c r="X275" s="35">
        <v>0</v>
      </c>
      <c r="Y275" s="35">
        <v>0</v>
      </c>
      <c r="Z275" s="35">
        <v>0</v>
      </c>
      <c r="AA275" s="35">
        <v>0</v>
      </c>
      <c r="AB275" s="35">
        <v>0</v>
      </c>
      <c r="AC275" s="35">
        <v>0</v>
      </c>
      <c r="AD275" s="35">
        <v>0</v>
      </c>
      <c r="AE275" s="35">
        <f>SUM(AF275:AZ275)</f>
        <v>0</v>
      </c>
      <c r="AF275" s="35">
        <v>0</v>
      </c>
      <c r="AG275" s="35">
        <v>0</v>
      </c>
      <c r="AH275" s="35">
        <v>0</v>
      </c>
      <c r="AI275" s="35">
        <v>0</v>
      </c>
      <c r="AJ275" s="35">
        <v>0</v>
      </c>
      <c r="AK275" s="35">
        <v>0</v>
      </c>
      <c r="AL275" s="35">
        <v>0</v>
      </c>
      <c r="AM275" s="35">
        <v>0</v>
      </c>
      <c r="AN275" s="35">
        <v>0</v>
      </c>
      <c r="AO275" s="35">
        <v>0</v>
      </c>
      <c r="AP275" s="35">
        <v>0</v>
      </c>
      <c r="AQ275" s="35">
        <v>0</v>
      </c>
      <c r="AR275" s="35">
        <v>0</v>
      </c>
      <c r="AS275" s="35">
        <v>0</v>
      </c>
      <c r="AT275" s="35">
        <v>0</v>
      </c>
      <c r="AU275" s="35">
        <v>0</v>
      </c>
      <c r="AV275" s="35">
        <v>0</v>
      </c>
      <c r="AW275" s="35">
        <v>0</v>
      </c>
      <c r="AX275" s="35">
        <v>0</v>
      </c>
      <c r="AY275" s="35">
        <v>0</v>
      </c>
      <c r="AZ275" s="35">
        <v>0</v>
      </c>
      <c r="BA275" s="35">
        <f>SUM(BB275+BF275+BJ275+BL275+BO275)</f>
        <v>0</v>
      </c>
      <c r="BB275" s="35">
        <f t="shared" ref="BB275:BB285" si="712">SUM(BC275:BE275)</f>
        <v>0</v>
      </c>
      <c r="BC275" s="35">
        <v>0</v>
      </c>
      <c r="BD275" s="35">
        <v>0</v>
      </c>
      <c r="BE275" s="35">
        <v>0</v>
      </c>
      <c r="BF275" s="35">
        <f>SUM(BI275:BI275)</f>
        <v>0</v>
      </c>
      <c r="BG275" s="35">
        <v>0</v>
      </c>
      <c r="BH275" s="35">
        <v>0</v>
      </c>
      <c r="BI275" s="35">
        <v>0</v>
      </c>
      <c r="BJ275" s="35">
        <v>0</v>
      </c>
      <c r="BK275" s="35">
        <v>0</v>
      </c>
      <c r="BL275" s="35">
        <f t="shared" si="609"/>
        <v>0</v>
      </c>
      <c r="BM275" s="35">
        <v>0</v>
      </c>
      <c r="BN275" s="35">
        <v>0</v>
      </c>
      <c r="BO275" s="35">
        <f t="shared" si="700"/>
        <v>0</v>
      </c>
      <c r="BP275" s="35">
        <v>0</v>
      </c>
      <c r="BQ275" s="35">
        <v>0</v>
      </c>
      <c r="BR275" s="35">
        <v>0</v>
      </c>
      <c r="BS275" s="35">
        <v>0</v>
      </c>
      <c r="BT275" s="35">
        <v>0</v>
      </c>
      <c r="BU275" s="35">
        <v>0</v>
      </c>
      <c r="BV275" s="35">
        <v>0</v>
      </c>
      <c r="BW275" s="35">
        <v>0</v>
      </c>
      <c r="BX275" s="35">
        <v>0</v>
      </c>
      <c r="BY275" s="35">
        <v>0</v>
      </c>
      <c r="BZ275" s="35">
        <v>0</v>
      </c>
      <c r="CA275" s="35">
        <f t="shared" si="701"/>
        <v>7001255</v>
      </c>
      <c r="CB275" s="35">
        <f t="shared" si="702"/>
        <v>0</v>
      </c>
      <c r="CC275" s="35">
        <f t="shared" si="613"/>
        <v>0</v>
      </c>
      <c r="CD275" s="35">
        <v>0</v>
      </c>
      <c r="CE275" s="35">
        <v>0</v>
      </c>
      <c r="CF275" s="18">
        <f t="shared" si="703"/>
        <v>0</v>
      </c>
      <c r="CG275" s="35">
        <v>0</v>
      </c>
      <c r="CH275" s="35">
        <v>0</v>
      </c>
      <c r="CI275" s="35">
        <v>0</v>
      </c>
      <c r="CJ275" s="35">
        <v>0</v>
      </c>
      <c r="CK275" s="35">
        <f t="shared" si="704"/>
        <v>0</v>
      </c>
      <c r="CL275" s="35">
        <v>0</v>
      </c>
      <c r="CM275" s="35">
        <v>0</v>
      </c>
      <c r="CN275" s="31">
        <f>17977950-10976695</f>
        <v>7001255</v>
      </c>
      <c r="CO275" s="66"/>
      <c r="CP275" s="66"/>
      <c r="CQ275" s="66"/>
      <c r="CR275" s="66"/>
      <c r="CS275" s="46"/>
      <c r="GP275" s="46"/>
    </row>
    <row r="276" spans="1:198" ht="31.2" x14ac:dyDescent="0.3">
      <c r="A276" s="93" t="s">
        <v>1</v>
      </c>
      <c r="B276" s="39" t="s">
        <v>52</v>
      </c>
      <c r="C276" s="40" t="s">
        <v>527</v>
      </c>
      <c r="D276" s="35">
        <f t="shared" si="695"/>
        <v>35000</v>
      </c>
      <c r="E276" s="35">
        <f>SUM(F276+BA276)</f>
        <v>0</v>
      </c>
      <c r="F276" s="35">
        <f t="shared" si="710"/>
        <v>0</v>
      </c>
      <c r="G276" s="35">
        <v>0</v>
      </c>
      <c r="H276" s="35">
        <v>0</v>
      </c>
      <c r="I276" s="35">
        <f>SUM(J276:O276)</f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0</v>
      </c>
      <c r="O276" s="35">
        <v>0</v>
      </c>
      <c r="P276" s="35">
        <f>SUM(Q276:R276)</f>
        <v>0</v>
      </c>
      <c r="Q276" s="35">
        <v>0</v>
      </c>
      <c r="R276" s="35">
        <v>0</v>
      </c>
      <c r="S276" s="35">
        <v>0</v>
      </c>
      <c r="T276" s="35">
        <v>0</v>
      </c>
      <c r="U276" s="35">
        <f t="shared" si="711"/>
        <v>0</v>
      </c>
      <c r="V276" s="35">
        <v>0</v>
      </c>
      <c r="W276" s="35">
        <v>0</v>
      </c>
      <c r="X276" s="35">
        <v>0</v>
      </c>
      <c r="Y276" s="35">
        <v>0</v>
      </c>
      <c r="Z276" s="35">
        <v>0</v>
      </c>
      <c r="AA276" s="35">
        <v>0</v>
      </c>
      <c r="AB276" s="35">
        <v>0</v>
      </c>
      <c r="AC276" s="35">
        <v>0</v>
      </c>
      <c r="AD276" s="35">
        <v>0</v>
      </c>
      <c r="AE276" s="35">
        <f>SUM(AF276:AZ276)</f>
        <v>0</v>
      </c>
      <c r="AF276" s="35"/>
      <c r="AG276" s="35"/>
      <c r="AH276" s="35">
        <v>0</v>
      </c>
      <c r="AI276" s="35">
        <v>0</v>
      </c>
      <c r="AJ276" s="35">
        <v>0</v>
      </c>
      <c r="AK276" s="35">
        <v>0</v>
      </c>
      <c r="AL276" s="35">
        <v>0</v>
      </c>
      <c r="AM276" s="35">
        <v>0</v>
      </c>
      <c r="AN276" s="35">
        <v>0</v>
      </c>
      <c r="AO276" s="35">
        <v>0</v>
      </c>
      <c r="AP276" s="35">
        <v>0</v>
      </c>
      <c r="AQ276" s="35">
        <v>0</v>
      </c>
      <c r="AR276" s="35">
        <v>0</v>
      </c>
      <c r="AS276" s="35">
        <v>0</v>
      </c>
      <c r="AT276" s="35">
        <v>0</v>
      </c>
      <c r="AU276" s="35">
        <v>0</v>
      </c>
      <c r="AV276" s="35">
        <v>0</v>
      </c>
      <c r="AW276" s="35">
        <v>0</v>
      </c>
      <c r="AX276" s="35">
        <v>0</v>
      </c>
      <c r="AY276" s="35">
        <v>0</v>
      </c>
      <c r="AZ276" s="35">
        <v>0</v>
      </c>
      <c r="BA276" s="35">
        <f>SUM(BB276+BF276+BJ276+BL276+BO276)</f>
        <v>0</v>
      </c>
      <c r="BB276" s="35">
        <f t="shared" si="712"/>
        <v>0</v>
      </c>
      <c r="BC276" s="35">
        <v>0</v>
      </c>
      <c r="BD276" s="35">
        <v>0</v>
      </c>
      <c r="BE276" s="35">
        <v>0</v>
      </c>
      <c r="BF276" s="35">
        <f>SUM(BI276:BI276)</f>
        <v>0</v>
      </c>
      <c r="BG276" s="35">
        <v>0</v>
      </c>
      <c r="BH276" s="35">
        <v>0</v>
      </c>
      <c r="BI276" s="35">
        <v>0</v>
      </c>
      <c r="BJ276" s="35">
        <v>0</v>
      </c>
      <c r="BK276" s="35">
        <v>0</v>
      </c>
      <c r="BL276" s="35">
        <f>SUM(BM276)</f>
        <v>0</v>
      </c>
      <c r="BM276" s="35">
        <v>0</v>
      </c>
      <c r="BN276" s="35">
        <v>0</v>
      </c>
      <c r="BO276" s="35">
        <f t="shared" si="700"/>
        <v>0</v>
      </c>
      <c r="BP276" s="35">
        <v>0</v>
      </c>
      <c r="BQ276" s="35">
        <v>0</v>
      </c>
      <c r="BR276" s="35">
        <v>0</v>
      </c>
      <c r="BS276" s="35">
        <v>0</v>
      </c>
      <c r="BT276" s="35">
        <v>0</v>
      </c>
      <c r="BU276" s="35">
        <v>0</v>
      </c>
      <c r="BV276" s="35">
        <v>0</v>
      </c>
      <c r="BW276" s="35">
        <v>0</v>
      </c>
      <c r="BX276" s="35">
        <v>0</v>
      </c>
      <c r="BY276" s="35">
        <v>0</v>
      </c>
      <c r="BZ276" s="35">
        <v>0</v>
      </c>
      <c r="CA276" s="35">
        <f t="shared" si="701"/>
        <v>35000</v>
      </c>
      <c r="CB276" s="35">
        <f t="shared" si="702"/>
        <v>0</v>
      </c>
      <c r="CC276" s="35">
        <f>SUM(CD276:CE276)</f>
        <v>0</v>
      </c>
      <c r="CD276" s="35">
        <v>0</v>
      </c>
      <c r="CE276" s="35">
        <v>0</v>
      </c>
      <c r="CF276" s="18">
        <f t="shared" si="703"/>
        <v>0</v>
      </c>
      <c r="CG276" s="35">
        <v>0</v>
      </c>
      <c r="CH276" s="35">
        <v>0</v>
      </c>
      <c r="CI276" s="35">
        <v>0</v>
      </c>
      <c r="CJ276" s="35">
        <v>0</v>
      </c>
      <c r="CK276" s="35">
        <f t="shared" si="704"/>
        <v>0</v>
      </c>
      <c r="CL276" s="35">
        <v>0</v>
      </c>
      <c r="CM276" s="35">
        <v>0</v>
      </c>
      <c r="CN276" s="31">
        <f>100000-65000</f>
        <v>35000</v>
      </c>
      <c r="CO276" s="66"/>
      <c r="CP276" s="66"/>
      <c r="CQ276" s="66"/>
      <c r="CR276" s="66"/>
      <c r="CS276" s="46"/>
    </row>
    <row r="277" spans="1:198" ht="31.2" x14ac:dyDescent="0.3">
      <c r="A277" s="93"/>
      <c r="B277" s="37" t="s">
        <v>54</v>
      </c>
      <c r="C277" s="38" t="s">
        <v>528</v>
      </c>
      <c r="D277" s="35">
        <f t="shared" si="695"/>
        <v>1826810</v>
      </c>
      <c r="E277" s="35">
        <f>SUM(F277+BA277)</f>
        <v>0</v>
      </c>
      <c r="F277" s="35">
        <f>SUM(G277+H277+I277+P277+S277+T277+U277+AE277+AD277)</f>
        <v>0</v>
      </c>
      <c r="G277" s="35">
        <v>0</v>
      </c>
      <c r="H277" s="35">
        <v>0</v>
      </c>
      <c r="I277" s="35">
        <f t="shared" ref="I277" si="713">SUM(J277:O277)</f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  <c r="O277" s="35">
        <v>0</v>
      </c>
      <c r="P277" s="35">
        <f t="shared" ref="P277" si="714">SUM(Q277:R277)</f>
        <v>0</v>
      </c>
      <c r="Q277" s="35">
        <v>0</v>
      </c>
      <c r="R277" s="35">
        <v>0</v>
      </c>
      <c r="S277" s="35">
        <v>0</v>
      </c>
      <c r="T277" s="35">
        <v>0</v>
      </c>
      <c r="U277" s="35">
        <f>SUM(V277:AC277)</f>
        <v>0</v>
      </c>
      <c r="V277" s="35">
        <v>0</v>
      </c>
      <c r="W277" s="35">
        <v>0</v>
      </c>
      <c r="X277" s="35">
        <v>0</v>
      </c>
      <c r="Y277" s="35">
        <v>0</v>
      </c>
      <c r="Z277" s="35">
        <v>0</v>
      </c>
      <c r="AA277" s="35">
        <v>0</v>
      </c>
      <c r="AB277" s="35">
        <v>0</v>
      </c>
      <c r="AC277" s="35">
        <v>0</v>
      </c>
      <c r="AD277" s="35">
        <v>0</v>
      </c>
      <c r="AE277" s="35">
        <f>SUM(AF277:AZ277)</f>
        <v>0</v>
      </c>
      <c r="AF277" s="36"/>
      <c r="AG277" s="36"/>
      <c r="AH277" s="35">
        <v>0</v>
      </c>
      <c r="AI277" s="35">
        <v>0</v>
      </c>
      <c r="AJ277" s="35">
        <v>0</v>
      </c>
      <c r="AK277" s="35">
        <v>0</v>
      </c>
      <c r="AL277" s="35">
        <v>0</v>
      </c>
      <c r="AM277" s="35">
        <v>0</v>
      </c>
      <c r="AN277" s="35">
        <v>0</v>
      </c>
      <c r="AO277" s="35">
        <v>0</v>
      </c>
      <c r="AP277" s="35">
        <v>0</v>
      </c>
      <c r="AQ277" s="35">
        <v>0</v>
      </c>
      <c r="AR277" s="35">
        <v>0</v>
      </c>
      <c r="AS277" s="35">
        <v>0</v>
      </c>
      <c r="AT277" s="35">
        <v>0</v>
      </c>
      <c r="AU277" s="35">
        <v>0</v>
      </c>
      <c r="AV277" s="35">
        <v>0</v>
      </c>
      <c r="AW277" s="35">
        <v>0</v>
      </c>
      <c r="AX277" s="35">
        <v>0</v>
      </c>
      <c r="AY277" s="35">
        <v>0</v>
      </c>
      <c r="AZ277" s="35">
        <v>0</v>
      </c>
      <c r="BA277" s="35">
        <f>SUM(BB277+BF277+BJ277+BL277+BO277)</f>
        <v>0</v>
      </c>
      <c r="BB277" s="35">
        <f>SUM(BC277:BE277)</f>
        <v>0</v>
      </c>
      <c r="BC277" s="35">
        <v>0</v>
      </c>
      <c r="BD277" s="35">
        <v>0</v>
      </c>
      <c r="BE277" s="35">
        <v>0</v>
      </c>
      <c r="BF277" s="35">
        <f>SUM(BI277:BI277)</f>
        <v>0</v>
      </c>
      <c r="BG277" s="35">
        <v>0</v>
      </c>
      <c r="BH277" s="35">
        <v>0</v>
      </c>
      <c r="BI277" s="35">
        <v>0</v>
      </c>
      <c r="BJ277" s="35">
        <v>0</v>
      </c>
      <c r="BK277" s="35">
        <v>0</v>
      </c>
      <c r="BL277" s="35">
        <f t="shared" ref="BL277" si="715">SUM(BM277)</f>
        <v>0</v>
      </c>
      <c r="BM277" s="35">
        <v>0</v>
      </c>
      <c r="BN277" s="35">
        <v>0</v>
      </c>
      <c r="BO277" s="35">
        <f>SUM(BP277:BZ277)</f>
        <v>0</v>
      </c>
      <c r="BP277" s="35">
        <v>0</v>
      </c>
      <c r="BQ277" s="35">
        <v>0</v>
      </c>
      <c r="BR277" s="35">
        <v>0</v>
      </c>
      <c r="BS277" s="35">
        <v>0</v>
      </c>
      <c r="BT277" s="35">
        <v>0</v>
      </c>
      <c r="BU277" s="35">
        <v>0</v>
      </c>
      <c r="BV277" s="35">
        <v>0</v>
      </c>
      <c r="BW277" s="35">
        <v>0</v>
      </c>
      <c r="BX277" s="35">
        <v>0</v>
      </c>
      <c r="BY277" s="35">
        <v>0</v>
      </c>
      <c r="BZ277" s="35">
        <v>0</v>
      </c>
      <c r="CA277" s="35">
        <f t="shared" si="701"/>
        <v>1826810</v>
      </c>
      <c r="CB277" s="35">
        <f t="shared" si="702"/>
        <v>0</v>
      </c>
      <c r="CC277" s="35">
        <f t="shared" ref="CC277" si="716">SUM(CD277:CE277)</f>
        <v>0</v>
      </c>
      <c r="CD277" s="35">
        <v>0</v>
      </c>
      <c r="CE277" s="35">
        <v>0</v>
      </c>
      <c r="CF277" s="18">
        <f t="shared" si="703"/>
        <v>0</v>
      </c>
      <c r="CG277" s="35">
        <v>0</v>
      </c>
      <c r="CH277" s="35">
        <v>0</v>
      </c>
      <c r="CI277" s="35">
        <v>0</v>
      </c>
      <c r="CJ277" s="35">
        <v>0</v>
      </c>
      <c r="CK277" s="35">
        <f t="shared" si="704"/>
        <v>0</v>
      </c>
      <c r="CL277" s="35">
        <v>0</v>
      </c>
      <c r="CM277" s="35">
        <v>0</v>
      </c>
      <c r="CN277" s="31">
        <f>2306844-480034</f>
        <v>1826810</v>
      </c>
      <c r="CO277" s="66"/>
      <c r="CP277" s="66"/>
      <c r="CQ277" s="66"/>
      <c r="CR277" s="66"/>
      <c r="CS277" s="46"/>
    </row>
    <row r="278" spans="1:198" ht="15.6" x14ac:dyDescent="0.3">
      <c r="A278" s="93" t="s">
        <v>1</v>
      </c>
      <c r="B278" s="32" t="s">
        <v>54</v>
      </c>
      <c r="C278" s="33" t="s">
        <v>457</v>
      </c>
      <c r="D278" s="35">
        <f t="shared" si="695"/>
        <v>26212733</v>
      </c>
      <c r="E278" s="35">
        <f t="shared" ref="E278:E285" si="717">SUM(F278+BA278)</f>
        <v>0</v>
      </c>
      <c r="F278" s="35">
        <f t="shared" ref="F278:F283" si="718">SUM(G278+H278+I278+P278+S278+T278+U278+AE278+AD278)</f>
        <v>0</v>
      </c>
      <c r="G278" s="35">
        <v>0</v>
      </c>
      <c r="H278" s="35">
        <v>0</v>
      </c>
      <c r="I278" s="35">
        <f>SUM(J278:O278)</f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  <c r="O278" s="35">
        <v>0</v>
      </c>
      <c r="P278" s="35">
        <f>SUM(Q278:R278)</f>
        <v>0</v>
      </c>
      <c r="Q278" s="35">
        <v>0</v>
      </c>
      <c r="R278" s="35">
        <v>0</v>
      </c>
      <c r="S278" s="35">
        <v>0</v>
      </c>
      <c r="T278" s="35">
        <v>0</v>
      </c>
      <c r="U278" s="35">
        <f t="shared" ref="U278:U283" si="719">SUM(V278:AC278)</f>
        <v>0</v>
      </c>
      <c r="V278" s="35">
        <v>0</v>
      </c>
      <c r="W278" s="35">
        <v>0</v>
      </c>
      <c r="X278" s="35">
        <v>0</v>
      </c>
      <c r="Y278" s="35">
        <v>0</v>
      </c>
      <c r="Z278" s="35">
        <v>0</v>
      </c>
      <c r="AA278" s="35">
        <v>0</v>
      </c>
      <c r="AB278" s="35">
        <v>0</v>
      </c>
      <c r="AC278" s="35">
        <v>0</v>
      </c>
      <c r="AD278" s="35">
        <v>0</v>
      </c>
      <c r="AE278" s="35">
        <f t="shared" ref="AE278:AE285" si="720">SUM(AF278:AZ278)</f>
        <v>0</v>
      </c>
      <c r="AF278" s="35"/>
      <c r="AG278" s="35"/>
      <c r="AH278" s="35">
        <v>0</v>
      </c>
      <c r="AI278" s="35">
        <v>0</v>
      </c>
      <c r="AJ278" s="35">
        <v>0</v>
      </c>
      <c r="AK278" s="35">
        <v>0</v>
      </c>
      <c r="AL278" s="35">
        <v>0</v>
      </c>
      <c r="AM278" s="35">
        <v>0</v>
      </c>
      <c r="AN278" s="35">
        <v>0</v>
      </c>
      <c r="AO278" s="35">
        <v>0</v>
      </c>
      <c r="AP278" s="35">
        <v>0</v>
      </c>
      <c r="AQ278" s="35">
        <v>0</v>
      </c>
      <c r="AR278" s="35">
        <v>0</v>
      </c>
      <c r="AS278" s="35">
        <v>0</v>
      </c>
      <c r="AT278" s="35">
        <v>0</v>
      </c>
      <c r="AU278" s="35">
        <v>0</v>
      </c>
      <c r="AV278" s="35">
        <v>0</v>
      </c>
      <c r="AW278" s="35">
        <v>0</v>
      </c>
      <c r="AX278" s="35">
        <v>0</v>
      </c>
      <c r="AY278" s="35">
        <v>0</v>
      </c>
      <c r="AZ278" s="35">
        <v>0</v>
      </c>
      <c r="BA278" s="35">
        <f t="shared" ref="BA278:BA285" si="721">SUM(BB278+BF278+BJ278+BL278+BO278)</f>
        <v>0</v>
      </c>
      <c r="BB278" s="35">
        <f t="shared" ref="BB278:BB283" si="722">SUM(BC278:BE278)</f>
        <v>0</v>
      </c>
      <c r="BC278" s="35">
        <v>0</v>
      </c>
      <c r="BD278" s="35">
        <v>0</v>
      </c>
      <c r="BE278" s="35">
        <v>0</v>
      </c>
      <c r="BF278" s="35">
        <f t="shared" ref="BF278:BF283" si="723">SUM(BI278:BI278)</f>
        <v>0</v>
      </c>
      <c r="BG278" s="35">
        <v>0</v>
      </c>
      <c r="BH278" s="35">
        <v>0</v>
      </c>
      <c r="BI278" s="35">
        <v>0</v>
      </c>
      <c r="BJ278" s="35">
        <v>0</v>
      </c>
      <c r="BK278" s="35">
        <v>0</v>
      </c>
      <c r="BL278" s="35">
        <f>SUM(BM278)</f>
        <v>0</v>
      </c>
      <c r="BM278" s="35">
        <v>0</v>
      </c>
      <c r="BN278" s="35">
        <v>0</v>
      </c>
      <c r="BO278" s="35">
        <f t="shared" ref="BO278:BO283" si="724">SUM(BP278:BZ278)</f>
        <v>0</v>
      </c>
      <c r="BP278" s="35">
        <v>0</v>
      </c>
      <c r="BQ278" s="35">
        <v>0</v>
      </c>
      <c r="BR278" s="35">
        <v>0</v>
      </c>
      <c r="BS278" s="35">
        <v>0</v>
      </c>
      <c r="BT278" s="35">
        <v>0</v>
      </c>
      <c r="BU278" s="35">
        <v>0</v>
      </c>
      <c r="BV278" s="35">
        <v>0</v>
      </c>
      <c r="BW278" s="35">
        <v>0</v>
      </c>
      <c r="BX278" s="35">
        <v>0</v>
      </c>
      <c r="BY278" s="35">
        <v>0</v>
      </c>
      <c r="BZ278" s="35">
        <v>0</v>
      </c>
      <c r="CA278" s="35">
        <f t="shared" si="701"/>
        <v>26212733</v>
      </c>
      <c r="CB278" s="35">
        <f t="shared" si="702"/>
        <v>0</v>
      </c>
      <c r="CC278" s="35">
        <f>SUM(CD278:CE278)</f>
        <v>0</v>
      </c>
      <c r="CD278" s="35">
        <v>0</v>
      </c>
      <c r="CE278" s="35">
        <v>0</v>
      </c>
      <c r="CF278" s="18">
        <f t="shared" si="703"/>
        <v>0</v>
      </c>
      <c r="CG278" s="35">
        <v>0</v>
      </c>
      <c r="CH278" s="35">
        <v>0</v>
      </c>
      <c r="CI278" s="35">
        <v>0</v>
      </c>
      <c r="CJ278" s="35">
        <v>0</v>
      </c>
      <c r="CK278" s="35">
        <f t="shared" si="704"/>
        <v>0</v>
      </c>
      <c r="CL278" s="35">
        <v>0</v>
      </c>
      <c r="CM278" s="35">
        <v>0</v>
      </c>
      <c r="CN278" s="31">
        <f>29640283-293251-3134299</f>
        <v>26212733</v>
      </c>
      <c r="CO278" s="66"/>
      <c r="CP278" s="66"/>
      <c r="CQ278" s="66"/>
      <c r="CR278" s="66"/>
      <c r="CS278" s="46"/>
      <c r="GP278" s="49"/>
    </row>
    <row r="279" spans="1:198" ht="15.6" x14ac:dyDescent="0.3">
      <c r="A279" s="93" t="s">
        <v>1</v>
      </c>
      <c r="B279" s="32" t="s">
        <v>54</v>
      </c>
      <c r="C279" s="33" t="s">
        <v>456</v>
      </c>
      <c r="D279" s="35">
        <f t="shared" si="695"/>
        <v>4119181</v>
      </c>
      <c r="E279" s="35">
        <f>SUM(F279+BA279)</f>
        <v>0</v>
      </c>
      <c r="F279" s="35">
        <f>SUM(G279+H279+I279+P279+S279+T279+U279+AE279+AD279)</f>
        <v>0</v>
      </c>
      <c r="G279" s="35">
        <v>0</v>
      </c>
      <c r="H279" s="35">
        <v>0</v>
      </c>
      <c r="I279" s="35">
        <f>SUM(J279:O279)</f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  <c r="O279" s="35">
        <v>0</v>
      </c>
      <c r="P279" s="35">
        <f>SUM(Q279:R279)</f>
        <v>0</v>
      </c>
      <c r="Q279" s="35">
        <v>0</v>
      </c>
      <c r="R279" s="35">
        <v>0</v>
      </c>
      <c r="S279" s="35">
        <v>0</v>
      </c>
      <c r="T279" s="35">
        <v>0</v>
      </c>
      <c r="U279" s="35">
        <f>SUM(V279:AC279)</f>
        <v>0</v>
      </c>
      <c r="V279" s="35">
        <v>0</v>
      </c>
      <c r="W279" s="35">
        <v>0</v>
      </c>
      <c r="X279" s="35">
        <v>0</v>
      </c>
      <c r="Y279" s="35">
        <v>0</v>
      </c>
      <c r="Z279" s="35">
        <v>0</v>
      </c>
      <c r="AA279" s="35">
        <v>0</v>
      </c>
      <c r="AB279" s="35">
        <v>0</v>
      </c>
      <c r="AC279" s="35">
        <v>0</v>
      </c>
      <c r="AD279" s="35">
        <v>0</v>
      </c>
      <c r="AE279" s="35">
        <f>SUM(AF279:AZ279)</f>
        <v>0</v>
      </c>
      <c r="AF279" s="35"/>
      <c r="AG279" s="35"/>
      <c r="AH279" s="35">
        <v>0</v>
      </c>
      <c r="AI279" s="35">
        <v>0</v>
      </c>
      <c r="AJ279" s="35">
        <v>0</v>
      </c>
      <c r="AK279" s="35">
        <v>0</v>
      </c>
      <c r="AL279" s="35">
        <v>0</v>
      </c>
      <c r="AM279" s="35">
        <v>0</v>
      </c>
      <c r="AN279" s="35">
        <v>0</v>
      </c>
      <c r="AO279" s="35">
        <v>0</v>
      </c>
      <c r="AP279" s="35">
        <v>0</v>
      </c>
      <c r="AQ279" s="35">
        <v>0</v>
      </c>
      <c r="AR279" s="35">
        <v>0</v>
      </c>
      <c r="AS279" s="35">
        <v>0</v>
      </c>
      <c r="AT279" s="35">
        <v>0</v>
      </c>
      <c r="AU279" s="35">
        <v>0</v>
      </c>
      <c r="AV279" s="35">
        <v>0</v>
      </c>
      <c r="AW279" s="35">
        <v>0</v>
      </c>
      <c r="AX279" s="35">
        <v>0</v>
      </c>
      <c r="AY279" s="35">
        <v>0</v>
      </c>
      <c r="AZ279" s="35">
        <v>0</v>
      </c>
      <c r="BA279" s="35">
        <f>SUM(BB279+BF279+BJ279+BL279+BO279)</f>
        <v>0</v>
      </c>
      <c r="BB279" s="35">
        <f>SUM(BC279:BE279)</f>
        <v>0</v>
      </c>
      <c r="BC279" s="35">
        <v>0</v>
      </c>
      <c r="BD279" s="35">
        <v>0</v>
      </c>
      <c r="BE279" s="35">
        <v>0</v>
      </c>
      <c r="BF279" s="35">
        <f>SUM(BI279:BI279)</f>
        <v>0</v>
      </c>
      <c r="BG279" s="35">
        <v>0</v>
      </c>
      <c r="BH279" s="35">
        <v>0</v>
      </c>
      <c r="BI279" s="35">
        <v>0</v>
      </c>
      <c r="BJ279" s="35">
        <v>0</v>
      </c>
      <c r="BK279" s="35">
        <v>0</v>
      </c>
      <c r="BL279" s="35">
        <f>SUM(BM279)</f>
        <v>0</v>
      </c>
      <c r="BM279" s="35">
        <v>0</v>
      </c>
      <c r="BN279" s="35">
        <v>0</v>
      </c>
      <c r="BO279" s="35">
        <f>SUM(BP279:BZ279)</f>
        <v>0</v>
      </c>
      <c r="BP279" s="35">
        <v>0</v>
      </c>
      <c r="BQ279" s="35">
        <v>0</v>
      </c>
      <c r="BR279" s="35">
        <v>0</v>
      </c>
      <c r="BS279" s="35">
        <v>0</v>
      </c>
      <c r="BT279" s="35">
        <v>0</v>
      </c>
      <c r="BU279" s="35">
        <v>0</v>
      </c>
      <c r="BV279" s="35">
        <v>0</v>
      </c>
      <c r="BW279" s="35">
        <v>0</v>
      </c>
      <c r="BX279" s="35">
        <v>0</v>
      </c>
      <c r="BY279" s="35">
        <v>0</v>
      </c>
      <c r="BZ279" s="35">
        <v>0</v>
      </c>
      <c r="CA279" s="35">
        <f t="shared" si="701"/>
        <v>4119181</v>
      </c>
      <c r="CB279" s="35">
        <f t="shared" si="702"/>
        <v>0</v>
      </c>
      <c r="CC279" s="35">
        <f>SUM(CD279:CE279)</f>
        <v>0</v>
      </c>
      <c r="CD279" s="35">
        <v>0</v>
      </c>
      <c r="CE279" s="35">
        <v>0</v>
      </c>
      <c r="CF279" s="18">
        <f t="shared" si="703"/>
        <v>0</v>
      </c>
      <c r="CG279" s="35">
        <v>0</v>
      </c>
      <c r="CH279" s="35">
        <v>0</v>
      </c>
      <c r="CI279" s="35">
        <v>0</v>
      </c>
      <c r="CJ279" s="35">
        <v>0</v>
      </c>
      <c r="CK279" s="35">
        <f t="shared" si="704"/>
        <v>0</v>
      </c>
      <c r="CL279" s="35">
        <v>0</v>
      </c>
      <c r="CM279" s="35">
        <v>0</v>
      </c>
      <c r="CN279" s="31">
        <v>4119181</v>
      </c>
      <c r="CO279" s="66"/>
      <c r="CP279" s="66"/>
      <c r="CQ279" s="66"/>
      <c r="CR279" s="66"/>
      <c r="CS279" s="46"/>
    </row>
    <row r="280" spans="1:198" ht="16.8" customHeight="1" x14ac:dyDescent="0.3">
      <c r="A280" s="93" t="s">
        <v>1</v>
      </c>
      <c r="B280" s="32" t="s">
        <v>54</v>
      </c>
      <c r="C280" s="33" t="s">
        <v>287</v>
      </c>
      <c r="D280" s="35">
        <f t="shared" si="695"/>
        <v>2365065</v>
      </c>
      <c r="E280" s="35">
        <f t="shared" si="717"/>
        <v>0</v>
      </c>
      <c r="F280" s="35">
        <f t="shared" si="718"/>
        <v>0</v>
      </c>
      <c r="G280" s="35">
        <v>0</v>
      </c>
      <c r="H280" s="35">
        <v>0</v>
      </c>
      <c r="I280" s="35">
        <f t="shared" ref="I280:I283" si="725">SUM(J280:O280)</f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  <c r="O280" s="35">
        <v>0</v>
      </c>
      <c r="P280" s="35">
        <f t="shared" ref="P280:P283" si="726">SUM(Q280:R280)</f>
        <v>0</v>
      </c>
      <c r="Q280" s="35">
        <v>0</v>
      </c>
      <c r="R280" s="35">
        <v>0</v>
      </c>
      <c r="S280" s="35">
        <v>0</v>
      </c>
      <c r="T280" s="35">
        <v>0</v>
      </c>
      <c r="U280" s="35">
        <f t="shared" si="719"/>
        <v>0</v>
      </c>
      <c r="V280" s="35">
        <v>0</v>
      </c>
      <c r="W280" s="35">
        <v>0</v>
      </c>
      <c r="X280" s="35">
        <v>0</v>
      </c>
      <c r="Y280" s="35">
        <v>0</v>
      </c>
      <c r="Z280" s="35">
        <v>0</v>
      </c>
      <c r="AA280" s="35">
        <v>0</v>
      </c>
      <c r="AB280" s="35">
        <v>0</v>
      </c>
      <c r="AC280" s="35">
        <v>0</v>
      </c>
      <c r="AD280" s="35">
        <v>0</v>
      </c>
      <c r="AE280" s="35">
        <f t="shared" si="720"/>
        <v>0</v>
      </c>
      <c r="AF280" s="35"/>
      <c r="AG280" s="35"/>
      <c r="AH280" s="35">
        <v>0</v>
      </c>
      <c r="AI280" s="35">
        <v>0</v>
      </c>
      <c r="AJ280" s="35">
        <v>0</v>
      </c>
      <c r="AK280" s="35">
        <v>0</v>
      </c>
      <c r="AL280" s="35">
        <v>0</v>
      </c>
      <c r="AM280" s="35">
        <v>0</v>
      </c>
      <c r="AN280" s="35">
        <v>0</v>
      </c>
      <c r="AO280" s="35">
        <v>0</v>
      </c>
      <c r="AP280" s="35">
        <v>0</v>
      </c>
      <c r="AQ280" s="35">
        <v>0</v>
      </c>
      <c r="AR280" s="35">
        <v>0</v>
      </c>
      <c r="AS280" s="35">
        <v>0</v>
      </c>
      <c r="AT280" s="35">
        <v>0</v>
      </c>
      <c r="AU280" s="35">
        <v>0</v>
      </c>
      <c r="AV280" s="35">
        <v>0</v>
      </c>
      <c r="AW280" s="35">
        <v>0</v>
      </c>
      <c r="AX280" s="35">
        <v>0</v>
      </c>
      <c r="AY280" s="35">
        <v>0</v>
      </c>
      <c r="AZ280" s="35">
        <v>0</v>
      </c>
      <c r="BA280" s="35">
        <f t="shared" si="721"/>
        <v>0</v>
      </c>
      <c r="BB280" s="35">
        <f t="shared" si="722"/>
        <v>0</v>
      </c>
      <c r="BC280" s="35">
        <v>0</v>
      </c>
      <c r="BD280" s="35">
        <v>0</v>
      </c>
      <c r="BE280" s="35">
        <v>0</v>
      </c>
      <c r="BF280" s="35">
        <f t="shared" si="723"/>
        <v>0</v>
      </c>
      <c r="BG280" s="35">
        <v>0</v>
      </c>
      <c r="BH280" s="35">
        <v>0</v>
      </c>
      <c r="BI280" s="35">
        <v>0</v>
      </c>
      <c r="BJ280" s="35">
        <v>0</v>
      </c>
      <c r="BK280" s="35">
        <v>0</v>
      </c>
      <c r="BL280" s="35">
        <f t="shared" ref="BL280:BL283" si="727">SUM(BM280)</f>
        <v>0</v>
      </c>
      <c r="BM280" s="35">
        <v>0</v>
      </c>
      <c r="BN280" s="35">
        <v>0</v>
      </c>
      <c r="BO280" s="35">
        <f t="shared" si="724"/>
        <v>0</v>
      </c>
      <c r="BP280" s="35">
        <v>0</v>
      </c>
      <c r="BQ280" s="35">
        <v>0</v>
      </c>
      <c r="BR280" s="35">
        <v>0</v>
      </c>
      <c r="BS280" s="35">
        <v>0</v>
      </c>
      <c r="BT280" s="35">
        <v>0</v>
      </c>
      <c r="BU280" s="35">
        <v>0</v>
      </c>
      <c r="BV280" s="35">
        <v>0</v>
      </c>
      <c r="BW280" s="35">
        <v>0</v>
      </c>
      <c r="BX280" s="35">
        <v>0</v>
      </c>
      <c r="BY280" s="35">
        <v>0</v>
      </c>
      <c r="BZ280" s="35">
        <v>0</v>
      </c>
      <c r="CA280" s="35">
        <f t="shared" si="701"/>
        <v>2365065</v>
      </c>
      <c r="CB280" s="35">
        <f t="shared" si="702"/>
        <v>0</v>
      </c>
      <c r="CC280" s="35">
        <f t="shared" ref="CC280:CC283" si="728">SUM(CD280:CE280)</f>
        <v>0</v>
      </c>
      <c r="CD280" s="35">
        <v>0</v>
      </c>
      <c r="CE280" s="35">
        <v>0</v>
      </c>
      <c r="CF280" s="18">
        <f t="shared" si="703"/>
        <v>0</v>
      </c>
      <c r="CG280" s="35">
        <v>0</v>
      </c>
      <c r="CH280" s="35">
        <v>0</v>
      </c>
      <c r="CI280" s="35">
        <v>0</v>
      </c>
      <c r="CJ280" s="35">
        <v>0</v>
      </c>
      <c r="CK280" s="35">
        <f t="shared" si="704"/>
        <v>0</v>
      </c>
      <c r="CL280" s="35">
        <v>0</v>
      </c>
      <c r="CM280" s="35">
        <v>0</v>
      </c>
      <c r="CN280" s="31">
        <f>2965065-600000</f>
        <v>2365065</v>
      </c>
      <c r="CO280" s="66"/>
      <c r="CP280" s="66"/>
      <c r="CQ280" s="66"/>
      <c r="CR280" s="66"/>
      <c r="CS280" s="46"/>
    </row>
    <row r="281" spans="1:198" ht="15.6" x14ac:dyDescent="0.3">
      <c r="A281" s="90" t="s">
        <v>1</v>
      </c>
      <c r="B281" s="19" t="s">
        <v>56</v>
      </c>
      <c r="C281" s="20" t="s">
        <v>458</v>
      </c>
      <c r="D281" s="18">
        <f t="shared" si="695"/>
        <v>0</v>
      </c>
      <c r="E281" s="18">
        <f t="shared" si="717"/>
        <v>0</v>
      </c>
      <c r="F281" s="18">
        <f t="shared" si="718"/>
        <v>0</v>
      </c>
      <c r="G281" s="18">
        <v>0</v>
      </c>
      <c r="H281" s="18">
        <v>0</v>
      </c>
      <c r="I281" s="18">
        <f t="shared" si="725"/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f t="shared" si="726"/>
        <v>0</v>
      </c>
      <c r="Q281" s="18">
        <v>0</v>
      </c>
      <c r="R281" s="18">
        <v>0</v>
      </c>
      <c r="S281" s="18">
        <v>0</v>
      </c>
      <c r="T281" s="18">
        <v>0</v>
      </c>
      <c r="U281" s="18">
        <f t="shared" si="719"/>
        <v>0</v>
      </c>
      <c r="V281" s="18">
        <v>0</v>
      </c>
      <c r="W281" s="18">
        <v>0</v>
      </c>
      <c r="X281" s="18">
        <v>0</v>
      </c>
      <c r="Y281" s="18">
        <v>0</v>
      </c>
      <c r="Z281" s="18">
        <v>0</v>
      </c>
      <c r="AA281" s="18">
        <v>0</v>
      </c>
      <c r="AB281" s="18">
        <v>0</v>
      </c>
      <c r="AC281" s="18">
        <v>0</v>
      </c>
      <c r="AD281" s="18">
        <v>0</v>
      </c>
      <c r="AE281" s="18">
        <f t="shared" si="720"/>
        <v>0</v>
      </c>
      <c r="AF281" s="18"/>
      <c r="AG281" s="18"/>
      <c r="AH281" s="18">
        <v>0</v>
      </c>
      <c r="AI281" s="18">
        <v>0</v>
      </c>
      <c r="AJ281" s="18">
        <v>0</v>
      </c>
      <c r="AK281" s="18">
        <v>0</v>
      </c>
      <c r="AL281" s="18">
        <v>0</v>
      </c>
      <c r="AM281" s="18">
        <v>0</v>
      </c>
      <c r="AN281" s="18">
        <v>0</v>
      </c>
      <c r="AO281" s="18">
        <v>0</v>
      </c>
      <c r="AP281" s="18">
        <v>0</v>
      </c>
      <c r="AQ281" s="18">
        <v>0</v>
      </c>
      <c r="AR281" s="18">
        <v>0</v>
      </c>
      <c r="AS281" s="18">
        <v>0</v>
      </c>
      <c r="AT281" s="18">
        <v>0</v>
      </c>
      <c r="AU281" s="18">
        <v>0</v>
      </c>
      <c r="AV281" s="18">
        <v>0</v>
      </c>
      <c r="AW281" s="18">
        <v>0</v>
      </c>
      <c r="AX281" s="18">
        <v>0</v>
      </c>
      <c r="AY281" s="18">
        <v>0</v>
      </c>
      <c r="AZ281" s="18">
        <v>0</v>
      </c>
      <c r="BA281" s="18">
        <f t="shared" si="721"/>
        <v>0</v>
      </c>
      <c r="BB281" s="18">
        <f t="shared" si="722"/>
        <v>0</v>
      </c>
      <c r="BC281" s="18">
        <v>0</v>
      </c>
      <c r="BD281" s="18">
        <v>0</v>
      </c>
      <c r="BE281" s="18">
        <v>0</v>
      </c>
      <c r="BF281" s="18">
        <f t="shared" si="723"/>
        <v>0</v>
      </c>
      <c r="BG281" s="18">
        <v>0</v>
      </c>
      <c r="BH281" s="18">
        <v>0</v>
      </c>
      <c r="BI281" s="18">
        <v>0</v>
      </c>
      <c r="BJ281" s="18">
        <v>0</v>
      </c>
      <c r="BK281" s="18">
        <v>0</v>
      </c>
      <c r="BL281" s="18">
        <f t="shared" si="727"/>
        <v>0</v>
      </c>
      <c r="BM281" s="18">
        <v>0</v>
      </c>
      <c r="BN281" s="18">
        <v>0</v>
      </c>
      <c r="BO281" s="18">
        <f t="shared" si="724"/>
        <v>0</v>
      </c>
      <c r="BP281" s="18">
        <v>0</v>
      </c>
      <c r="BQ281" s="18">
        <v>0</v>
      </c>
      <c r="BR281" s="18">
        <v>0</v>
      </c>
      <c r="BS281" s="18">
        <v>0</v>
      </c>
      <c r="BT281" s="18">
        <v>0</v>
      </c>
      <c r="BU281" s="18">
        <v>0</v>
      </c>
      <c r="BV281" s="18">
        <v>0</v>
      </c>
      <c r="BW281" s="18">
        <v>0</v>
      </c>
      <c r="BX281" s="18">
        <v>0</v>
      </c>
      <c r="BY281" s="18">
        <v>0</v>
      </c>
      <c r="BZ281" s="18">
        <v>0</v>
      </c>
      <c r="CA281" s="18">
        <f t="shared" si="701"/>
        <v>0</v>
      </c>
      <c r="CB281" s="18">
        <f t="shared" si="702"/>
        <v>0</v>
      </c>
      <c r="CC281" s="18">
        <f t="shared" si="728"/>
        <v>0</v>
      </c>
      <c r="CD281" s="18">
        <v>0</v>
      </c>
      <c r="CE281" s="18">
        <v>0</v>
      </c>
      <c r="CF281" s="18">
        <f t="shared" si="703"/>
        <v>0</v>
      </c>
      <c r="CG281" s="18">
        <v>0</v>
      </c>
      <c r="CH281" s="18">
        <v>0</v>
      </c>
      <c r="CI281" s="18">
        <v>0</v>
      </c>
      <c r="CJ281" s="18">
        <v>0</v>
      </c>
      <c r="CK281" s="18">
        <f t="shared" si="704"/>
        <v>0</v>
      </c>
      <c r="CL281" s="18">
        <v>0</v>
      </c>
      <c r="CM281" s="18">
        <v>0</v>
      </c>
      <c r="CN281" s="31">
        <f>838650-838650</f>
        <v>0</v>
      </c>
      <c r="CO281" s="66"/>
      <c r="CP281" s="66"/>
      <c r="CQ281" s="66"/>
      <c r="CR281" s="66"/>
      <c r="CS281" s="46"/>
    </row>
    <row r="282" spans="1:198" ht="31.2" x14ac:dyDescent="0.3">
      <c r="A282" s="93"/>
      <c r="B282" s="37" t="s">
        <v>122</v>
      </c>
      <c r="C282" s="38" t="s">
        <v>514</v>
      </c>
      <c r="D282" s="35">
        <f t="shared" si="695"/>
        <v>0</v>
      </c>
      <c r="E282" s="35">
        <f t="shared" si="717"/>
        <v>0</v>
      </c>
      <c r="F282" s="35">
        <f t="shared" si="718"/>
        <v>0</v>
      </c>
      <c r="G282" s="35">
        <v>0</v>
      </c>
      <c r="H282" s="35">
        <v>0</v>
      </c>
      <c r="I282" s="35">
        <f t="shared" si="725"/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  <c r="O282" s="35">
        <v>0</v>
      </c>
      <c r="P282" s="35">
        <f t="shared" si="726"/>
        <v>0</v>
      </c>
      <c r="Q282" s="35">
        <v>0</v>
      </c>
      <c r="R282" s="35">
        <v>0</v>
      </c>
      <c r="S282" s="35">
        <v>0</v>
      </c>
      <c r="T282" s="35">
        <v>0</v>
      </c>
      <c r="U282" s="35">
        <f t="shared" si="719"/>
        <v>0</v>
      </c>
      <c r="V282" s="35">
        <v>0</v>
      </c>
      <c r="W282" s="35">
        <v>0</v>
      </c>
      <c r="X282" s="35">
        <v>0</v>
      </c>
      <c r="Y282" s="35">
        <v>0</v>
      </c>
      <c r="Z282" s="35">
        <v>0</v>
      </c>
      <c r="AA282" s="35">
        <v>0</v>
      </c>
      <c r="AB282" s="35">
        <v>0</v>
      </c>
      <c r="AC282" s="35">
        <v>0</v>
      </c>
      <c r="AD282" s="35">
        <v>0</v>
      </c>
      <c r="AE282" s="35">
        <f t="shared" si="720"/>
        <v>0</v>
      </c>
      <c r="AF282" s="36"/>
      <c r="AG282" s="36"/>
      <c r="AH282" s="35">
        <v>0</v>
      </c>
      <c r="AI282" s="35">
        <v>0</v>
      </c>
      <c r="AJ282" s="35">
        <v>0</v>
      </c>
      <c r="AK282" s="35">
        <v>0</v>
      </c>
      <c r="AL282" s="35">
        <v>0</v>
      </c>
      <c r="AM282" s="35">
        <v>0</v>
      </c>
      <c r="AN282" s="35">
        <v>0</v>
      </c>
      <c r="AO282" s="35">
        <v>0</v>
      </c>
      <c r="AP282" s="35">
        <v>0</v>
      </c>
      <c r="AQ282" s="35">
        <v>0</v>
      </c>
      <c r="AR282" s="35">
        <v>0</v>
      </c>
      <c r="AS282" s="35">
        <v>0</v>
      </c>
      <c r="AT282" s="35">
        <v>0</v>
      </c>
      <c r="AU282" s="35">
        <v>0</v>
      </c>
      <c r="AV282" s="35">
        <v>0</v>
      </c>
      <c r="AW282" s="35">
        <v>0</v>
      </c>
      <c r="AX282" s="35">
        <v>0</v>
      </c>
      <c r="AY282" s="35">
        <v>0</v>
      </c>
      <c r="AZ282" s="35">
        <v>0</v>
      </c>
      <c r="BA282" s="35">
        <f t="shared" si="721"/>
        <v>0</v>
      </c>
      <c r="BB282" s="35">
        <f t="shared" si="722"/>
        <v>0</v>
      </c>
      <c r="BC282" s="35">
        <v>0</v>
      </c>
      <c r="BD282" s="35">
        <v>0</v>
      </c>
      <c r="BE282" s="35">
        <v>0</v>
      </c>
      <c r="BF282" s="35">
        <f t="shared" si="723"/>
        <v>0</v>
      </c>
      <c r="BG282" s="35">
        <v>0</v>
      </c>
      <c r="BH282" s="35">
        <v>0</v>
      </c>
      <c r="BI282" s="35">
        <v>0</v>
      </c>
      <c r="BJ282" s="35">
        <v>0</v>
      </c>
      <c r="BK282" s="35">
        <v>0</v>
      </c>
      <c r="BL282" s="35">
        <f t="shared" si="727"/>
        <v>0</v>
      </c>
      <c r="BM282" s="35">
        <v>0</v>
      </c>
      <c r="BN282" s="35">
        <v>0</v>
      </c>
      <c r="BO282" s="35">
        <f t="shared" si="724"/>
        <v>0</v>
      </c>
      <c r="BP282" s="35">
        <v>0</v>
      </c>
      <c r="BQ282" s="35">
        <v>0</v>
      </c>
      <c r="BR282" s="35">
        <v>0</v>
      </c>
      <c r="BS282" s="35">
        <v>0</v>
      </c>
      <c r="BT282" s="35">
        <v>0</v>
      </c>
      <c r="BU282" s="35">
        <v>0</v>
      </c>
      <c r="BV282" s="35">
        <v>0</v>
      </c>
      <c r="BW282" s="35">
        <v>0</v>
      </c>
      <c r="BX282" s="35">
        <v>0</v>
      </c>
      <c r="BY282" s="35">
        <v>0</v>
      </c>
      <c r="BZ282" s="35">
        <v>0</v>
      </c>
      <c r="CA282" s="35">
        <f t="shared" si="701"/>
        <v>0</v>
      </c>
      <c r="CB282" s="35">
        <f t="shared" si="702"/>
        <v>0</v>
      </c>
      <c r="CC282" s="35">
        <f t="shared" si="728"/>
        <v>0</v>
      </c>
      <c r="CD282" s="35">
        <v>0</v>
      </c>
      <c r="CE282" s="31">
        <f>8631700-8631700</f>
        <v>0</v>
      </c>
      <c r="CF282" s="18">
        <f t="shared" si="703"/>
        <v>0</v>
      </c>
      <c r="CG282" s="35">
        <v>0</v>
      </c>
      <c r="CH282" s="35">
        <v>0</v>
      </c>
      <c r="CI282" s="35">
        <v>0</v>
      </c>
      <c r="CJ282" s="35">
        <v>0</v>
      </c>
      <c r="CK282" s="35">
        <f t="shared" si="704"/>
        <v>0</v>
      </c>
      <c r="CL282" s="35">
        <v>0</v>
      </c>
      <c r="CM282" s="35">
        <v>0</v>
      </c>
      <c r="CN282" s="31">
        <f>7438500-7438500</f>
        <v>0</v>
      </c>
      <c r="CO282" s="66"/>
      <c r="CP282" s="66"/>
      <c r="CQ282" s="66"/>
      <c r="CR282" s="66"/>
      <c r="CS282" s="46"/>
    </row>
    <row r="283" spans="1:198" ht="31.2" x14ac:dyDescent="0.3">
      <c r="A283" s="93"/>
      <c r="B283" s="37" t="s">
        <v>62</v>
      </c>
      <c r="C283" s="38" t="s">
        <v>459</v>
      </c>
      <c r="D283" s="35">
        <f t="shared" si="695"/>
        <v>922130</v>
      </c>
      <c r="E283" s="35">
        <f t="shared" si="717"/>
        <v>922130</v>
      </c>
      <c r="F283" s="35">
        <f t="shared" si="718"/>
        <v>922130</v>
      </c>
      <c r="G283" s="35">
        <v>0</v>
      </c>
      <c r="H283" s="35">
        <v>0</v>
      </c>
      <c r="I283" s="35">
        <f t="shared" si="725"/>
        <v>0</v>
      </c>
      <c r="J283" s="35">
        <v>0</v>
      </c>
      <c r="K283" s="35">
        <v>0</v>
      </c>
      <c r="L283" s="35">
        <v>0</v>
      </c>
      <c r="M283" s="35">
        <v>0</v>
      </c>
      <c r="N283" s="35">
        <v>0</v>
      </c>
      <c r="O283" s="35">
        <v>0</v>
      </c>
      <c r="P283" s="35">
        <f t="shared" si="726"/>
        <v>0</v>
      </c>
      <c r="Q283" s="35">
        <v>0</v>
      </c>
      <c r="R283" s="35">
        <v>0</v>
      </c>
      <c r="S283" s="35">
        <v>0</v>
      </c>
      <c r="T283" s="35">
        <v>0</v>
      </c>
      <c r="U283" s="35">
        <f t="shared" si="719"/>
        <v>0</v>
      </c>
      <c r="V283" s="35">
        <v>0</v>
      </c>
      <c r="W283" s="35">
        <v>0</v>
      </c>
      <c r="X283" s="35">
        <v>0</v>
      </c>
      <c r="Y283" s="35">
        <v>0</v>
      </c>
      <c r="Z283" s="35">
        <v>0</v>
      </c>
      <c r="AA283" s="35">
        <v>0</v>
      </c>
      <c r="AB283" s="35">
        <v>0</v>
      </c>
      <c r="AC283" s="35">
        <v>0</v>
      </c>
      <c r="AD283" s="35">
        <v>0</v>
      </c>
      <c r="AE283" s="35">
        <f t="shared" si="720"/>
        <v>922130</v>
      </c>
      <c r="AF283" s="36"/>
      <c r="AG283" s="36"/>
      <c r="AH283" s="35">
        <v>0</v>
      </c>
      <c r="AI283" s="35">
        <v>0</v>
      </c>
      <c r="AJ283" s="35">
        <v>0</v>
      </c>
      <c r="AK283" s="35">
        <v>0</v>
      </c>
      <c r="AL283" s="35">
        <v>0</v>
      </c>
      <c r="AM283" s="35">
        <v>0</v>
      </c>
      <c r="AN283" s="35">
        <v>0</v>
      </c>
      <c r="AO283" s="35">
        <v>0</v>
      </c>
      <c r="AP283" s="35">
        <v>0</v>
      </c>
      <c r="AQ283" s="35">
        <v>0</v>
      </c>
      <c r="AR283" s="35">
        <v>0</v>
      </c>
      <c r="AS283" s="35">
        <v>0</v>
      </c>
      <c r="AT283" s="35">
        <v>0</v>
      </c>
      <c r="AU283" s="35">
        <v>0</v>
      </c>
      <c r="AV283" s="35">
        <v>0</v>
      </c>
      <c r="AW283" s="35">
        <v>0</v>
      </c>
      <c r="AX283" s="35">
        <v>0</v>
      </c>
      <c r="AY283" s="35">
        <v>0</v>
      </c>
      <c r="AZ283" s="31">
        <f>1387967-465837</f>
        <v>922130</v>
      </c>
      <c r="BA283" s="35">
        <f t="shared" si="721"/>
        <v>0</v>
      </c>
      <c r="BB283" s="35">
        <f t="shared" si="722"/>
        <v>0</v>
      </c>
      <c r="BC283" s="35">
        <v>0</v>
      </c>
      <c r="BD283" s="35">
        <v>0</v>
      </c>
      <c r="BE283" s="35">
        <v>0</v>
      </c>
      <c r="BF283" s="35">
        <f t="shared" si="723"/>
        <v>0</v>
      </c>
      <c r="BG283" s="35">
        <v>0</v>
      </c>
      <c r="BH283" s="35">
        <v>0</v>
      </c>
      <c r="BI283" s="35">
        <v>0</v>
      </c>
      <c r="BJ283" s="35">
        <v>0</v>
      </c>
      <c r="BK283" s="35">
        <v>0</v>
      </c>
      <c r="BL283" s="35">
        <f t="shared" si="727"/>
        <v>0</v>
      </c>
      <c r="BM283" s="35">
        <v>0</v>
      </c>
      <c r="BN283" s="35">
        <v>0</v>
      </c>
      <c r="BO283" s="35">
        <f t="shared" si="724"/>
        <v>0</v>
      </c>
      <c r="BP283" s="35">
        <v>0</v>
      </c>
      <c r="BQ283" s="35">
        <v>0</v>
      </c>
      <c r="BR283" s="35">
        <v>0</v>
      </c>
      <c r="BS283" s="35">
        <v>0</v>
      </c>
      <c r="BT283" s="35">
        <v>0</v>
      </c>
      <c r="BU283" s="35">
        <v>0</v>
      </c>
      <c r="BV283" s="35">
        <v>0</v>
      </c>
      <c r="BW283" s="35">
        <v>0</v>
      </c>
      <c r="BX283" s="35">
        <v>0</v>
      </c>
      <c r="BY283" s="35">
        <v>0</v>
      </c>
      <c r="BZ283" s="35">
        <v>0</v>
      </c>
      <c r="CA283" s="35">
        <f t="shared" si="701"/>
        <v>0</v>
      </c>
      <c r="CB283" s="35">
        <f t="shared" si="702"/>
        <v>0</v>
      </c>
      <c r="CC283" s="35">
        <f t="shared" si="728"/>
        <v>0</v>
      </c>
      <c r="CD283" s="35">
        <v>0</v>
      </c>
      <c r="CE283" s="35">
        <v>0</v>
      </c>
      <c r="CF283" s="18">
        <f t="shared" si="703"/>
        <v>0</v>
      </c>
      <c r="CG283" s="35">
        <v>0</v>
      </c>
      <c r="CH283" s="35">
        <v>0</v>
      </c>
      <c r="CI283" s="35">
        <v>0</v>
      </c>
      <c r="CJ283" s="35">
        <v>0</v>
      </c>
      <c r="CK283" s="35">
        <f t="shared" si="704"/>
        <v>0</v>
      </c>
      <c r="CL283" s="35">
        <v>0</v>
      </c>
      <c r="CM283" s="35">
        <v>0</v>
      </c>
      <c r="CN283" s="31"/>
      <c r="CO283" s="66"/>
      <c r="CP283" s="66"/>
      <c r="CQ283" s="66"/>
      <c r="CR283" s="66"/>
      <c r="CS283" s="46"/>
    </row>
    <row r="284" spans="1:198" ht="31.2" x14ac:dyDescent="0.3">
      <c r="A284" s="93"/>
      <c r="B284" s="37">
        <v>147</v>
      </c>
      <c r="C284" s="38" t="s">
        <v>610</v>
      </c>
      <c r="D284" s="35">
        <f t="shared" si="695"/>
        <v>1475668</v>
      </c>
      <c r="E284" s="35">
        <f t="shared" ref="E284" si="729">SUM(F284+BA284)</f>
        <v>0</v>
      </c>
      <c r="F284" s="35">
        <f t="shared" ref="F284" si="730">SUM(G284+H284+I284+P284+S284+T284+U284+AE284+AD284)</f>
        <v>0</v>
      </c>
      <c r="G284" s="35">
        <v>0</v>
      </c>
      <c r="H284" s="35">
        <v>0</v>
      </c>
      <c r="I284" s="35">
        <f t="shared" ref="I284" si="731">SUM(J284:O284)</f>
        <v>0</v>
      </c>
      <c r="J284" s="35">
        <v>0</v>
      </c>
      <c r="K284" s="35">
        <v>0</v>
      </c>
      <c r="L284" s="35">
        <v>0</v>
      </c>
      <c r="M284" s="35">
        <v>0</v>
      </c>
      <c r="N284" s="35">
        <v>0</v>
      </c>
      <c r="O284" s="35">
        <v>0</v>
      </c>
      <c r="P284" s="35">
        <f t="shared" ref="P284" si="732">SUM(Q284:R284)</f>
        <v>0</v>
      </c>
      <c r="Q284" s="35">
        <v>0</v>
      </c>
      <c r="R284" s="35">
        <v>0</v>
      </c>
      <c r="S284" s="35">
        <v>0</v>
      </c>
      <c r="T284" s="35">
        <v>0</v>
      </c>
      <c r="U284" s="35">
        <f t="shared" ref="U284" si="733">SUM(V284:AC284)</f>
        <v>0</v>
      </c>
      <c r="V284" s="35">
        <v>0</v>
      </c>
      <c r="W284" s="35">
        <v>0</v>
      </c>
      <c r="X284" s="35">
        <v>0</v>
      </c>
      <c r="Y284" s="35">
        <v>0</v>
      </c>
      <c r="Z284" s="35">
        <v>0</v>
      </c>
      <c r="AA284" s="35">
        <v>0</v>
      </c>
      <c r="AB284" s="35">
        <v>0</v>
      </c>
      <c r="AC284" s="35">
        <v>0</v>
      </c>
      <c r="AD284" s="35">
        <v>0</v>
      </c>
      <c r="AE284" s="35">
        <f t="shared" ref="AE284" si="734">SUM(AF284:AZ284)</f>
        <v>0</v>
      </c>
      <c r="AF284" s="36"/>
      <c r="AG284" s="36"/>
      <c r="AH284" s="35">
        <v>0</v>
      </c>
      <c r="AI284" s="35">
        <v>0</v>
      </c>
      <c r="AJ284" s="35">
        <v>0</v>
      </c>
      <c r="AK284" s="35">
        <v>0</v>
      </c>
      <c r="AL284" s="35">
        <v>0</v>
      </c>
      <c r="AM284" s="35">
        <v>0</v>
      </c>
      <c r="AN284" s="35">
        <v>0</v>
      </c>
      <c r="AO284" s="35">
        <v>0</v>
      </c>
      <c r="AP284" s="35">
        <v>0</v>
      </c>
      <c r="AQ284" s="35">
        <v>0</v>
      </c>
      <c r="AR284" s="35">
        <v>0</v>
      </c>
      <c r="AS284" s="35">
        <v>0</v>
      </c>
      <c r="AT284" s="35">
        <v>0</v>
      </c>
      <c r="AU284" s="35">
        <v>0</v>
      </c>
      <c r="AV284" s="35">
        <v>0</v>
      </c>
      <c r="AW284" s="35">
        <v>0</v>
      </c>
      <c r="AX284" s="35">
        <v>0</v>
      </c>
      <c r="AY284" s="35">
        <v>0</v>
      </c>
      <c r="AZ284" s="31"/>
      <c r="BA284" s="35">
        <f t="shared" ref="BA284" si="735">SUM(BB284+BF284+BJ284+BL284+BO284)</f>
        <v>0</v>
      </c>
      <c r="BB284" s="35">
        <f t="shared" ref="BB284" si="736">SUM(BC284:BE284)</f>
        <v>0</v>
      </c>
      <c r="BC284" s="35">
        <v>0</v>
      </c>
      <c r="BD284" s="35">
        <v>0</v>
      </c>
      <c r="BE284" s="35">
        <v>0</v>
      </c>
      <c r="BF284" s="35">
        <f t="shared" ref="BF284" si="737">SUM(BI284:BI284)</f>
        <v>0</v>
      </c>
      <c r="BG284" s="35">
        <v>0</v>
      </c>
      <c r="BH284" s="35">
        <v>0</v>
      </c>
      <c r="BI284" s="35">
        <v>0</v>
      </c>
      <c r="BJ284" s="35">
        <v>0</v>
      </c>
      <c r="BK284" s="35">
        <v>0</v>
      </c>
      <c r="BL284" s="35">
        <f t="shared" ref="BL284" si="738">SUM(BM284)</f>
        <v>0</v>
      </c>
      <c r="BM284" s="35">
        <v>0</v>
      </c>
      <c r="BN284" s="35">
        <v>0</v>
      </c>
      <c r="BO284" s="35">
        <f t="shared" ref="BO284" si="739">SUM(BP284:BZ284)</f>
        <v>0</v>
      </c>
      <c r="BP284" s="35">
        <v>0</v>
      </c>
      <c r="BQ284" s="35">
        <v>0</v>
      </c>
      <c r="BR284" s="35">
        <v>0</v>
      </c>
      <c r="BS284" s="35">
        <v>0</v>
      </c>
      <c r="BT284" s="35">
        <v>0</v>
      </c>
      <c r="BU284" s="35">
        <v>0</v>
      </c>
      <c r="BV284" s="35">
        <v>0</v>
      </c>
      <c r="BW284" s="35">
        <v>0</v>
      </c>
      <c r="BX284" s="35">
        <v>0</v>
      </c>
      <c r="BY284" s="35">
        <v>0</v>
      </c>
      <c r="BZ284" s="35">
        <v>0</v>
      </c>
      <c r="CA284" s="35">
        <f t="shared" si="701"/>
        <v>1475668</v>
      </c>
      <c r="CB284" s="35">
        <f t="shared" si="702"/>
        <v>0</v>
      </c>
      <c r="CC284" s="35">
        <f t="shared" ref="CC284" si="740">SUM(CD284:CE284)</f>
        <v>0</v>
      </c>
      <c r="CD284" s="35">
        <v>0</v>
      </c>
      <c r="CE284" s="35">
        <v>0</v>
      </c>
      <c r="CF284" s="18">
        <f t="shared" si="703"/>
        <v>0</v>
      </c>
      <c r="CG284" s="35">
        <v>0</v>
      </c>
      <c r="CH284" s="35">
        <v>0</v>
      </c>
      <c r="CI284" s="35">
        <v>0</v>
      </c>
      <c r="CJ284" s="35">
        <v>0</v>
      </c>
      <c r="CK284" s="35">
        <f t="shared" si="704"/>
        <v>0</v>
      </c>
      <c r="CL284" s="35">
        <v>0</v>
      </c>
      <c r="CM284" s="35">
        <v>0</v>
      </c>
      <c r="CN284" s="31">
        <f>0+1475668</f>
        <v>1475668</v>
      </c>
      <c r="CO284" s="66"/>
      <c r="CP284" s="66"/>
      <c r="CQ284" s="66"/>
      <c r="CR284" s="66"/>
      <c r="CS284" s="46"/>
    </row>
    <row r="285" spans="1:198" s="49" customFormat="1" ht="15.6" x14ac:dyDescent="0.3">
      <c r="A285" s="90" t="s">
        <v>1</v>
      </c>
      <c r="B285" s="32" t="s">
        <v>460</v>
      </c>
      <c r="C285" s="20" t="s">
        <v>506</v>
      </c>
      <c r="D285" s="18">
        <f t="shared" si="695"/>
        <v>2126951</v>
      </c>
      <c r="E285" s="18">
        <f t="shared" si="717"/>
        <v>0</v>
      </c>
      <c r="F285" s="18">
        <f t="shared" si="710"/>
        <v>0</v>
      </c>
      <c r="G285" s="18">
        <v>0</v>
      </c>
      <c r="H285" s="18">
        <v>0</v>
      </c>
      <c r="I285" s="18">
        <f t="shared" si="597"/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f t="shared" si="604"/>
        <v>0</v>
      </c>
      <c r="Q285" s="18">
        <v>0</v>
      </c>
      <c r="R285" s="18">
        <v>0</v>
      </c>
      <c r="S285" s="18">
        <v>0</v>
      </c>
      <c r="T285" s="18">
        <v>0</v>
      </c>
      <c r="U285" s="18">
        <f t="shared" si="711"/>
        <v>0</v>
      </c>
      <c r="V285" s="18">
        <v>0</v>
      </c>
      <c r="W285" s="18">
        <v>0</v>
      </c>
      <c r="X285" s="18">
        <v>0</v>
      </c>
      <c r="Y285" s="18">
        <v>0</v>
      </c>
      <c r="Z285" s="18">
        <v>0</v>
      </c>
      <c r="AA285" s="18">
        <v>0</v>
      </c>
      <c r="AB285" s="18">
        <v>0</v>
      </c>
      <c r="AC285" s="18">
        <v>0</v>
      </c>
      <c r="AD285" s="18">
        <v>0</v>
      </c>
      <c r="AE285" s="18">
        <f t="shared" si="720"/>
        <v>0</v>
      </c>
      <c r="AF285" s="18">
        <v>0</v>
      </c>
      <c r="AG285" s="18">
        <v>0</v>
      </c>
      <c r="AH285" s="18">
        <v>0</v>
      </c>
      <c r="AI285" s="18">
        <v>0</v>
      </c>
      <c r="AJ285" s="18">
        <v>0</v>
      </c>
      <c r="AK285" s="18">
        <v>0</v>
      </c>
      <c r="AL285" s="18">
        <v>0</v>
      </c>
      <c r="AM285" s="18">
        <v>0</v>
      </c>
      <c r="AN285" s="18">
        <v>0</v>
      </c>
      <c r="AO285" s="18">
        <v>0</v>
      </c>
      <c r="AP285" s="18">
        <v>0</v>
      </c>
      <c r="AQ285" s="18">
        <v>0</v>
      </c>
      <c r="AR285" s="18">
        <v>0</v>
      </c>
      <c r="AS285" s="18">
        <v>0</v>
      </c>
      <c r="AT285" s="18">
        <v>0</v>
      </c>
      <c r="AU285" s="18">
        <v>0</v>
      </c>
      <c r="AV285" s="18">
        <v>0</v>
      </c>
      <c r="AW285" s="18">
        <v>0</v>
      </c>
      <c r="AX285" s="18">
        <v>0</v>
      </c>
      <c r="AY285" s="18">
        <v>0</v>
      </c>
      <c r="AZ285" s="18">
        <v>0</v>
      </c>
      <c r="BA285" s="18">
        <f t="shared" si="721"/>
        <v>0</v>
      </c>
      <c r="BB285" s="18">
        <f t="shared" si="712"/>
        <v>0</v>
      </c>
      <c r="BC285" s="18">
        <v>0</v>
      </c>
      <c r="BD285" s="18">
        <v>0</v>
      </c>
      <c r="BE285" s="18">
        <v>0</v>
      </c>
      <c r="BF285" s="18">
        <f>SUM(BI285:BI285)</f>
        <v>0</v>
      </c>
      <c r="BG285" s="18">
        <v>0</v>
      </c>
      <c r="BH285" s="18">
        <v>0</v>
      </c>
      <c r="BI285" s="18">
        <v>0</v>
      </c>
      <c r="BJ285" s="18">
        <v>0</v>
      </c>
      <c r="BK285" s="18">
        <v>0</v>
      </c>
      <c r="BL285" s="18">
        <f t="shared" si="609"/>
        <v>0</v>
      </c>
      <c r="BM285" s="18">
        <v>0</v>
      </c>
      <c r="BN285" s="18">
        <v>0</v>
      </c>
      <c r="BO285" s="18">
        <f t="shared" si="700"/>
        <v>0</v>
      </c>
      <c r="BP285" s="18">
        <v>0</v>
      </c>
      <c r="BQ285" s="18">
        <v>0</v>
      </c>
      <c r="BR285" s="18">
        <v>0</v>
      </c>
      <c r="BS285" s="18">
        <v>0</v>
      </c>
      <c r="BT285" s="18">
        <v>0</v>
      </c>
      <c r="BU285" s="18">
        <v>0</v>
      </c>
      <c r="BV285" s="18">
        <v>0</v>
      </c>
      <c r="BW285" s="18">
        <v>0</v>
      </c>
      <c r="BX285" s="18">
        <v>0</v>
      </c>
      <c r="BY285" s="18">
        <v>0</v>
      </c>
      <c r="BZ285" s="18">
        <v>0</v>
      </c>
      <c r="CA285" s="18">
        <f t="shared" si="701"/>
        <v>2126951</v>
      </c>
      <c r="CB285" s="18">
        <f t="shared" si="702"/>
        <v>0</v>
      </c>
      <c r="CC285" s="18">
        <f t="shared" si="613"/>
        <v>0</v>
      </c>
      <c r="CD285" s="18">
        <v>0</v>
      </c>
      <c r="CE285" s="18">
        <v>0</v>
      </c>
      <c r="CF285" s="18">
        <f t="shared" si="703"/>
        <v>0</v>
      </c>
      <c r="CG285" s="18">
        <v>0</v>
      </c>
      <c r="CH285" s="18">
        <v>0</v>
      </c>
      <c r="CI285" s="18">
        <v>0</v>
      </c>
      <c r="CJ285" s="18">
        <v>0</v>
      </c>
      <c r="CK285" s="18">
        <f t="shared" si="704"/>
        <v>0</v>
      </c>
      <c r="CL285" s="18">
        <v>0</v>
      </c>
      <c r="CM285" s="18">
        <v>0</v>
      </c>
      <c r="CN285" s="31">
        <f>16500000+5175904-19548953</f>
        <v>2126951</v>
      </c>
      <c r="CO285" s="66"/>
      <c r="CP285" s="66"/>
      <c r="CQ285" s="66"/>
      <c r="CR285" s="66"/>
      <c r="CS285" s="46"/>
    </row>
    <row r="286" spans="1:198" s="46" customFormat="1" ht="15.6" x14ac:dyDescent="0.3">
      <c r="A286" s="89" t="s">
        <v>288</v>
      </c>
      <c r="B286" s="15" t="s">
        <v>1</v>
      </c>
      <c r="C286" s="16" t="s">
        <v>289</v>
      </c>
      <c r="D286" s="17">
        <f t="shared" ref="D286:BR288" si="741">SUM(D287)</f>
        <v>18854785</v>
      </c>
      <c r="E286" s="17">
        <f t="shared" si="741"/>
        <v>0</v>
      </c>
      <c r="F286" s="17">
        <f t="shared" si="741"/>
        <v>0</v>
      </c>
      <c r="G286" s="17">
        <f t="shared" si="741"/>
        <v>0</v>
      </c>
      <c r="H286" s="17">
        <f t="shared" si="741"/>
        <v>0</v>
      </c>
      <c r="I286" s="17">
        <f t="shared" si="741"/>
        <v>0</v>
      </c>
      <c r="J286" s="17">
        <f t="shared" si="741"/>
        <v>0</v>
      </c>
      <c r="K286" s="17">
        <f t="shared" si="741"/>
        <v>0</v>
      </c>
      <c r="L286" s="17">
        <f t="shared" si="741"/>
        <v>0</v>
      </c>
      <c r="M286" s="17">
        <f t="shared" si="741"/>
        <v>0</v>
      </c>
      <c r="N286" s="17">
        <f t="shared" si="741"/>
        <v>0</v>
      </c>
      <c r="O286" s="17">
        <f t="shared" si="741"/>
        <v>0</v>
      </c>
      <c r="P286" s="17">
        <f t="shared" si="741"/>
        <v>0</v>
      </c>
      <c r="Q286" s="17">
        <f t="shared" si="741"/>
        <v>0</v>
      </c>
      <c r="R286" s="17">
        <f t="shared" si="741"/>
        <v>0</v>
      </c>
      <c r="S286" s="17">
        <f t="shared" si="741"/>
        <v>0</v>
      </c>
      <c r="T286" s="17">
        <f t="shared" si="741"/>
        <v>0</v>
      </c>
      <c r="U286" s="17">
        <f t="shared" si="741"/>
        <v>0</v>
      </c>
      <c r="V286" s="17">
        <f t="shared" si="741"/>
        <v>0</v>
      </c>
      <c r="W286" s="17">
        <f t="shared" si="741"/>
        <v>0</v>
      </c>
      <c r="X286" s="17">
        <f t="shared" si="741"/>
        <v>0</v>
      </c>
      <c r="Y286" s="17">
        <f t="shared" si="741"/>
        <v>0</v>
      </c>
      <c r="Z286" s="17">
        <f t="shared" si="741"/>
        <v>0</v>
      </c>
      <c r="AA286" s="17">
        <f t="shared" si="741"/>
        <v>0</v>
      </c>
      <c r="AB286" s="17">
        <f t="shared" si="741"/>
        <v>0</v>
      </c>
      <c r="AC286" s="17">
        <f t="shared" si="741"/>
        <v>0</v>
      </c>
      <c r="AD286" s="17">
        <f t="shared" si="741"/>
        <v>0</v>
      </c>
      <c r="AE286" s="17">
        <f t="shared" si="741"/>
        <v>0</v>
      </c>
      <c r="AF286" s="17">
        <f t="shared" si="741"/>
        <v>0</v>
      </c>
      <c r="AG286" s="17">
        <f t="shared" si="741"/>
        <v>0</v>
      </c>
      <c r="AH286" s="17">
        <f t="shared" si="741"/>
        <v>0</v>
      </c>
      <c r="AI286" s="17">
        <f t="shared" si="741"/>
        <v>0</v>
      </c>
      <c r="AJ286" s="17">
        <f t="shared" si="741"/>
        <v>0</v>
      </c>
      <c r="AK286" s="17">
        <f t="shared" si="741"/>
        <v>0</v>
      </c>
      <c r="AL286" s="17">
        <f t="shared" si="741"/>
        <v>0</v>
      </c>
      <c r="AM286" s="17">
        <f t="shared" si="741"/>
        <v>0</v>
      </c>
      <c r="AN286" s="17">
        <f t="shared" si="741"/>
        <v>0</v>
      </c>
      <c r="AO286" s="17">
        <f t="shared" si="741"/>
        <v>0</v>
      </c>
      <c r="AP286" s="17">
        <f t="shared" si="741"/>
        <v>0</v>
      </c>
      <c r="AQ286" s="17">
        <f t="shared" si="741"/>
        <v>0</v>
      </c>
      <c r="AR286" s="17">
        <f t="shared" si="741"/>
        <v>0</v>
      </c>
      <c r="AS286" s="17">
        <f t="shared" si="741"/>
        <v>0</v>
      </c>
      <c r="AT286" s="17">
        <f t="shared" si="741"/>
        <v>0</v>
      </c>
      <c r="AU286" s="17">
        <f t="shared" si="741"/>
        <v>0</v>
      </c>
      <c r="AV286" s="17">
        <f t="shared" si="741"/>
        <v>0</v>
      </c>
      <c r="AW286" s="17">
        <f t="shared" si="741"/>
        <v>0</v>
      </c>
      <c r="AX286" s="17">
        <f t="shared" si="741"/>
        <v>0</v>
      </c>
      <c r="AY286" s="17"/>
      <c r="AZ286" s="17">
        <f t="shared" si="741"/>
        <v>0</v>
      </c>
      <c r="BA286" s="17">
        <f t="shared" si="741"/>
        <v>0</v>
      </c>
      <c r="BB286" s="17">
        <f t="shared" si="741"/>
        <v>0</v>
      </c>
      <c r="BC286" s="17">
        <f t="shared" si="741"/>
        <v>0</v>
      </c>
      <c r="BD286" s="17">
        <f t="shared" si="741"/>
        <v>0</v>
      </c>
      <c r="BE286" s="17">
        <f t="shared" si="741"/>
        <v>0</v>
      </c>
      <c r="BF286" s="17">
        <f t="shared" si="741"/>
        <v>0</v>
      </c>
      <c r="BG286" s="17">
        <f t="shared" si="741"/>
        <v>0</v>
      </c>
      <c r="BH286" s="17">
        <f t="shared" si="741"/>
        <v>0</v>
      </c>
      <c r="BI286" s="17">
        <f t="shared" si="741"/>
        <v>0</v>
      </c>
      <c r="BJ286" s="17">
        <f t="shared" si="741"/>
        <v>0</v>
      </c>
      <c r="BK286" s="17">
        <f t="shared" si="741"/>
        <v>0</v>
      </c>
      <c r="BL286" s="17">
        <f t="shared" si="741"/>
        <v>0</v>
      </c>
      <c r="BM286" s="17">
        <f t="shared" si="741"/>
        <v>0</v>
      </c>
      <c r="BN286" s="17">
        <f t="shared" si="741"/>
        <v>0</v>
      </c>
      <c r="BO286" s="17">
        <f t="shared" si="741"/>
        <v>0</v>
      </c>
      <c r="BP286" s="17">
        <f t="shared" si="741"/>
        <v>0</v>
      </c>
      <c r="BQ286" s="17">
        <f t="shared" si="741"/>
        <v>0</v>
      </c>
      <c r="BR286" s="17">
        <f t="shared" si="741"/>
        <v>0</v>
      </c>
      <c r="BS286" s="17">
        <f t="shared" ref="BS286:CN288" si="742">SUM(BS287)</f>
        <v>0</v>
      </c>
      <c r="BT286" s="17">
        <f t="shared" si="742"/>
        <v>0</v>
      </c>
      <c r="BU286" s="17">
        <f t="shared" si="742"/>
        <v>0</v>
      </c>
      <c r="BV286" s="17">
        <f t="shared" si="742"/>
        <v>0</v>
      </c>
      <c r="BW286" s="17">
        <f t="shared" si="742"/>
        <v>0</v>
      </c>
      <c r="BX286" s="17">
        <f t="shared" si="742"/>
        <v>0</v>
      </c>
      <c r="BY286" s="17">
        <f t="shared" si="742"/>
        <v>0</v>
      </c>
      <c r="BZ286" s="17">
        <f t="shared" si="742"/>
        <v>0</v>
      </c>
      <c r="CA286" s="17">
        <f t="shared" si="742"/>
        <v>18854785</v>
      </c>
      <c r="CB286" s="17">
        <f t="shared" si="742"/>
        <v>0</v>
      </c>
      <c r="CC286" s="17">
        <f t="shared" si="742"/>
        <v>0</v>
      </c>
      <c r="CD286" s="17">
        <f t="shared" si="742"/>
        <v>0</v>
      </c>
      <c r="CE286" s="17">
        <f t="shared" si="742"/>
        <v>0</v>
      </c>
      <c r="CF286" s="17">
        <f t="shared" si="742"/>
        <v>0</v>
      </c>
      <c r="CG286" s="17">
        <f t="shared" si="742"/>
        <v>0</v>
      </c>
      <c r="CH286" s="17">
        <f t="shared" si="742"/>
        <v>0</v>
      </c>
      <c r="CI286" s="17">
        <f t="shared" si="742"/>
        <v>0</v>
      </c>
      <c r="CJ286" s="17">
        <f t="shared" si="742"/>
        <v>0</v>
      </c>
      <c r="CK286" s="17">
        <f t="shared" si="742"/>
        <v>0</v>
      </c>
      <c r="CL286" s="17">
        <f t="shared" si="742"/>
        <v>0</v>
      </c>
      <c r="CM286" s="17">
        <f t="shared" si="742"/>
        <v>0</v>
      </c>
      <c r="CN286" s="34">
        <f t="shared" si="742"/>
        <v>18854785</v>
      </c>
      <c r="CO286" s="64"/>
      <c r="CP286" s="64"/>
      <c r="CQ286" s="64"/>
      <c r="CR286" s="64"/>
      <c r="CS286" s="51"/>
      <c r="GP286" s="49"/>
    </row>
    <row r="287" spans="1:198" s="46" customFormat="1" ht="15.6" x14ac:dyDescent="0.3">
      <c r="A287" s="90" t="s">
        <v>1</v>
      </c>
      <c r="B287" s="19" t="s">
        <v>290</v>
      </c>
      <c r="C287" s="20" t="s">
        <v>289</v>
      </c>
      <c r="D287" s="18">
        <f>SUM(E287+CA287)</f>
        <v>18854785</v>
      </c>
      <c r="E287" s="18">
        <f>SUM(F287+BA287)</f>
        <v>0</v>
      </c>
      <c r="F287" s="18">
        <f>SUM(G287+H287+I287+P287+S287+T287+U287+AE287+AD287)</f>
        <v>0</v>
      </c>
      <c r="G287" s="18">
        <v>0</v>
      </c>
      <c r="H287" s="18">
        <v>0</v>
      </c>
      <c r="I287" s="18">
        <f t="shared" si="597"/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f t="shared" si="604"/>
        <v>0</v>
      </c>
      <c r="Q287" s="18">
        <v>0</v>
      </c>
      <c r="R287" s="18">
        <v>0</v>
      </c>
      <c r="S287" s="18">
        <v>0</v>
      </c>
      <c r="T287" s="18">
        <v>0</v>
      </c>
      <c r="U287" s="18">
        <f t="shared" ref="U287" si="743">SUM(V287:AC287)</f>
        <v>0</v>
      </c>
      <c r="V287" s="18">
        <v>0</v>
      </c>
      <c r="W287" s="18">
        <v>0</v>
      </c>
      <c r="X287" s="18">
        <v>0</v>
      </c>
      <c r="Y287" s="18">
        <v>0</v>
      </c>
      <c r="Z287" s="18">
        <v>0</v>
      </c>
      <c r="AA287" s="18">
        <v>0</v>
      </c>
      <c r="AB287" s="18">
        <v>0</v>
      </c>
      <c r="AC287" s="18">
        <v>0</v>
      </c>
      <c r="AD287" s="18">
        <v>0</v>
      </c>
      <c r="AE287" s="18">
        <f>SUM(AF287:AZ287)</f>
        <v>0</v>
      </c>
      <c r="AF287" s="18">
        <v>0</v>
      </c>
      <c r="AG287" s="18">
        <v>0</v>
      </c>
      <c r="AH287" s="18">
        <v>0</v>
      </c>
      <c r="AI287" s="18">
        <v>0</v>
      </c>
      <c r="AJ287" s="18">
        <v>0</v>
      </c>
      <c r="AK287" s="18">
        <v>0</v>
      </c>
      <c r="AL287" s="18">
        <v>0</v>
      </c>
      <c r="AM287" s="18">
        <v>0</v>
      </c>
      <c r="AN287" s="18">
        <v>0</v>
      </c>
      <c r="AO287" s="18">
        <v>0</v>
      </c>
      <c r="AP287" s="18">
        <v>0</v>
      </c>
      <c r="AQ287" s="18">
        <v>0</v>
      </c>
      <c r="AR287" s="18">
        <v>0</v>
      </c>
      <c r="AS287" s="18">
        <v>0</v>
      </c>
      <c r="AT287" s="18">
        <v>0</v>
      </c>
      <c r="AU287" s="18">
        <v>0</v>
      </c>
      <c r="AV287" s="18">
        <v>0</v>
      </c>
      <c r="AW287" s="18">
        <v>0</v>
      </c>
      <c r="AX287" s="18">
        <v>0</v>
      </c>
      <c r="AY287" s="18"/>
      <c r="AZ287" s="18">
        <v>0</v>
      </c>
      <c r="BA287" s="18">
        <f>SUM(BB287+BF287+BJ287+BL287+BO287)</f>
        <v>0</v>
      </c>
      <c r="BB287" s="18">
        <f>SUM(BC287:BE287)</f>
        <v>0</v>
      </c>
      <c r="BC287" s="18">
        <v>0</v>
      </c>
      <c r="BD287" s="18">
        <v>0</v>
      </c>
      <c r="BE287" s="18">
        <v>0</v>
      </c>
      <c r="BF287" s="18">
        <f>SUM(BI287:BI287)</f>
        <v>0</v>
      </c>
      <c r="BG287" s="18">
        <v>0</v>
      </c>
      <c r="BH287" s="18">
        <v>0</v>
      </c>
      <c r="BI287" s="18">
        <v>0</v>
      </c>
      <c r="BJ287" s="18">
        <v>0</v>
      </c>
      <c r="BK287" s="18">
        <v>0</v>
      </c>
      <c r="BL287" s="18">
        <f t="shared" si="609"/>
        <v>0</v>
      </c>
      <c r="BM287" s="18">
        <v>0</v>
      </c>
      <c r="BN287" s="18">
        <v>0</v>
      </c>
      <c r="BO287" s="18">
        <f>SUM(BP287:BZ287)</f>
        <v>0</v>
      </c>
      <c r="BP287" s="18">
        <v>0</v>
      </c>
      <c r="BQ287" s="18">
        <v>0</v>
      </c>
      <c r="BR287" s="18">
        <v>0</v>
      </c>
      <c r="BS287" s="18">
        <v>0</v>
      </c>
      <c r="BT287" s="18">
        <v>0</v>
      </c>
      <c r="BU287" s="18">
        <v>0</v>
      </c>
      <c r="BV287" s="18">
        <v>0</v>
      </c>
      <c r="BW287" s="18">
        <v>0</v>
      </c>
      <c r="BX287" s="18">
        <v>0</v>
      </c>
      <c r="BY287" s="18">
        <v>0</v>
      </c>
      <c r="BZ287" s="18">
        <v>0</v>
      </c>
      <c r="CA287" s="18">
        <f>SUM(CB287+CN287)</f>
        <v>18854785</v>
      </c>
      <c r="CB287" s="18">
        <f>SUM(CC287+CF287+CK287)</f>
        <v>0</v>
      </c>
      <c r="CC287" s="18">
        <f t="shared" si="613"/>
        <v>0</v>
      </c>
      <c r="CD287" s="18">
        <v>0</v>
      </c>
      <c r="CE287" s="18">
        <v>0</v>
      </c>
      <c r="CF287" s="18">
        <f>SUM(CG287:CJ287)</f>
        <v>0</v>
      </c>
      <c r="CG287" s="18">
        <v>0</v>
      </c>
      <c r="CH287" s="18">
        <v>0</v>
      </c>
      <c r="CI287" s="18">
        <v>0</v>
      </c>
      <c r="CJ287" s="18">
        <v>0</v>
      </c>
      <c r="CK287" s="18">
        <f>SUM(CL287:CM287)</f>
        <v>0</v>
      </c>
      <c r="CL287" s="18">
        <v>0</v>
      </c>
      <c r="CM287" s="18">
        <v>0</v>
      </c>
      <c r="CN287" s="35">
        <f>12050000+10000000-2645215-550000</f>
        <v>18854785</v>
      </c>
      <c r="CO287" s="65"/>
      <c r="CP287" s="65"/>
      <c r="CQ287" s="65"/>
      <c r="CR287" s="65"/>
      <c r="GP287" s="44"/>
    </row>
    <row r="288" spans="1:198" s="51" customFormat="1" ht="31.5" customHeight="1" x14ac:dyDescent="0.3">
      <c r="A288" s="89" t="s">
        <v>291</v>
      </c>
      <c r="B288" s="15" t="s">
        <v>1</v>
      </c>
      <c r="C288" s="26" t="s">
        <v>594</v>
      </c>
      <c r="D288" s="17">
        <f t="shared" si="741"/>
        <v>2806208</v>
      </c>
      <c r="E288" s="17">
        <f t="shared" si="741"/>
        <v>2806208</v>
      </c>
      <c r="F288" s="17">
        <f t="shared" si="741"/>
        <v>0</v>
      </c>
      <c r="G288" s="17">
        <f t="shared" si="741"/>
        <v>0</v>
      </c>
      <c r="H288" s="17">
        <f t="shared" si="741"/>
        <v>0</v>
      </c>
      <c r="I288" s="17">
        <f t="shared" si="741"/>
        <v>0</v>
      </c>
      <c r="J288" s="17">
        <f t="shared" si="741"/>
        <v>0</v>
      </c>
      <c r="K288" s="17">
        <f t="shared" si="741"/>
        <v>0</v>
      </c>
      <c r="L288" s="17">
        <f t="shared" si="741"/>
        <v>0</v>
      </c>
      <c r="M288" s="17">
        <f t="shared" si="741"/>
        <v>0</v>
      </c>
      <c r="N288" s="17">
        <f t="shared" si="741"/>
        <v>0</v>
      </c>
      <c r="O288" s="17">
        <f t="shared" si="741"/>
        <v>0</v>
      </c>
      <c r="P288" s="17">
        <f t="shared" si="741"/>
        <v>0</v>
      </c>
      <c r="Q288" s="17">
        <f t="shared" si="741"/>
        <v>0</v>
      </c>
      <c r="R288" s="17">
        <f t="shared" si="741"/>
        <v>0</v>
      </c>
      <c r="S288" s="17">
        <f t="shared" si="741"/>
        <v>0</v>
      </c>
      <c r="T288" s="17">
        <f t="shared" si="741"/>
        <v>0</v>
      </c>
      <c r="U288" s="17">
        <f t="shared" si="741"/>
        <v>0</v>
      </c>
      <c r="V288" s="17">
        <f t="shared" si="741"/>
        <v>0</v>
      </c>
      <c r="W288" s="17">
        <f t="shared" si="741"/>
        <v>0</v>
      </c>
      <c r="X288" s="17">
        <f t="shared" si="741"/>
        <v>0</v>
      </c>
      <c r="Y288" s="17">
        <f t="shared" si="741"/>
        <v>0</v>
      </c>
      <c r="Z288" s="17">
        <f t="shared" si="741"/>
        <v>0</v>
      </c>
      <c r="AA288" s="17">
        <f t="shared" si="741"/>
        <v>0</v>
      </c>
      <c r="AB288" s="17">
        <f t="shared" si="741"/>
        <v>0</v>
      </c>
      <c r="AC288" s="17">
        <f t="shared" si="741"/>
        <v>0</v>
      </c>
      <c r="AD288" s="17">
        <f t="shared" si="741"/>
        <v>0</v>
      </c>
      <c r="AE288" s="17">
        <f t="shared" si="741"/>
        <v>0</v>
      </c>
      <c r="AF288" s="17">
        <f t="shared" si="741"/>
        <v>0</v>
      </c>
      <c r="AG288" s="17">
        <f t="shared" si="741"/>
        <v>0</v>
      </c>
      <c r="AH288" s="17">
        <f t="shared" si="741"/>
        <v>0</v>
      </c>
      <c r="AI288" s="17">
        <f t="shared" si="741"/>
        <v>0</v>
      </c>
      <c r="AJ288" s="17">
        <f t="shared" si="741"/>
        <v>0</v>
      </c>
      <c r="AK288" s="17">
        <f t="shared" si="741"/>
        <v>0</v>
      </c>
      <c r="AL288" s="17">
        <f t="shared" si="741"/>
        <v>0</v>
      </c>
      <c r="AM288" s="17">
        <f t="shared" si="741"/>
        <v>0</v>
      </c>
      <c r="AN288" s="17">
        <f t="shared" si="741"/>
        <v>0</v>
      </c>
      <c r="AO288" s="17">
        <f t="shared" si="741"/>
        <v>0</v>
      </c>
      <c r="AP288" s="17">
        <f t="shared" si="741"/>
        <v>0</v>
      </c>
      <c r="AQ288" s="17">
        <f t="shared" si="741"/>
        <v>0</v>
      </c>
      <c r="AR288" s="17">
        <f t="shared" si="741"/>
        <v>0</v>
      </c>
      <c r="AS288" s="17">
        <f t="shared" si="741"/>
        <v>0</v>
      </c>
      <c r="AT288" s="17">
        <f t="shared" si="741"/>
        <v>0</v>
      </c>
      <c r="AU288" s="17">
        <f t="shared" si="741"/>
        <v>0</v>
      </c>
      <c r="AV288" s="17">
        <f t="shared" si="741"/>
        <v>0</v>
      </c>
      <c r="AW288" s="17">
        <f t="shared" si="741"/>
        <v>0</v>
      </c>
      <c r="AX288" s="17">
        <f t="shared" si="741"/>
        <v>0</v>
      </c>
      <c r="AY288" s="17"/>
      <c r="AZ288" s="17">
        <f t="shared" si="741"/>
        <v>0</v>
      </c>
      <c r="BA288" s="17">
        <f t="shared" si="741"/>
        <v>2806208</v>
      </c>
      <c r="BB288" s="17">
        <f t="shared" si="741"/>
        <v>0</v>
      </c>
      <c r="BC288" s="17">
        <f t="shared" si="741"/>
        <v>0</v>
      </c>
      <c r="BD288" s="17">
        <f t="shared" si="741"/>
        <v>0</v>
      </c>
      <c r="BE288" s="17">
        <f t="shared" si="741"/>
        <v>0</v>
      </c>
      <c r="BF288" s="17">
        <f t="shared" si="741"/>
        <v>0</v>
      </c>
      <c r="BG288" s="17">
        <f t="shared" si="741"/>
        <v>0</v>
      </c>
      <c r="BH288" s="17">
        <f t="shared" si="741"/>
        <v>0</v>
      </c>
      <c r="BI288" s="17">
        <f t="shared" si="741"/>
        <v>0</v>
      </c>
      <c r="BJ288" s="17">
        <f t="shared" si="741"/>
        <v>2806208</v>
      </c>
      <c r="BK288" s="17">
        <f t="shared" si="741"/>
        <v>0</v>
      </c>
      <c r="BL288" s="17">
        <f t="shared" si="741"/>
        <v>0</v>
      </c>
      <c r="BM288" s="17">
        <f t="shared" si="741"/>
        <v>0</v>
      </c>
      <c r="BN288" s="17">
        <f t="shared" si="741"/>
        <v>0</v>
      </c>
      <c r="BO288" s="17">
        <f t="shared" si="741"/>
        <v>0</v>
      </c>
      <c r="BP288" s="17">
        <f t="shared" si="741"/>
        <v>0</v>
      </c>
      <c r="BQ288" s="17">
        <f t="shared" si="741"/>
        <v>0</v>
      </c>
      <c r="BR288" s="17">
        <f t="shared" si="741"/>
        <v>0</v>
      </c>
      <c r="BS288" s="17">
        <f t="shared" si="742"/>
        <v>0</v>
      </c>
      <c r="BT288" s="17">
        <f t="shared" si="742"/>
        <v>0</v>
      </c>
      <c r="BU288" s="17">
        <f t="shared" si="742"/>
        <v>0</v>
      </c>
      <c r="BV288" s="17">
        <f t="shared" si="742"/>
        <v>0</v>
      </c>
      <c r="BW288" s="17">
        <f t="shared" si="742"/>
        <v>0</v>
      </c>
      <c r="BX288" s="17">
        <f t="shared" si="742"/>
        <v>0</v>
      </c>
      <c r="BY288" s="17">
        <f t="shared" si="742"/>
        <v>0</v>
      </c>
      <c r="BZ288" s="17">
        <f t="shared" si="742"/>
        <v>0</v>
      </c>
      <c r="CA288" s="17">
        <f t="shared" si="742"/>
        <v>0</v>
      </c>
      <c r="CB288" s="17">
        <f t="shared" si="742"/>
        <v>0</v>
      </c>
      <c r="CC288" s="17">
        <f t="shared" si="742"/>
        <v>0</v>
      </c>
      <c r="CD288" s="17">
        <f t="shared" si="742"/>
        <v>0</v>
      </c>
      <c r="CE288" s="17">
        <f t="shared" si="742"/>
        <v>0</v>
      </c>
      <c r="CF288" s="17">
        <f t="shared" si="742"/>
        <v>0</v>
      </c>
      <c r="CG288" s="17">
        <f t="shared" si="742"/>
        <v>0</v>
      </c>
      <c r="CH288" s="17">
        <f t="shared" si="742"/>
        <v>0</v>
      </c>
      <c r="CI288" s="17">
        <f t="shared" si="742"/>
        <v>0</v>
      </c>
      <c r="CJ288" s="17">
        <f t="shared" si="742"/>
        <v>0</v>
      </c>
      <c r="CK288" s="17">
        <f t="shared" si="742"/>
        <v>0</v>
      </c>
      <c r="CL288" s="17">
        <f t="shared" si="742"/>
        <v>0</v>
      </c>
      <c r="CM288" s="17">
        <f t="shared" si="742"/>
        <v>0</v>
      </c>
      <c r="CN288" s="17">
        <f t="shared" si="742"/>
        <v>0</v>
      </c>
      <c r="CO288" s="64"/>
      <c r="CP288" s="64"/>
      <c r="CQ288" s="64"/>
      <c r="CR288" s="64"/>
      <c r="GP288" s="44"/>
    </row>
    <row r="289" spans="1:198" s="46" customFormat="1" ht="31.5" customHeight="1" x14ac:dyDescent="0.3">
      <c r="A289" s="90" t="s">
        <v>1</v>
      </c>
      <c r="B289" s="19" t="s">
        <v>73</v>
      </c>
      <c r="C289" s="27" t="s">
        <v>594</v>
      </c>
      <c r="D289" s="18">
        <f>SUM(E289+CA289)</f>
        <v>2806208</v>
      </c>
      <c r="E289" s="18">
        <f>SUM(F289+BA289)</f>
        <v>2806208</v>
      </c>
      <c r="F289" s="18">
        <f>SUM(G289+H289+I289+P289+S289+T289+U289+AE289+AD289)</f>
        <v>0</v>
      </c>
      <c r="G289" s="18">
        <v>0</v>
      </c>
      <c r="H289" s="18">
        <v>0</v>
      </c>
      <c r="I289" s="18">
        <f t="shared" ref="I289" si="744">SUM(J289:O289)</f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  <c r="P289" s="18">
        <f t="shared" ref="P289" si="745">SUM(Q289:R289)</f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f t="shared" ref="U289" si="746">SUM(V289:AC289)</f>
        <v>0</v>
      </c>
      <c r="V289" s="18">
        <v>0</v>
      </c>
      <c r="W289" s="18">
        <v>0</v>
      </c>
      <c r="X289" s="18">
        <v>0</v>
      </c>
      <c r="Y289" s="18">
        <v>0</v>
      </c>
      <c r="Z289" s="18">
        <v>0</v>
      </c>
      <c r="AA289" s="18">
        <v>0</v>
      </c>
      <c r="AB289" s="18">
        <v>0</v>
      </c>
      <c r="AC289" s="18">
        <v>0</v>
      </c>
      <c r="AD289" s="18">
        <v>0</v>
      </c>
      <c r="AE289" s="18">
        <f>SUM(AF289:AZ289)</f>
        <v>0</v>
      </c>
      <c r="AF289" s="18">
        <v>0</v>
      </c>
      <c r="AG289" s="18">
        <v>0</v>
      </c>
      <c r="AH289" s="18">
        <v>0</v>
      </c>
      <c r="AI289" s="18">
        <v>0</v>
      </c>
      <c r="AJ289" s="18">
        <v>0</v>
      </c>
      <c r="AK289" s="18">
        <v>0</v>
      </c>
      <c r="AL289" s="18">
        <v>0</v>
      </c>
      <c r="AM289" s="18">
        <v>0</v>
      </c>
      <c r="AN289" s="18">
        <v>0</v>
      </c>
      <c r="AO289" s="18">
        <v>0</v>
      </c>
      <c r="AP289" s="18">
        <v>0</v>
      </c>
      <c r="AQ289" s="18">
        <v>0</v>
      </c>
      <c r="AR289" s="18">
        <v>0</v>
      </c>
      <c r="AS289" s="18">
        <v>0</v>
      </c>
      <c r="AT289" s="18">
        <v>0</v>
      </c>
      <c r="AU289" s="18">
        <v>0</v>
      </c>
      <c r="AV289" s="18">
        <v>0</v>
      </c>
      <c r="AW289" s="18">
        <v>0</v>
      </c>
      <c r="AX289" s="18">
        <v>0</v>
      </c>
      <c r="AY289" s="18"/>
      <c r="AZ289" s="18">
        <v>0</v>
      </c>
      <c r="BA289" s="18">
        <f>SUM(BB289+BF289+BJ289+BL289+BO289)</f>
        <v>2806208</v>
      </c>
      <c r="BB289" s="18">
        <f>SUM(BC289:BE289)</f>
        <v>0</v>
      </c>
      <c r="BC289" s="18">
        <v>0</v>
      </c>
      <c r="BD289" s="18">
        <v>0</v>
      </c>
      <c r="BE289" s="18">
        <v>0</v>
      </c>
      <c r="BF289" s="18">
        <f>SUM(BI289:BI289)</f>
        <v>0</v>
      </c>
      <c r="BG289" s="18">
        <v>0</v>
      </c>
      <c r="BH289" s="18">
        <v>0</v>
      </c>
      <c r="BI289" s="18">
        <v>0</v>
      </c>
      <c r="BJ289" s="21">
        <f>3354301-548093</f>
        <v>2806208</v>
      </c>
      <c r="BK289" s="18">
        <v>0</v>
      </c>
      <c r="BL289" s="18">
        <f t="shared" ref="BL289" si="747">SUM(BM289)</f>
        <v>0</v>
      </c>
      <c r="BM289" s="18">
        <v>0</v>
      </c>
      <c r="BN289" s="18">
        <v>0</v>
      </c>
      <c r="BO289" s="18">
        <f>SUM(BP289:BZ289)</f>
        <v>0</v>
      </c>
      <c r="BP289" s="18">
        <v>0</v>
      </c>
      <c r="BQ289" s="18">
        <v>0</v>
      </c>
      <c r="BR289" s="18">
        <v>0</v>
      </c>
      <c r="BS289" s="18">
        <v>0</v>
      </c>
      <c r="BT289" s="18">
        <v>0</v>
      </c>
      <c r="BU289" s="18">
        <v>0</v>
      </c>
      <c r="BV289" s="18">
        <v>0</v>
      </c>
      <c r="BW289" s="18">
        <v>0</v>
      </c>
      <c r="BX289" s="18">
        <v>0</v>
      </c>
      <c r="BY289" s="18">
        <v>0</v>
      </c>
      <c r="BZ289" s="18">
        <v>0</v>
      </c>
      <c r="CA289" s="18">
        <f>SUM(CB289+CN289)</f>
        <v>0</v>
      </c>
      <c r="CB289" s="18">
        <f>SUM(CC289+CF289+CK289)</f>
        <v>0</v>
      </c>
      <c r="CC289" s="18">
        <f t="shared" ref="CC289" si="748">SUM(CD289:CE289)</f>
        <v>0</v>
      </c>
      <c r="CD289" s="18">
        <v>0</v>
      </c>
      <c r="CE289" s="18">
        <v>0</v>
      </c>
      <c r="CF289" s="18">
        <f>SUM(CG289:CJ289)</f>
        <v>0</v>
      </c>
      <c r="CG289" s="18">
        <v>0</v>
      </c>
      <c r="CH289" s="18">
        <v>0</v>
      </c>
      <c r="CI289" s="18">
        <v>0</v>
      </c>
      <c r="CJ289" s="18">
        <v>0</v>
      </c>
      <c r="CK289" s="18">
        <f>SUM(CL289:CM289)</f>
        <v>0</v>
      </c>
      <c r="CL289" s="18">
        <v>0</v>
      </c>
      <c r="CM289" s="18">
        <v>0</v>
      </c>
      <c r="CN289" s="18"/>
      <c r="CO289" s="65"/>
      <c r="CP289" s="65"/>
      <c r="CQ289" s="65"/>
      <c r="CR289" s="65"/>
      <c r="GP289" s="49"/>
    </row>
    <row r="290" spans="1:198" s="46" customFormat="1" ht="15.6" x14ac:dyDescent="0.3">
      <c r="A290" s="91" t="s">
        <v>292</v>
      </c>
      <c r="B290" s="23" t="s">
        <v>1</v>
      </c>
      <c r="C290" s="24" t="s">
        <v>293</v>
      </c>
      <c r="D290" s="25">
        <f t="shared" ref="D290:AX290" si="749">SUM(D304+D315+D306+D309+D311+D313+D317+D291)</f>
        <v>411410616</v>
      </c>
      <c r="E290" s="25">
        <f t="shared" si="749"/>
        <v>271724750</v>
      </c>
      <c r="F290" s="25">
        <f t="shared" si="749"/>
        <v>28436688</v>
      </c>
      <c r="G290" s="25">
        <f t="shared" si="749"/>
        <v>0</v>
      </c>
      <c r="H290" s="25">
        <f t="shared" si="749"/>
        <v>0</v>
      </c>
      <c r="I290" s="25">
        <f t="shared" si="749"/>
        <v>0</v>
      </c>
      <c r="J290" s="25">
        <f t="shared" si="749"/>
        <v>0</v>
      </c>
      <c r="K290" s="25">
        <f t="shared" si="749"/>
        <v>0</v>
      </c>
      <c r="L290" s="25">
        <f t="shared" si="749"/>
        <v>0</v>
      </c>
      <c r="M290" s="25">
        <f t="shared" si="749"/>
        <v>0</v>
      </c>
      <c r="N290" s="25">
        <f t="shared" si="749"/>
        <v>0</v>
      </c>
      <c r="O290" s="25">
        <f t="shared" si="749"/>
        <v>0</v>
      </c>
      <c r="P290" s="25">
        <f t="shared" si="749"/>
        <v>0</v>
      </c>
      <c r="Q290" s="25">
        <f t="shared" si="749"/>
        <v>0</v>
      </c>
      <c r="R290" s="25">
        <f t="shared" si="749"/>
        <v>0</v>
      </c>
      <c r="S290" s="25">
        <f t="shared" si="749"/>
        <v>0</v>
      </c>
      <c r="T290" s="25">
        <f t="shared" si="749"/>
        <v>0</v>
      </c>
      <c r="U290" s="25">
        <f t="shared" si="749"/>
        <v>0</v>
      </c>
      <c r="V290" s="25">
        <f t="shared" si="749"/>
        <v>0</v>
      </c>
      <c r="W290" s="25">
        <f t="shared" si="749"/>
        <v>0</v>
      </c>
      <c r="X290" s="25">
        <f t="shared" si="749"/>
        <v>0</v>
      </c>
      <c r="Y290" s="25">
        <f t="shared" si="749"/>
        <v>0</v>
      </c>
      <c r="Z290" s="25">
        <f t="shared" si="749"/>
        <v>0</v>
      </c>
      <c r="AA290" s="25">
        <f t="shared" si="749"/>
        <v>0</v>
      </c>
      <c r="AB290" s="25">
        <f t="shared" si="749"/>
        <v>0</v>
      </c>
      <c r="AC290" s="25">
        <f t="shared" si="749"/>
        <v>0</v>
      </c>
      <c r="AD290" s="25">
        <f t="shared" si="749"/>
        <v>0</v>
      </c>
      <c r="AE290" s="25">
        <f t="shared" si="749"/>
        <v>28436688</v>
      </c>
      <c r="AF290" s="25">
        <f t="shared" si="749"/>
        <v>0</v>
      </c>
      <c r="AG290" s="25">
        <f t="shared" si="749"/>
        <v>0</v>
      </c>
      <c r="AH290" s="25">
        <f t="shared" si="749"/>
        <v>0</v>
      </c>
      <c r="AI290" s="25">
        <f t="shared" si="749"/>
        <v>0</v>
      </c>
      <c r="AJ290" s="25">
        <f t="shared" si="749"/>
        <v>0</v>
      </c>
      <c r="AK290" s="25">
        <f t="shared" si="749"/>
        <v>0</v>
      </c>
      <c r="AL290" s="25">
        <f t="shared" si="749"/>
        <v>0</v>
      </c>
      <c r="AM290" s="25">
        <f t="shared" si="749"/>
        <v>0</v>
      </c>
      <c r="AN290" s="25">
        <f t="shared" si="749"/>
        <v>0</v>
      </c>
      <c r="AO290" s="25">
        <f t="shared" si="749"/>
        <v>0</v>
      </c>
      <c r="AP290" s="25">
        <f t="shared" si="749"/>
        <v>0</v>
      </c>
      <c r="AQ290" s="25">
        <f t="shared" si="749"/>
        <v>0</v>
      </c>
      <c r="AR290" s="25">
        <f t="shared" si="749"/>
        <v>0</v>
      </c>
      <c r="AS290" s="25">
        <f t="shared" si="749"/>
        <v>0</v>
      </c>
      <c r="AT290" s="25">
        <f t="shared" si="749"/>
        <v>0</v>
      </c>
      <c r="AU290" s="25">
        <f t="shared" si="749"/>
        <v>0</v>
      </c>
      <c r="AV290" s="25">
        <f t="shared" si="749"/>
        <v>0</v>
      </c>
      <c r="AW290" s="25">
        <f t="shared" si="749"/>
        <v>0</v>
      </c>
      <c r="AX290" s="25">
        <f t="shared" si="749"/>
        <v>0</v>
      </c>
      <c r="AY290" s="25"/>
      <c r="AZ290" s="25">
        <f t="shared" ref="AZ290:CF290" si="750">SUM(AZ304+AZ315+AZ306+AZ309+AZ311+AZ313+AZ317+AZ291)</f>
        <v>28436688</v>
      </c>
      <c r="BA290" s="25">
        <f t="shared" si="750"/>
        <v>243288062</v>
      </c>
      <c r="BB290" s="25">
        <f t="shared" si="750"/>
        <v>46206656</v>
      </c>
      <c r="BC290" s="25">
        <f t="shared" si="750"/>
        <v>46206656</v>
      </c>
      <c r="BD290" s="25">
        <f t="shared" si="750"/>
        <v>0</v>
      </c>
      <c r="BE290" s="25">
        <f t="shared" si="750"/>
        <v>0</v>
      </c>
      <c r="BF290" s="25">
        <f t="shared" si="750"/>
        <v>24703895</v>
      </c>
      <c r="BG290" s="25">
        <f t="shared" si="750"/>
        <v>22781669</v>
      </c>
      <c r="BH290" s="25">
        <f t="shared" si="750"/>
        <v>0</v>
      </c>
      <c r="BI290" s="25">
        <f t="shared" si="750"/>
        <v>1922226</v>
      </c>
      <c r="BJ290" s="25">
        <f t="shared" si="750"/>
        <v>141763457</v>
      </c>
      <c r="BK290" s="25">
        <f t="shared" si="750"/>
        <v>0</v>
      </c>
      <c r="BL290" s="25">
        <f t="shared" si="750"/>
        <v>0</v>
      </c>
      <c r="BM290" s="25">
        <f t="shared" si="750"/>
        <v>0</v>
      </c>
      <c r="BN290" s="25">
        <f t="shared" si="750"/>
        <v>0</v>
      </c>
      <c r="BO290" s="25">
        <f t="shared" si="750"/>
        <v>30614054</v>
      </c>
      <c r="BP290" s="25">
        <f t="shared" si="750"/>
        <v>0</v>
      </c>
      <c r="BQ290" s="25">
        <f t="shared" si="750"/>
        <v>0</v>
      </c>
      <c r="BR290" s="25">
        <f t="shared" si="750"/>
        <v>0</v>
      </c>
      <c r="BS290" s="25">
        <f t="shared" si="750"/>
        <v>0</v>
      </c>
      <c r="BT290" s="25">
        <f t="shared" si="750"/>
        <v>0</v>
      </c>
      <c r="BU290" s="25">
        <f t="shared" si="750"/>
        <v>0</v>
      </c>
      <c r="BV290" s="25">
        <f t="shared" si="750"/>
        <v>0</v>
      </c>
      <c r="BW290" s="25">
        <f t="shared" si="750"/>
        <v>0</v>
      </c>
      <c r="BX290" s="25">
        <f t="shared" si="750"/>
        <v>0</v>
      </c>
      <c r="BY290" s="25">
        <f t="shared" si="750"/>
        <v>0</v>
      </c>
      <c r="BZ290" s="25">
        <f t="shared" si="750"/>
        <v>30614054</v>
      </c>
      <c r="CA290" s="25">
        <f t="shared" si="750"/>
        <v>139685866</v>
      </c>
      <c r="CB290" s="25">
        <f t="shared" si="750"/>
        <v>131059229</v>
      </c>
      <c r="CC290" s="25">
        <f t="shared" si="750"/>
        <v>0</v>
      </c>
      <c r="CD290" s="25">
        <f t="shared" si="750"/>
        <v>0</v>
      </c>
      <c r="CE290" s="25">
        <f t="shared" si="750"/>
        <v>0</v>
      </c>
      <c r="CF290" s="25">
        <f t="shared" si="750"/>
        <v>82550399</v>
      </c>
      <c r="CG290" s="25">
        <f t="shared" ref="CG290:CQ290" si="751">SUM(CG304+CG315+CG306+CG309+CG311+CG313+CG317+CG291)</f>
        <v>76254170</v>
      </c>
      <c r="CH290" s="25">
        <f t="shared" si="751"/>
        <v>424997</v>
      </c>
      <c r="CI290" s="25">
        <f t="shared" si="751"/>
        <v>5015526</v>
      </c>
      <c r="CJ290" s="25">
        <f t="shared" si="751"/>
        <v>855706</v>
      </c>
      <c r="CK290" s="25">
        <f t="shared" si="751"/>
        <v>48508830</v>
      </c>
      <c r="CL290" s="25">
        <f t="shared" si="751"/>
        <v>42178996</v>
      </c>
      <c r="CM290" s="25">
        <f t="shared" si="751"/>
        <v>6329834</v>
      </c>
      <c r="CN290" s="25">
        <f t="shared" si="751"/>
        <v>8626637</v>
      </c>
      <c r="CO290" s="25">
        <f t="shared" si="751"/>
        <v>0</v>
      </c>
      <c r="CP290" s="25">
        <f t="shared" si="751"/>
        <v>0</v>
      </c>
      <c r="CQ290" s="25">
        <f t="shared" si="751"/>
        <v>0</v>
      </c>
      <c r="CR290" s="25">
        <f t="shared" ref="CR290" si="752">SUM(CR304+CR315+CR306+CR309+CR311+CR313+CR317+CR291)</f>
        <v>0</v>
      </c>
      <c r="CS290" s="51"/>
    </row>
    <row r="291" spans="1:198" s="46" customFormat="1" ht="15.6" x14ac:dyDescent="0.3">
      <c r="A291" s="89" t="s">
        <v>294</v>
      </c>
      <c r="B291" s="15" t="s">
        <v>1</v>
      </c>
      <c r="C291" s="26" t="s">
        <v>295</v>
      </c>
      <c r="D291" s="17">
        <f t="shared" ref="D291:AI291" si="753">SUM(D292:D303)</f>
        <v>164545126</v>
      </c>
      <c r="E291" s="17">
        <f t="shared" si="753"/>
        <v>164545126</v>
      </c>
      <c r="F291" s="17">
        <f t="shared" si="753"/>
        <v>0</v>
      </c>
      <c r="G291" s="17">
        <f t="shared" si="753"/>
        <v>0</v>
      </c>
      <c r="H291" s="17">
        <f t="shared" si="753"/>
        <v>0</v>
      </c>
      <c r="I291" s="17">
        <f t="shared" si="753"/>
        <v>0</v>
      </c>
      <c r="J291" s="17">
        <f t="shared" si="753"/>
        <v>0</v>
      </c>
      <c r="K291" s="17">
        <f t="shared" si="753"/>
        <v>0</v>
      </c>
      <c r="L291" s="17">
        <f t="shared" si="753"/>
        <v>0</v>
      </c>
      <c r="M291" s="17">
        <f t="shared" si="753"/>
        <v>0</v>
      </c>
      <c r="N291" s="17">
        <f t="shared" si="753"/>
        <v>0</v>
      </c>
      <c r="O291" s="17">
        <f t="shared" si="753"/>
        <v>0</v>
      </c>
      <c r="P291" s="17">
        <f t="shared" si="753"/>
        <v>0</v>
      </c>
      <c r="Q291" s="17">
        <f t="shared" si="753"/>
        <v>0</v>
      </c>
      <c r="R291" s="17">
        <f t="shared" si="753"/>
        <v>0</v>
      </c>
      <c r="S291" s="17">
        <f t="shared" si="753"/>
        <v>0</v>
      </c>
      <c r="T291" s="17">
        <f t="shared" si="753"/>
        <v>0</v>
      </c>
      <c r="U291" s="17">
        <f t="shared" si="753"/>
        <v>0</v>
      </c>
      <c r="V291" s="17">
        <f t="shared" si="753"/>
        <v>0</v>
      </c>
      <c r="W291" s="17">
        <f t="shared" si="753"/>
        <v>0</v>
      </c>
      <c r="X291" s="17">
        <f t="shared" si="753"/>
        <v>0</v>
      </c>
      <c r="Y291" s="17">
        <f t="shared" si="753"/>
        <v>0</v>
      </c>
      <c r="Z291" s="17">
        <f t="shared" si="753"/>
        <v>0</v>
      </c>
      <c r="AA291" s="17">
        <f t="shared" si="753"/>
        <v>0</v>
      </c>
      <c r="AB291" s="17">
        <f t="shared" si="753"/>
        <v>0</v>
      </c>
      <c r="AC291" s="17">
        <f t="shared" si="753"/>
        <v>0</v>
      </c>
      <c r="AD291" s="17">
        <f t="shared" si="753"/>
        <v>0</v>
      </c>
      <c r="AE291" s="17">
        <f t="shared" si="753"/>
        <v>0</v>
      </c>
      <c r="AF291" s="17">
        <f t="shared" si="753"/>
        <v>0</v>
      </c>
      <c r="AG291" s="17">
        <f t="shared" si="753"/>
        <v>0</v>
      </c>
      <c r="AH291" s="17">
        <f t="shared" si="753"/>
        <v>0</v>
      </c>
      <c r="AI291" s="17">
        <f t="shared" si="753"/>
        <v>0</v>
      </c>
      <c r="AJ291" s="17">
        <f t="shared" ref="AJ291:BP291" si="754">SUM(AJ292:AJ303)</f>
        <v>0</v>
      </c>
      <c r="AK291" s="17">
        <f t="shared" si="754"/>
        <v>0</v>
      </c>
      <c r="AL291" s="17">
        <f t="shared" si="754"/>
        <v>0</v>
      </c>
      <c r="AM291" s="17">
        <f t="shared" si="754"/>
        <v>0</v>
      </c>
      <c r="AN291" s="17">
        <f t="shared" si="754"/>
        <v>0</v>
      </c>
      <c r="AO291" s="17">
        <f t="shared" si="754"/>
        <v>0</v>
      </c>
      <c r="AP291" s="17">
        <f t="shared" si="754"/>
        <v>0</v>
      </c>
      <c r="AQ291" s="17">
        <f t="shared" si="754"/>
        <v>0</v>
      </c>
      <c r="AR291" s="17">
        <f t="shared" si="754"/>
        <v>0</v>
      </c>
      <c r="AS291" s="17">
        <f t="shared" si="754"/>
        <v>0</v>
      </c>
      <c r="AT291" s="17">
        <f t="shared" si="754"/>
        <v>0</v>
      </c>
      <c r="AU291" s="17">
        <f t="shared" si="754"/>
        <v>0</v>
      </c>
      <c r="AV291" s="17">
        <f t="shared" si="754"/>
        <v>0</v>
      </c>
      <c r="AW291" s="17">
        <f t="shared" si="754"/>
        <v>0</v>
      </c>
      <c r="AX291" s="17">
        <f t="shared" si="754"/>
        <v>0</v>
      </c>
      <c r="AY291" s="17">
        <f t="shared" si="754"/>
        <v>0</v>
      </c>
      <c r="AZ291" s="17">
        <f t="shared" si="754"/>
        <v>0</v>
      </c>
      <c r="BA291" s="17">
        <f t="shared" si="754"/>
        <v>164545126</v>
      </c>
      <c r="BB291" s="17">
        <f t="shared" si="754"/>
        <v>0</v>
      </c>
      <c r="BC291" s="17">
        <f t="shared" si="754"/>
        <v>0</v>
      </c>
      <c r="BD291" s="17">
        <f t="shared" si="754"/>
        <v>0</v>
      </c>
      <c r="BE291" s="17">
        <f t="shared" si="754"/>
        <v>0</v>
      </c>
      <c r="BF291" s="17">
        <f t="shared" si="754"/>
        <v>22781669</v>
      </c>
      <c r="BG291" s="17">
        <f t="shared" si="754"/>
        <v>22781669</v>
      </c>
      <c r="BH291" s="17">
        <f t="shared" si="754"/>
        <v>0</v>
      </c>
      <c r="BI291" s="17">
        <f t="shared" si="754"/>
        <v>0</v>
      </c>
      <c r="BJ291" s="17">
        <f>SUM(BJ292:BJ303)</f>
        <v>141763457</v>
      </c>
      <c r="BK291" s="17">
        <f t="shared" si="754"/>
        <v>0</v>
      </c>
      <c r="BL291" s="17">
        <f t="shared" si="754"/>
        <v>0</v>
      </c>
      <c r="BM291" s="17">
        <f t="shared" si="754"/>
        <v>0</v>
      </c>
      <c r="BN291" s="17">
        <f t="shared" si="754"/>
        <v>0</v>
      </c>
      <c r="BO291" s="17">
        <f t="shared" si="754"/>
        <v>0</v>
      </c>
      <c r="BP291" s="17">
        <f t="shared" si="754"/>
        <v>0</v>
      </c>
      <c r="BQ291" s="17">
        <f t="shared" ref="BQ291:CN291" si="755">SUM(BQ292:BQ303)</f>
        <v>0</v>
      </c>
      <c r="BR291" s="17">
        <f t="shared" si="755"/>
        <v>0</v>
      </c>
      <c r="BS291" s="17">
        <f t="shared" si="755"/>
        <v>0</v>
      </c>
      <c r="BT291" s="17">
        <f t="shared" si="755"/>
        <v>0</v>
      </c>
      <c r="BU291" s="17">
        <f t="shared" si="755"/>
        <v>0</v>
      </c>
      <c r="BV291" s="17">
        <f t="shared" si="755"/>
        <v>0</v>
      </c>
      <c r="BW291" s="17">
        <f t="shared" si="755"/>
        <v>0</v>
      </c>
      <c r="BX291" s="17">
        <f t="shared" si="755"/>
        <v>0</v>
      </c>
      <c r="BY291" s="17">
        <f t="shared" si="755"/>
        <v>0</v>
      </c>
      <c r="BZ291" s="17">
        <f t="shared" si="755"/>
        <v>0</v>
      </c>
      <c r="CA291" s="17">
        <f t="shared" si="755"/>
        <v>0</v>
      </c>
      <c r="CB291" s="17">
        <f t="shared" si="755"/>
        <v>0</v>
      </c>
      <c r="CC291" s="17">
        <f t="shared" si="755"/>
        <v>0</v>
      </c>
      <c r="CD291" s="17">
        <f t="shared" si="755"/>
        <v>0</v>
      </c>
      <c r="CE291" s="17">
        <f t="shared" si="755"/>
        <v>0</v>
      </c>
      <c r="CF291" s="17">
        <f t="shared" si="755"/>
        <v>0</v>
      </c>
      <c r="CG291" s="17">
        <f t="shared" si="755"/>
        <v>0</v>
      </c>
      <c r="CH291" s="17">
        <f t="shared" si="755"/>
        <v>0</v>
      </c>
      <c r="CI291" s="17">
        <f t="shared" si="755"/>
        <v>0</v>
      </c>
      <c r="CJ291" s="17">
        <f t="shared" si="755"/>
        <v>0</v>
      </c>
      <c r="CK291" s="17">
        <f t="shared" si="755"/>
        <v>0</v>
      </c>
      <c r="CL291" s="17">
        <f t="shared" si="755"/>
        <v>0</v>
      </c>
      <c r="CM291" s="17">
        <f t="shared" si="755"/>
        <v>0</v>
      </c>
      <c r="CN291" s="17">
        <f t="shared" si="755"/>
        <v>0</v>
      </c>
      <c r="CO291" s="64"/>
      <c r="CP291" s="64"/>
      <c r="CQ291" s="64"/>
      <c r="CR291" s="64"/>
      <c r="CS291" s="51"/>
    </row>
    <row r="292" spans="1:198" s="46" customFormat="1" ht="31.5" customHeight="1" x14ac:dyDescent="0.3">
      <c r="A292" s="93"/>
      <c r="B292" s="37" t="s">
        <v>296</v>
      </c>
      <c r="C292" s="38" t="s">
        <v>587</v>
      </c>
      <c r="D292" s="35">
        <f t="shared" ref="D292:D303" si="756">SUM(E292+CA292)</f>
        <v>0</v>
      </c>
      <c r="E292" s="35">
        <f>SUM(F292+BA292)</f>
        <v>0</v>
      </c>
      <c r="F292" s="35">
        <f t="shared" ref="F292:F302" si="757">SUM(G292+H292+I292+P292+S292+T292+U292+AE292+AD292)</f>
        <v>0</v>
      </c>
      <c r="G292" s="35">
        <v>0</v>
      </c>
      <c r="H292" s="35">
        <v>0</v>
      </c>
      <c r="I292" s="35">
        <f t="shared" ref="I292" si="758">SUM(J292:O292)</f>
        <v>0</v>
      </c>
      <c r="J292" s="35">
        <v>0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f t="shared" ref="P292:P298" si="759">SUM(Q292:R292)</f>
        <v>0</v>
      </c>
      <c r="Q292" s="35">
        <v>0</v>
      </c>
      <c r="R292" s="35">
        <v>0</v>
      </c>
      <c r="S292" s="35">
        <v>0</v>
      </c>
      <c r="T292" s="35">
        <v>0</v>
      </c>
      <c r="U292" s="35">
        <f t="shared" ref="U292:U298" si="760">SUM(V292:AC292)</f>
        <v>0</v>
      </c>
      <c r="V292" s="35">
        <v>0</v>
      </c>
      <c r="W292" s="35">
        <v>0</v>
      </c>
      <c r="X292" s="35">
        <v>0</v>
      </c>
      <c r="Y292" s="35">
        <v>0</v>
      </c>
      <c r="Z292" s="35">
        <v>0</v>
      </c>
      <c r="AA292" s="35">
        <v>0</v>
      </c>
      <c r="AB292" s="35">
        <v>0</v>
      </c>
      <c r="AC292" s="35">
        <v>0</v>
      </c>
      <c r="AD292" s="35">
        <v>0</v>
      </c>
      <c r="AE292" s="35">
        <f>SUM(AF292:AZ292)</f>
        <v>0</v>
      </c>
      <c r="AF292" s="35">
        <v>0</v>
      </c>
      <c r="AG292" s="35">
        <v>0</v>
      </c>
      <c r="AH292" s="35">
        <v>0</v>
      </c>
      <c r="AI292" s="35">
        <v>0</v>
      </c>
      <c r="AJ292" s="35">
        <v>0</v>
      </c>
      <c r="AK292" s="35">
        <v>0</v>
      </c>
      <c r="AL292" s="35">
        <v>0</v>
      </c>
      <c r="AM292" s="35">
        <v>0</v>
      </c>
      <c r="AN292" s="35">
        <v>0</v>
      </c>
      <c r="AO292" s="35">
        <v>0</v>
      </c>
      <c r="AP292" s="35">
        <v>0</v>
      </c>
      <c r="AQ292" s="35">
        <v>0</v>
      </c>
      <c r="AR292" s="35">
        <v>0</v>
      </c>
      <c r="AS292" s="35">
        <v>0</v>
      </c>
      <c r="AT292" s="35">
        <v>0</v>
      </c>
      <c r="AU292" s="35">
        <v>0</v>
      </c>
      <c r="AV292" s="35">
        <v>0</v>
      </c>
      <c r="AW292" s="35">
        <v>0</v>
      </c>
      <c r="AX292" s="35">
        <v>0</v>
      </c>
      <c r="AY292" s="35">
        <v>0</v>
      </c>
      <c r="AZ292" s="31">
        <f>4518769-4518769</f>
        <v>0</v>
      </c>
      <c r="BA292" s="35">
        <f>SUM(BB292+BF292+BJ292+BL292+BO292)</f>
        <v>0</v>
      </c>
      <c r="BB292" s="35">
        <f t="shared" ref="BB292:BB302" si="761">SUM(BC292:BE292)</f>
        <v>0</v>
      </c>
      <c r="BC292" s="35">
        <v>0</v>
      </c>
      <c r="BD292" s="35">
        <v>0</v>
      </c>
      <c r="BE292" s="35">
        <v>0</v>
      </c>
      <c r="BF292" s="35">
        <f>SUM(BG292:BI292)</f>
        <v>0</v>
      </c>
      <c r="BG292" s="35"/>
      <c r="BH292" s="35">
        <v>0</v>
      </c>
      <c r="BI292" s="35">
        <v>0</v>
      </c>
      <c r="BJ292" s="31">
        <v>0</v>
      </c>
      <c r="BK292" s="35">
        <v>0</v>
      </c>
      <c r="BL292" s="35">
        <f t="shared" ref="BL292:BL298" si="762">SUM(BM292)</f>
        <v>0</v>
      </c>
      <c r="BM292" s="35">
        <v>0</v>
      </c>
      <c r="BN292" s="35">
        <v>0</v>
      </c>
      <c r="BO292" s="35">
        <f t="shared" ref="BO292:BO302" si="763">SUM(BP292:BZ292)</f>
        <v>0</v>
      </c>
      <c r="BP292" s="35">
        <v>0</v>
      </c>
      <c r="BQ292" s="35">
        <v>0</v>
      </c>
      <c r="BR292" s="35">
        <v>0</v>
      </c>
      <c r="BS292" s="35">
        <v>0</v>
      </c>
      <c r="BT292" s="35">
        <v>0</v>
      </c>
      <c r="BU292" s="35">
        <v>0</v>
      </c>
      <c r="BV292" s="35">
        <v>0</v>
      </c>
      <c r="BW292" s="35">
        <v>0</v>
      </c>
      <c r="BX292" s="35">
        <v>0</v>
      </c>
      <c r="BY292" s="35">
        <v>0</v>
      </c>
      <c r="BZ292" s="35">
        <v>0</v>
      </c>
      <c r="CA292" s="35">
        <f t="shared" ref="CA292:CA305" si="764">SUM(CB292+CN292)</f>
        <v>0</v>
      </c>
      <c r="CB292" s="35">
        <f t="shared" ref="CB292:CB303" si="765">SUM(CC292+CF292+CK292)</f>
        <v>0</v>
      </c>
      <c r="CC292" s="35">
        <f t="shared" ref="CC292" si="766">SUM(CD292:CE292)</f>
        <v>0</v>
      </c>
      <c r="CD292" s="35">
        <v>0</v>
      </c>
      <c r="CE292" s="35">
        <v>0</v>
      </c>
      <c r="CF292" s="18">
        <f t="shared" ref="CF292:CF303" si="767">SUM(CG292:CJ292)</f>
        <v>0</v>
      </c>
      <c r="CG292" s="35">
        <v>0</v>
      </c>
      <c r="CH292" s="35">
        <v>0</v>
      </c>
      <c r="CI292" s="35">
        <v>0</v>
      </c>
      <c r="CJ292" s="35">
        <v>0</v>
      </c>
      <c r="CK292" s="35">
        <f t="shared" ref="CK292:CK303" si="768">SUM(CL292:CM292)</f>
        <v>0</v>
      </c>
      <c r="CL292" s="35">
        <v>0</v>
      </c>
      <c r="CM292" s="35">
        <v>0</v>
      </c>
      <c r="CN292" s="35">
        <v>0</v>
      </c>
      <c r="CO292" s="65"/>
      <c r="CP292" s="65"/>
      <c r="CQ292" s="65"/>
      <c r="CR292" s="65"/>
    </row>
    <row r="293" spans="1:198" s="46" customFormat="1" ht="15.6" x14ac:dyDescent="0.3">
      <c r="A293" s="93" t="s">
        <v>1</v>
      </c>
      <c r="B293" s="37" t="s">
        <v>296</v>
      </c>
      <c r="C293" s="38" t="s">
        <v>588</v>
      </c>
      <c r="D293" s="35">
        <f t="shared" si="756"/>
        <v>2002069</v>
      </c>
      <c r="E293" s="35">
        <f t="shared" ref="E293:E298" si="769">SUM(F293+BA293)</f>
        <v>2002069</v>
      </c>
      <c r="F293" s="35">
        <f t="shared" ref="F293:F298" si="770">SUM(G293+H293+I293+P293+S293+T293+U293+AE293+AD293)</f>
        <v>0</v>
      </c>
      <c r="G293" s="35"/>
      <c r="H293" s="35"/>
      <c r="I293" s="35">
        <f t="shared" ref="I293:I298" si="771">SUM(J293:O293)</f>
        <v>0</v>
      </c>
      <c r="J293" s="35">
        <v>0</v>
      </c>
      <c r="K293" s="35">
        <v>0</v>
      </c>
      <c r="L293" s="35">
        <v>0</v>
      </c>
      <c r="M293" s="35">
        <v>0</v>
      </c>
      <c r="N293" s="35"/>
      <c r="O293" s="35"/>
      <c r="P293" s="35">
        <f t="shared" si="759"/>
        <v>0</v>
      </c>
      <c r="Q293" s="35">
        <v>0</v>
      </c>
      <c r="R293" s="35"/>
      <c r="S293" s="35">
        <v>0</v>
      </c>
      <c r="T293" s="35"/>
      <c r="U293" s="35">
        <f t="shared" si="760"/>
        <v>0</v>
      </c>
      <c r="V293" s="35">
        <v>0</v>
      </c>
      <c r="W293" s="35"/>
      <c r="X293" s="35"/>
      <c r="Y293" s="35"/>
      <c r="Z293" s="35">
        <v>0</v>
      </c>
      <c r="AA293" s="35">
        <v>0</v>
      </c>
      <c r="AB293" s="35">
        <v>0</v>
      </c>
      <c r="AC293" s="35">
        <v>0</v>
      </c>
      <c r="AD293" s="35">
        <v>0</v>
      </c>
      <c r="AE293" s="35">
        <f t="shared" ref="AE293:AE298" si="772">SUM(AF293:AZ293)</f>
        <v>0</v>
      </c>
      <c r="AF293" s="35">
        <v>0</v>
      </c>
      <c r="AG293" s="35">
        <v>0</v>
      </c>
      <c r="AH293" s="35">
        <v>0</v>
      </c>
      <c r="AI293" s="35">
        <v>0</v>
      </c>
      <c r="AJ293" s="35">
        <v>0</v>
      </c>
      <c r="AK293" s="35">
        <v>0</v>
      </c>
      <c r="AL293" s="35">
        <v>0</v>
      </c>
      <c r="AM293" s="35">
        <v>0</v>
      </c>
      <c r="AN293" s="35">
        <v>0</v>
      </c>
      <c r="AO293" s="35">
        <v>0</v>
      </c>
      <c r="AP293" s="35">
        <v>0</v>
      </c>
      <c r="AQ293" s="35">
        <v>0</v>
      </c>
      <c r="AR293" s="35">
        <v>0</v>
      </c>
      <c r="AS293" s="35">
        <v>0</v>
      </c>
      <c r="AT293" s="35">
        <v>0</v>
      </c>
      <c r="AU293" s="35">
        <v>0</v>
      </c>
      <c r="AV293" s="35">
        <v>0</v>
      </c>
      <c r="AW293" s="35">
        <v>0</v>
      </c>
      <c r="AX293" s="35">
        <v>0</v>
      </c>
      <c r="AY293" s="35">
        <v>0</v>
      </c>
      <c r="AZ293" s="35">
        <v>0</v>
      </c>
      <c r="BA293" s="35">
        <f t="shared" ref="BA293:BA298" si="773">SUM(BB293+BF293+BJ293+BL293+BO293)</f>
        <v>2002069</v>
      </c>
      <c r="BB293" s="35">
        <f t="shared" ref="BB293:BB298" si="774">SUM(BC293:BE293)</f>
        <v>0</v>
      </c>
      <c r="BC293" s="35">
        <v>0</v>
      </c>
      <c r="BD293" s="35">
        <v>0</v>
      </c>
      <c r="BE293" s="35">
        <v>0</v>
      </c>
      <c r="BF293" s="35">
        <f t="shared" ref="BF293:BF298" si="775">SUM(BI293:BI293)</f>
        <v>0</v>
      </c>
      <c r="BG293" s="35">
        <v>0</v>
      </c>
      <c r="BH293" s="35">
        <v>0</v>
      </c>
      <c r="BI293" s="35">
        <v>0</v>
      </c>
      <c r="BJ293" s="31">
        <f>0+2002069</f>
        <v>2002069</v>
      </c>
      <c r="BK293" s="35">
        <v>0</v>
      </c>
      <c r="BL293" s="35">
        <f t="shared" si="762"/>
        <v>0</v>
      </c>
      <c r="BM293" s="35">
        <v>0</v>
      </c>
      <c r="BN293" s="35">
        <v>0</v>
      </c>
      <c r="BO293" s="35">
        <f t="shared" ref="BO293:BO298" si="776">SUM(BP293:BZ293)</f>
        <v>0</v>
      </c>
      <c r="BP293" s="35">
        <v>0</v>
      </c>
      <c r="BQ293" s="35">
        <v>0</v>
      </c>
      <c r="BR293" s="35">
        <v>0</v>
      </c>
      <c r="BS293" s="35">
        <v>0</v>
      </c>
      <c r="BT293" s="35">
        <v>0</v>
      </c>
      <c r="BU293" s="35">
        <v>0</v>
      </c>
      <c r="BV293" s="35">
        <v>0</v>
      </c>
      <c r="BW293" s="35">
        <v>0</v>
      </c>
      <c r="BX293" s="35">
        <v>0</v>
      </c>
      <c r="BY293" s="35"/>
      <c r="BZ293" s="35">
        <v>0</v>
      </c>
      <c r="CA293" s="35">
        <f t="shared" si="764"/>
        <v>0</v>
      </c>
      <c r="CB293" s="35">
        <f t="shared" si="765"/>
        <v>0</v>
      </c>
      <c r="CC293" s="35">
        <f t="shared" ref="CC293:CC298" si="777">SUM(CD293:CE293)</f>
        <v>0</v>
      </c>
      <c r="CD293" s="35">
        <v>0</v>
      </c>
      <c r="CE293" s="35"/>
      <c r="CF293" s="18">
        <f t="shared" si="767"/>
        <v>0</v>
      </c>
      <c r="CG293" s="35">
        <v>0</v>
      </c>
      <c r="CH293" s="35">
        <v>0</v>
      </c>
      <c r="CI293" s="35">
        <v>0</v>
      </c>
      <c r="CJ293" s="35">
        <v>0</v>
      </c>
      <c r="CK293" s="35">
        <f t="shared" si="768"/>
        <v>0</v>
      </c>
      <c r="CL293" s="35">
        <v>0</v>
      </c>
      <c r="CM293" s="35">
        <v>0</v>
      </c>
      <c r="CN293" s="35">
        <v>0</v>
      </c>
      <c r="CO293" s="65"/>
      <c r="CP293" s="65"/>
      <c r="CQ293" s="65"/>
      <c r="CR293" s="65"/>
    </row>
    <row r="294" spans="1:198" s="46" customFormat="1" ht="31.2" x14ac:dyDescent="0.3">
      <c r="A294" s="93" t="s">
        <v>1</v>
      </c>
      <c r="B294" s="37" t="s">
        <v>296</v>
      </c>
      <c r="C294" s="38" t="s">
        <v>589</v>
      </c>
      <c r="D294" s="35">
        <f t="shared" si="756"/>
        <v>3232409</v>
      </c>
      <c r="E294" s="35">
        <f t="shared" si="769"/>
        <v>3232409</v>
      </c>
      <c r="F294" s="35">
        <f t="shared" si="770"/>
        <v>0</v>
      </c>
      <c r="G294" s="35"/>
      <c r="H294" s="35"/>
      <c r="I294" s="35">
        <f t="shared" si="771"/>
        <v>0</v>
      </c>
      <c r="J294" s="35">
        <v>0</v>
      </c>
      <c r="K294" s="35">
        <v>0</v>
      </c>
      <c r="L294" s="35">
        <v>0</v>
      </c>
      <c r="M294" s="35">
        <v>0</v>
      </c>
      <c r="N294" s="35"/>
      <c r="O294" s="35"/>
      <c r="P294" s="35">
        <f t="shared" si="759"/>
        <v>0</v>
      </c>
      <c r="Q294" s="35">
        <v>0</v>
      </c>
      <c r="R294" s="35"/>
      <c r="S294" s="35">
        <v>0</v>
      </c>
      <c r="T294" s="35"/>
      <c r="U294" s="35">
        <f t="shared" si="760"/>
        <v>0</v>
      </c>
      <c r="V294" s="35">
        <v>0</v>
      </c>
      <c r="W294" s="35"/>
      <c r="X294" s="35"/>
      <c r="Y294" s="35"/>
      <c r="Z294" s="35">
        <v>0</v>
      </c>
      <c r="AA294" s="35">
        <v>0</v>
      </c>
      <c r="AB294" s="35">
        <v>0</v>
      </c>
      <c r="AC294" s="35">
        <v>0</v>
      </c>
      <c r="AD294" s="35">
        <v>0</v>
      </c>
      <c r="AE294" s="35">
        <f t="shared" si="772"/>
        <v>0</v>
      </c>
      <c r="AF294" s="35">
        <v>0</v>
      </c>
      <c r="AG294" s="35">
        <v>0</v>
      </c>
      <c r="AH294" s="35">
        <v>0</v>
      </c>
      <c r="AI294" s="35">
        <v>0</v>
      </c>
      <c r="AJ294" s="35">
        <v>0</v>
      </c>
      <c r="AK294" s="35">
        <v>0</v>
      </c>
      <c r="AL294" s="35">
        <v>0</v>
      </c>
      <c r="AM294" s="35">
        <v>0</v>
      </c>
      <c r="AN294" s="35">
        <v>0</v>
      </c>
      <c r="AO294" s="35">
        <v>0</v>
      </c>
      <c r="AP294" s="35">
        <v>0</v>
      </c>
      <c r="AQ294" s="35">
        <v>0</v>
      </c>
      <c r="AR294" s="35">
        <v>0</v>
      </c>
      <c r="AS294" s="35">
        <v>0</v>
      </c>
      <c r="AT294" s="35">
        <v>0</v>
      </c>
      <c r="AU294" s="35">
        <v>0</v>
      </c>
      <c r="AV294" s="35">
        <v>0</v>
      </c>
      <c r="AW294" s="35">
        <v>0</v>
      </c>
      <c r="AX294" s="35">
        <v>0</v>
      </c>
      <c r="AY294" s="35">
        <v>0</v>
      </c>
      <c r="AZ294" s="35">
        <v>0</v>
      </c>
      <c r="BA294" s="35">
        <f t="shared" si="773"/>
        <v>3232409</v>
      </c>
      <c r="BB294" s="35">
        <f t="shared" si="774"/>
        <v>0</v>
      </c>
      <c r="BC294" s="35">
        <v>0</v>
      </c>
      <c r="BD294" s="35">
        <v>0</v>
      </c>
      <c r="BE294" s="35">
        <v>0</v>
      </c>
      <c r="BF294" s="35">
        <f t="shared" si="775"/>
        <v>0</v>
      </c>
      <c r="BG294" s="35">
        <v>0</v>
      </c>
      <c r="BH294" s="35">
        <v>0</v>
      </c>
      <c r="BI294" s="35">
        <v>0</v>
      </c>
      <c r="BJ294" s="31">
        <f>0+3232409</f>
        <v>3232409</v>
      </c>
      <c r="BK294" s="35">
        <v>0</v>
      </c>
      <c r="BL294" s="35">
        <f t="shared" si="762"/>
        <v>0</v>
      </c>
      <c r="BM294" s="35">
        <v>0</v>
      </c>
      <c r="BN294" s="35">
        <v>0</v>
      </c>
      <c r="BO294" s="35">
        <f t="shared" si="776"/>
        <v>0</v>
      </c>
      <c r="BP294" s="35">
        <v>0</v>
      </c>
      <c r="BQ294" s="35">
        <v>0</v>
      </c>
      <c r="BR294" s="35">
        <v>0</v>
      </c>
      <c r="BS294" s="35">
        <v>0</v>
      </c>
      <c r="BT294" s="35">
        <v>0</v>
      </c>
      <c r="BU294" s="35">
        <v>0</v>
      </c>
      <c r="BV294" s="35">
        <v>0</v>
      </c>
      <c r="BW294" s="35">
        <v>0</v>
      </c>
      <c r="BX294" s="35">
        <v>0</v>
      </c>
      <c r="BY294" s="35"/>
      <c r="BZ294" s="35">
        <v>0</v>
      </c>
      <c r="CA294" s="35">
        <f t="shared" si="764"/>
        <v>0</v>
      </c>
      <c r="CB294" s="35">
        <f t="shared" si="765"/>
        <v>0</v>
      </c>
      <c r="CC294" s="35">
        <f t="shared" si="777"/>
        <v>0</v>
      </c>
      <c r="CD294" s="35">
        <v>0</v>
      </c>
      <c r="CE294" s="35"/>
      <c r="CF294" s="18">
        <f t="shared" si="767"/>
        <v>0</v>
      </c>
      <c r="CG294" s="35">
        <v>0</v>
      </c>
      <c r="CH294" s="35">
        <v>0</v>
      </c>
      <c r="CI294" s="35">
        <v>0</v>
      </c>
      <c r="CJ294" s="35">
        <v>0</v>
      </c>
      <c r="CK294" s="35">
        <f t="shared" si="768"/>
        <v>0</v>
      </c>
      <c r="CL294" s="35">
        <v>0</v>
      </c>
      <c r="CM294" s="35">
        <v>0</v>
      </c>
      <c r="CN294" s="35">
        <v>0</v>
      </c>
      <c r="CO294" s="65"/>
      <c r="CP294" s="65"/>
      <c r="CQ294" s="65"/>
      <c r="CR294" s="65"/>
    </row>
    <row r="295" spans="1:198" s="46" customFormat="1" ht="15.6" x14ac:dyDescent="0.3">
      <c r="A295" s="93" t="s">
        <v>1</v>
      </c>
      <c r="B295" s="37" t="s">
        <v>296</v>
      </c>
      <c r="C295" s="38" t="s">
        <v>575</v>
      </c>
      <c r="D295" s="35">
        <f t="shared" si="756"/>
        <v>6214376</v>
      </c>
      <c r="E295" s="35">
        <f t="shared" si="769"/>
        <v>6214376</v>
      </c>
      <c r="F295" s="35">
        <f t="shared" si="770"/>
        <v>0</v>
      </c>
      <c r="G295" s="35"/>
      <c r="H295" s="35"/>
      <c r="I295" s="35">
        <f t="shared" si="771"/>
        <v>0</v>
      </c>
      <c r="J295" s="35">
        <v>0</v>
      </c>
      <c r="K295" s="35">
        <v>0</v>
      </c>
      <c r="L295" s="35">
        <v>0</v>
      </c>
      <c r="M295" s="35">
        <v>0</v>
      </c>
      <c r="N295" s="35"/>
      <c r="O295" s="35"/>
      <c r="P295" s="35">
        <f t="shared" si="759"/>
        <v>0</v>
      </c>
      <c r="Q295" s="35">
        <v>0</v>
      </c>
      <c r="R295" s="35"/>
      <c r="S295" s="35">
        <v>0</v>
      </c>
      <c r="T295" s="35"/>
      <c r="U295" s="35">
        <f t="shared" si="760"/>
        <v>0</v>
      </c>
      <c r="V295" s="35">
        <v>0</v>
      </c>
      <c r="W295" s="35"/>
      <c r="X295" s="35"/>
      <c r="Y295" s="35"/>
      <c r="Z295" s="35">
        <v>0</v>
      </c>
      <c r="AA295" s="35">
        <v>0</v>
      </c>
      <c r="AB295" s="35">
        <v>0</v>
      </c>
      <c r="AC295" s="35">
        <v>0</v>
      </c>
      <c r="AD295" s="35">
        <v>0</v>
      </c>
      <c r="AE295" s="35">
        <f t="shared" si="772"/>
        <v>0</v>
      </c>
      <c r="AF295" s="35">
        <v>0</v>
      </c>
      <c r="AG295" s="35">
        <v>0</v>
      </c>
      <c r="AH295" s="35">
        <v>0</v>
      </c>
      <c r="AI295" s="35">
        <v>0</v>
      </c>
      <c r="AJ295" s="35">
        <v>0</v>
      </c>
      <c r="AK295" s="35">
        <v>0</v>
      </c>
      <c r="AL295" s="35">
        <v>0</v>
      </c>
      <c r="AM295" s="35">
        <v>0</v>
      </c>
      <c r="AN295" s="35">
        <v>0</v>
      </c>
      <c r="AO295" s="35">
        <v>0</v>
      </c>
      <c r="AP295" s="35">
        <v>0</v>
      </c>
      <c r="AQ295" s="35">
        <v>0</v>
      </c>
      <c r="AR295" s="35">
        <v>0</v>
      </c>
      <c r="AS295" s="35">
        <v>0</v>
      </c>
      <c r="AT295" s="35">
        <v>0</v>
      </c>
      <c r="AU295" s="35">
        <v>0</v>
      </c>
      <c r="AV295" s="35">
        <v>0</v>
      </c>
      <c r="AW295" s="35">
        <v>0</v>
      </c>
      <c r="AX295" s="35">
        <v>0</v>
      </c>
      <c r="AY295" s="35">
        <v>0</v>
      </c>
      <c r="AZ295" s="35">
        <v>0</v>
      </c>
      <c r="BA295" s="35">
        <f t="shared" si="773"/>
        <v>6214376</v>
      </c>
      <c r="BB295" s="35">
        <f t="shared" si="774"/>
        <v>0</v>
      </c>
      <c r="BC295" s="35">
        <v>0</v>
      </c>
      <c r="BD295" s="35">
        <v>0</v>
      </c>
      <c r="BE295" s="35">
        <v>0</v>
      </c>
      <c r="BF295" s="35">
        <f t="shared" si="775"/>
        <v>0</v>
      </c>
      <c r="BG295" s="35">
        <v>0</v>
      </c>
      <c r="BH295" s="35">
        <v>0</v>
      </c>
      <c r="BI295" s="35">
        <v>0</v>
      </c>
      <c r="BJ295" s="31">
        <f>0+6214376</f>
        <v>6214376</v>
      </c>
      <c r="BK295" s="35">
        <v>0</v>
      </c>
      <c r="BL295" s="35">
        <f t="shared" si="762"/>
        <v>0</v>
      </c>
      <c r="BM295" s="35">
        <v>0</v>
      </c>
      <c r="BN295" s="35">
        <v>0</v>
      </c>
      <c r="BO295" s="35">
        <f t="shared" si="776"/>
        <v>0</v>
      </c>
      <c r="BP295" s="35">
        <v>0</v>
      </c>
      <c r="BQ295" s="35">
        <v>0</v>
      </c>
      <c r="BR295" s="35">
        <v>0</v>
      </c>
      <c r="BS295" s="35">
        <v>0</v>
      </c>
      <c r="BT295" s="35">
        <v>0</v>
      </c>
      <c r="BU295" s="35">
        <v>0</v>
      </c>
      <c r="BV295" s="35">
        <v>0</v>
      </c>
      <c r="BW295" s="35">
        <v>0</v>
      </c>
      <c r="BX295" s="35">
        <v>0</v>
      </c>
      <c r="BY295" s="35"/>
      <c r="BZ295" s="35">
        <v>0</v>
      </c>
      <c r="CA295" s="35">
        <f t="shared" si="764"/>
        <v>0</v>
      </c>
      <c r="CB295" s="35">
        <f t="shared" si="765"/>
        <v>0</v>
      </c>
      <c r="CC295" s="35">
        <f t="shared" si="777"/>
        <v>0</v>
      </c>
      <c r="CD295" s="35">
        <v>0</v>
      </c>
      <c r="CE295" s="35"/>
      <c r="CF295" s="18">
        <f t="shared" si="767"/>
        <v>0</v>
      </c>
      <c r="CG295" s="35">
        <v>0</v>
      </c>
      <c r="CH295" s="35">
        <v>0</v>
      </c>
      <c r="CI295" s="35">
        <v>0</v>
      </c>
      <c r="CJ295" s="35">
        <v>0</v>
      </c>
      <c r="CK295" s="35">
        <f t="shared" si="768"/>
        <v>0</v>
      </c>
      <c r="CL295" s="35">
        <v>0</v>
      </c>
      <c r="CM295" s="35">
        <v>0</v>
      </c>
      <c r="CN295" s="35">
        <v>0</v>
      </c>
      <c r="CO295" s="65"/>
      <c r="CP295" s="65"/>
      <c r="CQ295" s="65"/>
      <c r="CR295" s="65"/>
    </row>
    <row r="296" spans="1:198" s="46" customFormat="1" ht="31.2" x14ac:dyDescent="0.3">
      <c r="A296" s="93" t="s">
        <v>1</v>
      </c>
      <c r="B296" s="37" t="s">
        <v>296</v>
      </c>
      <c r="C296" s="38" t="s">
        <v>590</v>
      </c>
      <c r="D296" s="35">
        <f t="shared" si="756"/>
        <v>1361250</v>
      </c>
      <c r="E296" s="35">
        <f t="shared" si="769"/>
        <v>1361250</v>
      </c>
      <c r="F296" s="35">
        <f t="shared" si="770"/>
        <v>0</v>
      </c>
      <c r="G296" s="35"/>
      <c r="H296" s="35"/>
      <c r="I296" s="35">
        <f t="shared" si="771"/>
        <v>0</v>
      </c>
      <c r="J296" s="35">
        <v>0</v>
      </c>
      <c r="K296" s="35">
        <v>0</v>
      </c>
      <c r="L296" s="35">
        <v>0</v>
      </c>
      <c r="M296" s="35">
        <v>0</v>
      </c>
      <c r="N296" s="35"/>
      <c r="O296" s="35"/>
      <c r="P296" s="35">
        <f t="shared" si="759"/>
        <v>0</v>
      </c>
      <c r="Q296" s="35">
        <v>0</v>
      </c>
      <c r="R296" s="35"/>
      <c r="S296" s="35">
        <v>0</v>
      </c>
      <c r="T296" s="35"/>
      <c r="U296" s="35">
        <f t="shared" si="760"/>
        <v>0</v>
      </c>
      <c r="V296" s="35">
        <v>0</v>
      </c>
      <c r="W296" s="35"/>
      <c r="X296" s="35"/>
      <c r="Y296" s="35"/>
      <c r="Z296" s="35">
        <v>0</v>
      </c>
      <c r="AA296" s="35">
        <v>0</v>
      </c>
      <c r="AB296" s="35">
        <v>0</v>
      </c>
      <c r="AC296" s="35">
        <v>0</v>
      </c>
      <c r="AD296" s="35">
        <v>0</v>
      </c>
      <c r="AE296" s="35">
        <f t="shared" si="772"/>
        <v>0</v>
      </c>
      <c r="AF296" s="35">
        <v>0</v>
      </c>
      <c r="AG296" s="35">
        <v>0</v>
      </c>
      <c r="AH296" s="35">
        <v>0</v>
      </c>
      <c r="AI296" s="35">
        <v>0</v>
      </c>
      <c r="AJ296" s="35">
        <v>0</v>
      </c>
      <c r="AK296" s="35">
        <v>0</v>
      </c>
      <c r="AL296" s="35">
        <v>0</v>
      </c>
      <c r="AM296" s="35">
        <v>0</v>
      </c>
      <c r="AN296" s="35">
        <v>0</v>
      </c>
      <c r="AO296" s="35">
        <v>0</v>
      </c>
      <c r="AP296" s="35">
        <v>0</v>
      </c>
      <c r="AQ296" s="35">
        <v>0</v>
      </c>
      <c r="AR296" s="35">
        <v>0</v>
      </c>
      <c r="AS296" s="35">
        <v>0</v>
      </c>
      <c r="AT296" s="35">
        <v>0</v>
      </c>
      <c r="AU296" s="35">
        <v>0</v>
      </c>
      <c r="AV296" s="35">
        <v>0</v>
      </c>
      <c r="AW296" s="35">
        <v>0</v>
      </c>
      <c r="AX296" s="35">
        <v>0</v>
      </c>
      <c r="AY296" s="35">
        <v>0</v>
      </c>
      <c r="AZ296" s="35">
        <v>0</v>
      </c>
      <c r="BA296" s="35">
        <f t="shared" si="773"/>
        <v>1361250</v>
      </c>
      <c r="BB296" s="35">
        <f t="shared" si="774"/>
        <v>0</v>
      </c>
      <c r="BC296" s="35">
        <v>0</v>
      </c>
      <c r="BD296" s="35">
        <v>0</v>
      </c>
      <c r="BE296" s="35">
        <v>0</v>
      </c>
      <c r="BF296" s="35">
        <f t="shared" si="775"/>
        <v>0</v>
      </c>
      <c r="BG296" s="35">
        <v>0</v>
      </c>
      <c r="BH296" s="35">
        <v>0</v>
      </c>
      <c r="BI296" s="35">
        <v>0</v>
      </c>
      <c r="BJ296" s="31">
        <f>0+861250+500000</f>
        <v>1361250</v>
      </c>
      <c r="BK296" s="35">
        <v>0</v>
      </c>
      <c r="BL296" s="35">
        <f t="shared" si="762"/>
        <v>0</v>
      </c>
      <c r="BM296" s="35">
        <v>0</v>
      </c>
      <c r="BN296" s="35">
        <v>0</v>
      </c>
      <c r="BO296" s="35">
        <f t="shared" si="776"/>
        <v>0</v>
      </c>
      <c r="BP296" s="35">
        <v>0</v>
      </c>
      <c r="BQ296" s="35">
        <v>0</v>
      </c>
      <c r="BR296" s="35">
        <v>0</v>
      </c>
      <c r="BS296" s="35">
        <v>0</v>
      </c>
      <c r="BT296" s="35">
        <v>0</v>
      </c>
      <c r="BU296" s="35">
        <v>0</v>
      </c>
      <c r="BV296" s="35">
        <v>0</v>
      </c>
      <c r="BW296" s="35">
        <v>0</v>
      </c>
      <c r="BX296" s="35">
        <v>0</v>
      </c>
      <c r="BY296" s="35"/>
      <c r="BZ296" s="35">
        <v>0</v>
      </c>
      <c r="CA296" s="35">
        <f t="shared" si="764"/>
        <v>0</v>
      </c>
      <c r="CB296" s="35">
        <f t="shared" si="765"/>
        <v>0</v>
      </c>
      <c r="CC296" s="35">
        <f t="shared" si="777"/>
        <v>0</v>
      </c>
      <c r="CD296" s="35">
        <v>0</v>
      </c>
      <c r="CE296" s="35"/>
      <c r="CF296" s="18">
        <f t="shared" si="767"/>
        <v>0</v>
      </c>
      <c r="CG296" s="35">
        <v>0</v>
      </c>
      <c r="CH296" s="35">
        <v>0</v>
      </c>
      <c r="CI296" s="35">
        <v>0</v>
      </c>
      <c r="CJ296" s="35">
        <v>0</v>
      </c>
      <c r="CK296" s="35">
        <f t="shared" si="768"/>
        <v>0</v>
      </c>
      <c r="CL296" s="35">
        <v>0</v>
      </c>
      <c r="CM296" s="35">
        <v>0</v>
      </c>
      <c r="CN296" s="35">
        <v>0</v>
      </c>
      <c r="CO296" s="65"/>
      <c r="CP296" s="65"/>
      <c r="CQ296" s="65"/>
      <c r="CR296" s="65"/>
      <c r="GP296" s="103"/>
    </row>
    <row r="297" spans="1:198" s="46" customFormat="1" ht="31.2" x14ac:dyDescent="0.3">
      <c r="A297" s="93" t="s">
        <v>1</v>
      </c>
      <c r="B297" s="37" t="s">
        <v>296</v>
      </c>
      <c r="C297" s="38" t="s">
        <v>576</v>
      </c>
      <c r="D297" s="35">
        <f t="shared" si="756"/>
        <v>361772</v>
      </c>
      <c r="E297" s="35">
        <f t="shared" si="769"/>
        <v>361772</v>
      </c>
      <c r="F297" s="35">
        <f t="shared" si="770"/>
        <v>0</v>
      </c>
      <c r="G297" s="35"/>
      <c r="H297" s="35"/>
      <c r="I297" s="35">
        <f t="shared" si="771"/>
        <v>0</v>
      </c>
      <c r="J297" s="35">
        <v>0</v>
      </c>
      <c r="K297" s="35">
        <v>0</v>
      </c>
      <c r="L297" s="35">
        <v>0</v>
      </c>
      <c r="M297" s="35">
        <v>0</v>
      </c>
      <c r="N297" s="35"/>
      <c r="O297" s="35"/>
      <c r="P297" s="35">
        <f t="shared" si="759"/>
        <v>0</v>
      </c>
      <c r="Q297" s="35">
        <v>0</v>
      </c>
      <c r="R297" s="35"/>
      <c r="S297" s="35">
        <v>0</v>
      </c>
      <c r="T297" s="35"/>
      <c r="U297" s="35">
        <f t="shared" si="760"/>
        <v>0</v>
      </c>
      <c r="V297" s="35">
        <v>0</v>
      </c>
      <c r="W297" s="35"/>
      <c r="X297" s="35"/>
      <c r="Y297" s="35"/>
      <c r="Z297" s="35">
        <v>0</v>
      </c>
      <c r="AA297" s="35">
        <v>0</v>
      </c>
      <c r="AB297" s="35">
        <v>0</v>
      </c>
      <c r="AC297" s="35">
        <v>0</v>
      </c>
      <c r="AD297" s="35">
        <v>0</v>
      </c>
      <c r="AE297" s="35">
        <f t="shared" si="772"/>
        <v>0</v>
      </c>
      <c r="AF297" s="35">
        <v>0</v>
      </c>
      <c r="AG297" s="35">
        <v>0</v>
      </c>
      <c r="AH297" s="35">
        <v>0</v>
      </c>
      <c r="AI297" s="35">
        <v>0</v>
      </c>
      <c r="AJ297" s="35">
        <v>0</v>
      </c>
      <c r="AK297" s="35">
        <v>0</v>
      </c>
      <c r="AL297" s="35">
        <v>0</v>
      </c>
      <c r="AM297" s="35">
        <v>0</v>
      </c>
      <c r="AN297" s="35">
        <v>0</v>
      </c>
      <c r="AO297" s="35">
        <v>0</v>
      </c>
      <c r="AP297" s="35">
        <v>0</v>
      </c>
      <c r="AQ297" s="35">
        <v>0</v>
      </c>
      <c r="AR297" s="35">
        <v>0</v>
      </c>
      <c r="AS297" s="35">
        <v>0</v>
      </c>
      <c r="AT297" s="35">
        <v>0</v>
      </c>
      <c r="AU297" s="35">
        <v>0</v>
      </c>
      <c r="AV297" s="35">
        <v>0</v>
      </c>
      <c r="AW297" s="35">
        <v>0</v>
      </c>
      <c r="AX297" s="35">
        <v>0</v>
      </c>
      <c r="AY297" s="35">
        <v>0</v>
      </c>
      <c r="AZ297" s="35">
        <v>0</v>
      </c>
      <c r="BA297" s="35">
        <f t="shared" si="773"/>
        <v>361772</v>
      </c>
      <c r="BB297" s="35">
        <f t="shared" si="774"/>
        <v>0</v>
      </c>
      <c r="BC297" s="35">
        <v>0</v>
      </c>
      <c r="BD297" s="35">
        <v>0</v>
      </c>
      <c r="BE297" s="35">
        <v>0</v>
      </c>
      <c r="BF297" s="35">
        <f t="shared" si="775"/>
        <v>0</v>
      </c>
      <c r="BG297" s="35">
        <v>0</v>
      </c>
      <c r="BH297" s="35">
        <v>0</v>
      </c>
      <c r="BI297" s="35">
        <v>0</v>
      </c>
      <c r="BJ297" s="31">
        <f>0+361772</f>
        <v>361772</v>
      </c>
      <c r="BK297" s="35">
        <v>0</v>
      </c>
      <c r="BL297" s="35">
        <f t="shared" si="762"/>
        <v>0</v>
      </c>
      <c r="BM297" s="35">
        <v>0</v>
      </c>
      <c r="BN297" s="35">
        <v>0</v>
      </c>
      <c r="BO297" s="35">
        <f t="shared" si="776"/>
        <v>0</v>
      </c>
      <c r="BP297" s="35">
        <v>0</v>
      </c>
      <c r="BQ297" s="35">
        <v>0</v>
      </c>
      <c r="BR297" s="35">
        <v>0</v>
      </c>
      <c r="BS297" s="35">
        <v>0</v>
      </c>
      <c r="BT297" s="35">
        <v>0</v>
      </c>
      <c r="BU297" s="35">
        <v>0</v>
      </c>
      <c r="BV297" s="35">
        <v>0</v>
      </c>
      <c r="BW297" s="35">
        <v>0</v>
      </c>
      <c r="BX297" s="35">
        <v>0</v>
      </c>
      <c r="BY297" s="35"/>
      <c r="BZ297" s="35">
        <v>0</v>
      </c>
      <c r="CA297" s="35">
        <f t="shared" si="764"/>
        <v>0</v>
      </c>
      <c r="CB297" s="35">
        <f t="shared" si="765"/>
        <v>0</v>
      </c>
      <c r="CC297" s="35">
        <f t="shared" si="777"/>
        <v>0</v>
      </c>
      <c r="CD297" s="35">
        <v>0</v>
      </c>
      <c r="CE297" s="35"/>
      <c r="CF297" s="18">
        <f t="shared" si="767"/>
        <v>0</v>
      </c>
      <c r="CG297" s="35">
        <v>0</v>
      </c>
      <c r="CH297" s="35">
        <v>0</v>
      </c>
      <c r="CI297" s="35">
        <v>0</v>
      </c>
      <c r="CJ297" s="35">
        <v>0</v>
      </c>
      <c r="CK297" s="35">
        <f t="shared" si="768"/>
        <v>0</v>
      </c>
      <c r="CL297" s="35">
        <v>0</v>
      </c>
      <c r="CM297" s="35">
        <v>0</v>
      </c>
      <c r="CN297" s="35">
        <v>0</v>
      </c>
      <c r="CO297" s="65"/>
      <c r="CP297" s="65"/>
      <c r="CQ297" s="65"/>
      <c r="CR297" s="65"/>
    </row>
    <row r="298" spans="1:198" s="46" customFormat="1" ht="31.2" x14ac:dyDescent="0.3">
      <c r="A298" s="93" t="s">
        <v>1</v>
      </c>
      <c r="B298" s="37" t="s">
        <v>296</v>
      </c>
      <c r="C298" s="38" t="s">
        <v>591</v>
      </c>
      <c r="D298" s="35">
        <f t="shared" si="756"/>
        <v>2885713</v>
      </c>
      <c r="E298" s="35">
        <f t="shared" si="769"/>
        <v>2885713</v>
      </c>
      <c r="F298" s="35">
        <f t="shared" si="770"/>
        <v>0</v>
      </c>
      <c r="G298" s="35"/>
      <c r="H298" s="35"/>
      <c r="I298" s="35">
        <f t="shared" si="771"/>
        <v>0</v>
      </c>
      <c r="J298" s="35">
        <v>0</v>
      </c>
      <c r="K298" s="35">
        <v>0</v>
      </c>
      <c r="L298" s="35">
        <v>0</v>
      </c>
      <c r="M298" s="35">
        <v>0</v>
      </c>
      <c r="N298" s="35"/>
      <c r="O298" s="35"/>
      <c r="P298" s="35">
        <f t="shared" si="759"/>
        <v>0</v>
      </c>
      <c r="Q298" s="35">
        <v>0</v>
      </c>
      <c r="R298" s="35"/>
      <c r="S298" s="35">
        <v>0</v>
      </c>
      <c r="T298" s="35"/>
      <c r="U298" s="35">
        <f t="shared" si="760"/>
        <v>0</v>
      </c>
      <c r="V298" s="35">
        <v>0</v>
      </c>
      <c r="W298" s="35"/>
      <c r="X298" s="35"/>
      <c r="Y298" s="35"/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f t="shared" si="772"/>
        <v>0</v>
      </c>
      <c r="AF298" s="35">
        <v>0</v>
      </c>
      <c r="AG298" s="35">
        <v>0</v>
      </c>
      <c r="AH298" s="35">
        <v>0</v>
      </c>
      <c r="AI298" s="35">
        <v>0</v>
      </c>
      <c r="AJ298" s="35">
        <v>0</v>
      </c>
      <c r="AK298" s="35">
        <v>0</v>
      </c>
      <c r="AL298" s="35">
        <v>0</v>
      </c>
      <c r="AM298" s="35">
        <v>0</v>
      </c>
      <c r="AN298" s="35">
        <v>0</v>
      </c>
      <c r="AO298" s="35">
        <v>0</v>
      </c>
      <c r="AP298" s="35">
        <v>0</v>
      </c>
      <c r="AQ298" s="35">
        <v>0</v>
      </c>
      <c r="AR298" s="35">
        <v>0</v>
      </c>
      <c r="AS298" s="35">
        <v>0</v>
      </c>
      <c r="AT298" s="35">
        <v>0</v>
      </c>
      <c r="AU298" s="35">
        <v>0</v>
      </c>
      <c r="AV298" s="35">
        <v>0</v>
      </c>
      <c r="AW298" s="35">
        <v>0</v>
      </c>
      <c r="AX298" s="35">
        <v>0</v>
      </c>
      <c r="AY298" s="35">
        <v>0</v>
      </c>
      <c r="AZ298" s="35">
        <v>0</v>
      </c>
      <c r="BA298" s="35">
        <f t="shared" si="773"/>
        <v>2885713</v>
      </c>
      <c r="BB298" s="35">
        <f t="shared" si="774"/>
        <v>0</v>
      </c>
      <c r="BC298" s="35">
        <v>0</v>
      </c>
      <c r="BD298" s="35">
        <v>0</v>
      </c>
      <c r="BE298" s="35">
        <v>0</v>
      </c>
      <c r="BF298" s="35">
        <f t="shared" si="775"/>
        <v>0</v>
      </c>
      <c r="BG298" s="35">
        <v>0</v>
      </c>
      <c r="BH298" s="35">
        <v>0</v>
      </c>
      <c r="BI298" s="35">
        <v>0</v>
      </c>
      <c r="BJ298" s="31">
        <f>0+1138777+1746936</f>
        <v>2885713</v>
      </c>
      <c r="BK298" s="35">
        <v>0</v>
      </c>
      <c r="BL298" s="35">
        <f t="shared" si="762"/>
        <v>0</v>
      </c>
      <c r="BM298" s="35">
        <v>0</v>
      </c>
      <c r="BN298" s="35">
        <v>0</v>
      </c>
      <c r="BO298" s="35">
        <f t="shared" si="776"/>
        <v>0</v>
      </c>
      <c r="BP298" s="35">
        <v>0</v>
      </c>
      <c r="BQ298" s="35">
        <v>0</v>
      </c>
      <c r="BR298" s="35">
        <v>0</v>
      </c>
      <c r="BS298" s="35">
        <v>0</v>
      </c>
      <c r="BT298" s="35">
        <v>0</v>
      </c>
      <c r="BU298" s="35">
        <v>0</v>
      </c>
      <c r="BV298" s="35">
        <v>0</v>
      </c>
      <c r="BW298" s="35">
        <v>0</v>
      </c>
      <c r="BX298" s="35">
        <v>0</v>
      </c>
      <c r="BY298" s="35"/>
      <c r="BZ298" s="35">
        <v>0</v>
      </c>
      <c r="CA298" s="35">
        <f t="shared" si="764"/>
        <v>0</v>
      </c>
      <c r="CB298" s="35">
        <f t="shared" si="765"/>
        <v>0</v>
      </c>
      <c r="CC298" s="35">
        <f t="shared" si="777"/>
        <v>0</v>
      </c>
      <c r="CD298" s="35">
        <v>0</v>
      </c>
      <c r="CE298" s="35"/>
      <c r="CF298" s="18">
        <f t="shared" si="767"/>
        <v>0</v>
      </c>
      <c r="CG298" s="35">
        <v>0</v>
      </c>
      <c r="CH298" s="35">
        <v>0</v>
      </c>
      <c r="CI298" s="35">
        <v>0</v>
      </c>
      <c r="CJ298" s="35">
        <v>0</v>
      </c>
      <c r="CK298" s="35">
        <f t="shared" si="768"/>
        <v>0</v>
      </c>
      <c r="CL298" s="35">
        <v>0</v>
      </c>
      <c r="CM298" s="35">
        <v>0</v>
      </c>
      <c r="CN298" s="35">
        <v>0</v>
      </c>
      <c r="CO298" s="65"/>
      <c r="CP298" s="65"/>
      <c r="CQ298" s="65"/>
      <c r="CR298" s="65"/>
    </row>
    <row r="299" spans="1:198" s="46" customFormat="1" ht="31.2" x14ac:dyDescent="0.3">
      <c r="A299" s="93" t="s">
        <v>1</v>
      </c>
      <c r="B299" s="37" t="s">
        <v>296</v>
      </c>
      <c r="C299" s="38" t="s">
        <v>592</v>
      </c>
      <c r="D299" s="35">
        <f t="shared" si="756"/>
        <v>2272596</v>
      </c>
      <c r="E299" s="35">
        <f t="shared" ref="E299" si="778">SUM(F299+BA299)</f>
        <v>2272596</v>
      </c>
      <c r="F299" s="35">
        <f t="shared" ref="F299" si="779">SUM(G299+H299+I299+P299+S299+T299+U299+AE299+AD299)</f>
        <v>0</v>
      </c>
      <c r="G299" s="35"/>
      <c r="H299" s="35"/>
      <c r="I299" s="35">
        <f t="shared" ref="I299" si="780">SUM(J299:O299)</f>
        <v>0</v>
      </c>
      <c r="J299" s="35">
        <v>0</v>
      </c>
      <c r="K299" s="35">
        <v>0</v>
      </c>
      <c r="L299" s="35">
        <v>0</v>
      </c>
      <c r="M299" s="35">
        <v>0</v>
      </c>
      <c r="N299" s="35"/>
      <c r="O299" s="35"/>
      <c r="P299" s="35">
        <f t="shared" ref="P299" si="781">SUM(Q299:R299)</f>
        <v>0</v>
      </c>
      <c r="Q299" s="35">
        <v>0</v>
      </c>
      <c r="R299" s="35"/>
      <c r="S299" s="35">
        <v>0</v>
      </c>
      <c r="T299" s="35"/>
      <c r="U299" s="35">
        <f t="shared" ref="U299" si="782">SUM(V299:AC299)</f>
        <v>0</v>
      </c>
      <c r="V299" s="35">
        <v>0</v>
      </c>
      <c r="W299" s="35"/>
      <c r="X299" s="35"/>
      <c r="Y299" s="35"/>
      <c r="Z299" s="35">
        <v>0</v>
      </c>
      <c r="AA299" s="35">
        <v>0</v>
      </c>
      <c r="AB299" s="35">
        <v>0</v>
      </c>
      <c r="AC299" s="35">
        <v>0</v>
      </c>
      <c r="AD299" s="35">
        <v>0</v>
      </c>
      <c r="AE299" s="35">
        <f t="shared" ref="AE299" si="783">SUM(AF299:AZ299)</f>
        <v>0</v>
      </c>
      <c r="AF299" s="35">
        <v>0</v>
      </c>
      <c r="AG299" s="35">
        <v>0</v>
      </c>
      <c r="AH299" s="35">
        <v>0</v>
      </c>
      <c r="AI299" s="35">
        <v>0</v>
      </c>
      <c r="AJ299" s="35">
        <v>0</v>
      </c>
      <c r="AK299" s="35">
        <v>0</v>
      </c>
      <c r="AL299" s="35">
        <v>0</v>
      </c>
      <c r="AM299" s="35">
        <v>0</v>
      </c>
      <c r="AN299" s="35">
        <v>0</v>
      </c>
      <c r="AO299" s="35">
        <v>0</v>
      </c>
      <c r="AP299" s="35">
        <v>0</v>
      </c>
      <c r="AQ299" s="35">
        <v>0</v>
      </c>
      <c r="AR299" s="35">
        <v>0</v>
      </c>
      <c r="AS299" s="35">
        <v>0</v>
      </c>
      <c r="AT299" s="35">
        <v>0</v>
      </c>
      <c r="AU299" s="35">
        <v>0</v>
      </c>
      <c r="AV299" s="35">
        <v>0</v>
      </c>
      <c r="AW299" s="35">
        <v>0</v>
      </c>
      <c r="AX299" s="35">
        <v>0</v>
      </c>
      <c r="AY299" s="35">
        <v>0</v>
      </c>
      <c r="AZ299" s="35">
        <v>0</v>
      </c>
      <c r="BA299" s="35">
        <f t="shared" ref="BA299" si="784">SUM(BB299+BF299+BJ299+BL299+BO299)</f>
        <v>2272596</v>
      </c>
      <c r="BB299" s="35">
        <f t="shared" ref="BB299" si="785">SUM(BC299:BE299)</f>
        <v>0</v>
      </c>
      <c r="BC299" s="35">
        <v>0</v>
      </c>
      <c r="BD299" s="35">
        <v>0</v>
      </c>
      <c r="BE299" s="35">
        <v>0</v>
      </c>
      <c r="BF299" s="35">
        <f t="shared" ref="BF299" si="786">SUM(BI299:BI299)</f>
        <v>0</v>
      </c>
      <c r="BG299" s="35">
        <v>0</v>
      </c>
      <c r="BH299" s="35">
        <v>0</v>
      </c>
      <c r="BI299" s="35">
        <v>0</v>
      </c>
      <c r="BJ299" s="31">
        <f>0+2272596</f>
        <v>2272596</v>
      </c>
      <c r="BK299" s="35">
        <v>0</v>
      </c>
      <c r="BL299" s="35">
        <f t="shared" ref="BL299" si="787">SUM(BM299)</f>
        <v>0</v>
      </c>
      <c r="BM299" s="35">
        <v>0</v>
      </c>
      <c r="BN299" s="35">
        <v>0</v>
      </c>
      <c r="BO299" s="35">
        <f t="shared" ref="BO299" si="788">SUM(BP299:BZ299)</f>
        <v>0</v>
      </c>
      <c r="BP299" s="35">
        <v>0</v>
      </c>
      <c r="BQ299" s="35">
        <v>0</v>
      </c>
      <c r="BR299" s="35">
        <v>0</v>
      </c>
      <c r="BS299" s="35">
        <v>0</v>
      </c>
      <c r="BT299" s="35">
        <v>0</v>
      </c>
      <c r="BU299" s="35">
        <v>0</v>
      </c>
      <c r="BV299" s="35">
        <v>0</v>
      </c>
      <c r="BW299" s="35">
        <v>0</v>
      </c>
      <c r="BX299" s="35">
        <v>0</v>
      </c>
      <c r="BY299" s="35"/>
      <c r="BZ299" s="35">
        <v>0</v>
      </c>
      <c r="CA299" s="35">
        <f t="shared" si="764"/>
        <v>0</v>
      </c>
      <c r="CB299" s="35">
        <f t="shared" si="765"/>
        <v>0</v>
      </c>
      <c r="CC299" s="35">
        <f t="shared" ref="CC299" si="789">SUM(CD299:CE299)</f>
        <v>0</v>
      </c>
      <c r="CD299" s="35">
        <v>0</v>
      </c>
      <c r="CE299" s="35"/>
      <c r="CF299" s="18">
        <f t="shared" si="767"/>
        <v>0</v>
      </c>
      <c r="CG299" s="35">
        <v>0</v>
      </c>
      <c r="CH299" s="35">
        <v>0</v>
      </c>
      <c r="CI299" s="35">
        <v>0</v>
      </c>
      <c r="CJ299" s="35">
        <v>0</v>
      </c>
      <c r="CK299" s="35">
        <f t="shared" si="768"/>
        <v>0</v>
      </c>
      <c r="CL299" s="35">
        <v>0</v>
      </c>
      <c r="CM299" s="35">
        <v>0</v>
      </c>
      <c r="CN299" s="35">
        <v>0</v>
      </c>
      <c r="CO299" s="65"/>
      <c r="CP299" s="65"/>
      <c r="CQ299" s="65"/>
      <c r="CR299" s="65"/>
    </row>
    <row r="300" spans="1:198" s="46" customFormat="1" ht="15.6" x14ac:dyDescent="0.3">
      <c r="A300" s="93" t="s">
        <v>1</v>
      </c>
      <c r="B300" s="37" t="s">
        <v>296</v>
      </c>
      <c r="C300" s="38" t="s">
        <v>297</v>
      </c>
      <c r="D300" s="35">
        <f t="shared" si="756"/>
        <v>800000</v>
      </c>
      <c r="E300" s="35">
        <f>SUM(F300+BA300)</f>
        <v>800000</v>
      </c>
      <c r="F300" s="35">
        <f t="shared" si="757"/>
        <v>0</v>
      </c>
      <c r="G300" s="35">
        <v>0</v>
      </c>
      <c r="H300" s="35">
        <v>0</v>
      </c>
      <c r="I300" s="35">
        <f t="shared" ref="I300" si="790">SUM(J300:O300)</f>
        <v>0</v>
      </c>
      <c r="J300" s="35">
        <v>0</v>
      </c>
      <c r="K300" s="35">
        <v>0</v>
      </c>
      <c r="L300" s="35">
        <v>0</v>
      </c>
      <c r="M300" s="35">
        <v>0</v>
      </c>
      <c r="N300" s="35">
        <v>0</v>
      </c>
      <c r="O300" s="35">
        <v>0</v>
      </c>
      <c r="P300" s="35">
        <f t="shared" ref="P300" si="791">SUM(Q300:R300)</f>
        <v>0</v>
      </c>
      <c r="Q300" s="35">
        <v>0</v>
      </c>
      <c r="R300" s="35">
        <v>0</v>
      </c>
      <c r="S300" s="35">
        <v>0</v>
      </c>
      <c r="T300" s="35">
        <v>0</v>
      </c>
      <c r="U300" s="35">
        <f t="shared" ref="U300" si="792">SUM(V300:AC300)</f>
        <v>0</v>
      </c>
      <c r="V300" s="35">
        <v>0</v>
      </c>
      <c r="W300" s="35">
        <v>0</v>
      </c>
      <c r="X300" s="35">
        <v>0</v>
      </c>
      <c r="Y300" s="35">
        <v>0</v>
      </c>
      <c r="Z300" s="35">
        <v>0</v>
      </c>
      <c r="AA300" s="35">
        <v>0</v>
      </c>
      <c r="AB300" s="35">
        <v>0</v>
      </c>
      <c r="AC300" s="35">
        <v>0</v>
      </c>
      <c r="AD300" s="35">
        <v>0</v>
      </c>
      <c r="AE300" s="35">
        <f>SUM(AF300:AZ300)</f>
        <v>0</v>
      </c>
      <c r="AF300" s="35">
        <v>0</v>
      </c>
      <c r="AG300" s="35">
        <v>0</v>
      </c>
      <c r="AH300" s="35">
        <v>0</v>
      </c>
      <c r="AI300" s="35">
        <v>0</v>
      </c>
      <c r="AJ300" s="35">
        <v>0</v>
      </c>
      <c r="AK300" s="35">
        <v>0</v>
      </c>
      <c r="AL300" s="35">
        <v>0</v>
      </c>
      <c r="AM300" s="35">
        <v>0</v>
      </c>
      <c r="AN300" s="35">
        <v>0</v>
      </c>
      <c r="AO300" s="35">
        <v>0</v>
      </c>
      <c r="AP300" s="35">
        <v>0</v>
      </c>
      <c r="AQ300" s="35">
        <v>0</v>
      </c>
      <c r="AR300" s="35">
        <v>0</v>
      </c>
      <c r="AS300" s="35">
        <v>0</v>
      </c>
      <c r="AT300" s="35">
        <v>0</v>
      </c>
      <c r="AU300" s="35">
        <v>0</v>
      </c>
      <c r="AV300" s="35">
        <v>0</v>
      </c>
      <c r="AW300" s="35">
        <v>0</v>
      </c>
      <c r="AX300" s="35">
        <v>0</v>
      </c>
      <c r="AY300" s="35">
        <v>0</v>
      </c>
      <c r="AZ300" s="35">
        <v>0</v>
      </c>
      <c r="BA300" s="35">
        <f>SUM(BB300+BF300+BJ300+BL300+BO300)</f>
        <v>800000</v>
      </c>
      <c r="BB300" s="35">
        <f t="shared" si="761"/>
        <v>0</v>
      </c>
      <c r="BC300" s="35">
        <v>0</v>
      </c>
      <c r="BD300" s="35">
        <v>0</v>
      </c>
      <c r="BE300" s="35">
        <v>0</v>
      </c>
      <c r="BF300" s="35">
        <f>SUM(BG300:BI300)</f>
        <v>800000</v>
      </c>
      <c r="BG300" s="31">
        <f>1557055+800000-1557055</f>
        <v>800000</v>
      </c>
      <c r="BH300" s="35">
        <v>0</v>
      </c>
      <c r="BI300" s="35">
        <v>0</v>
      </c>
      <c r="BJ300" s="31">
        <v>0</v>
      </c>
      <c r="BK300" s="35">
        <v>0</v>
      </c>
      <c r="BL300" s="35">
        <f t="shared" ref="BL300:BL302" si="793">SUM(BM300)</f>
        <v>0</v>
      </c>
      <c r="BM300" s="35">
        <v>0</v>
      </c>
      <c r="BN300" s="35">
        <v>0</v>
      </c>
      <c r="BO300" s="35">
        <f t="shared" si="763"/>
        <v>0</v>
      </c>
      <c r="BP300" s="35">
        <v>0</v>
      </c>
      <c r="BQ300" s="35">
        <v>0</v>
      </c>
      <c r="BR300" s="35">
        <v>0</v>
      </c>
      <c r="BS300" s="35">
        <v>0</v>
      </c>
      <c r="BT300" s="35">
        <v>0</v>
      </c>
      <c r="BU300" s="35">
        <v>0</v>
      </c>
      <c r="BV300" s="35">
        <v>0</v>
      </c>
      <c r="BW300" s="35">
        <v>0</v>
      </c>
      <c r="BX300" s="35">
        <v>0</v>
      </c>
      <c r="BY300" s="35">
        <v>0</v>
      </c>
      <c r="BZ300" s="35">
        <v>0</v>
      </c>
      <c r="CA300" s="35">
        <f t="shared" si="764"/>
        <v>0</v>
      </c>
      <c r="CB300" s="35">
        <f t="shared" si="765"/>
        <v>0</v>
      </c>
      <c r="CC300" s="35">
        <f t="shared" ref="CC300" si="794">SUM(CD300:CE300)</f>
        <v>0</v>
      </c>
      <c r="CD300" s="35">
        <v>0</v>
      </c>
      <c r="CE300" s="35">
        <v>0</v>
      </c>
      <c r="CF300" s="18">
        <f t="shared" si="767"/>
        <v>0</v>
      </c>
      <c r="CG300" s="35">
        <v>0</v>
      </c>
      <c r="CH300" s="35">
        <v>0</v>
      </c>
      <c r="CI300" s="35">
        <v>0</v>
      </c>
      <c r="CJ300" s="35">
        <v>0</v>
      </c>
      <c r="CK300" s="35">
        <f t="shared" si="768"/>
        <v>0</v>
      </c>
      <c r="CL300" s="35">
        <v>0</v>
      </c>
      <c r="CM300" s="35">
        <v>0</v>
      </c>
      <c r="CN300" s="35">
        <v>0</v>
      </c>
      <c r="CO300" s="65"/>
      <c r="CP300" s="65"/>
      <c r="CQ300" s="65"/>
      <c r="CR300" s="65"/>
    </row>
    <row r="301" spans="1:198" s="51" customFormat="1" ht="15.6" x14ac:dyDescent="0.3">
      <c r="A301" s="93" t="s">
        <v>1</v>
      </c>
      <c r="B301" s="37" t="s">
        <v>296</v>
      </c>
      <c r="C301" s="38" t="s">
        <v>512</v>
      </c>
      <c r="D301" s="35">
        <f t="shared" si="756"/>
        <v>21981669</v>
      </c>
      <c r="E301" s="35">
        <f>SUM(F301+BA301)</f>
        <v>21981669</v>
      </c>
      <c r="F301" s="35">
        <f t="shared" ref="F301" si="795">SUM(G301+H301+I301+P301+S301+T301+U301+AE301+AD301)</f>
        <v>0</v>
      </c>
      <c r="G301" s="35"/>
      <c r="H301" s="35"/>
      <c r="I301" s="35">
        <f t="shared" ref="I301" si="796">SUM(J301:O301)</f>
        <v>0</v>
      </c>
      <c r="J301" s="35">
        <v>0</v>
      </c>
      <c r="K301" s="35">
        <v>0</v>
      </c>
      <c r="L301" s="35">
        <v>0</v>
      </c>
      <c r="M301" s="35">
        <v>0</v>
      </c>
      <c r="N301" s="35"/>
      <c r="O301" s="35"/>
      <c r="P301" s="35">
        <f t="shared" ref="P301" si="797">SUM(Q301:R301)</f>
        <v>0</v>
      </c>
      <c r="Q301" s="35">
        <v>0</v>
      </c>
      <c r="R301" s="35"/>
      <c r="S301" s="35">
        <v>0</v>
      </c>
      <c r="T301" s="35"/>
      <c r="U301" s="35">
        <f t="shared" ref="U301" si="798">SUM(V301:AC301)</f>
        <v>0</v>
      </c>
      <c r="V301" s="35">
        <v>0</v>
      </c>
      <c r="W301" s="35"/>
      <c r="X301" s="35"/>
      <c r="Y301" s="35"/>
      <c r="Z301" s="35">
        <v>0</v>
      </c>
      <c r="AA301" s="35">
        <v>0</v>
      </c>
      <c r="AB301" s="35">
        <v>0</v>
      </c>
      <c r="AC301" s="35">
        <v>0</v>
      </c>
      <c r="AD301" s="35">
        <v>0</v>
      </c>
      <c r="AE301" s="35">
        <f>SUM(AF301:AZ301)</f>
        <v>0</v>
      </c>
      <c r="AF301" s="35">
        <v>0</v>
      </c>
      <c r="AG301" s="35">
        <v>0</v>
      </c>
      <c r="AH301" s="35">
        <v>0</v>
      </c>
      <c r="AI301" s="35">
        <v>0</v>
      </c>
      <c r="AJ301" s="35">
        <v>0</v>
      </c>
      <c r="AK301" s="35">
        <v>0</v>
      </c>
      <c r="AL301" s="35">
        <v>0</v>
      </c>
      <c r="AM301" s="35">
        <v>0</v>
      </c>
      <c r="AN301" s="35">
        <v>0</v>
      </c>
      <c r="AO301" s="35">
        <v>0</v>
      </c>
      <c r="AP301" s="35">
        <v>0</v>
      </c>
      <c r="AQ301" s="35">
        <v>0</v>
      </c>
      <c r="AR301" s="35">
        <v>0</v>
      </c>
      <c r="AS301" s="35">
        <v>0</v>
      </c>
      <c r="AT301" s="35">
        <v>0</v>
      </c>
      <c r="AU301" s="35">
        <v>0</v>
      </c>
      <c r="AV301" s="35">
        <v>0</v>
      </c>
      <c r="AW301" s="35">
        <v>0</v>
      </c>
      <c r="AX301" s="35">
        <v>0</v>
      </c>
      <c r="AY301" s="35">
        <v>0</v>
      </c>
      <c r="AZ301" s="35">
        <v>0</v>
      </c>
      <c r="BA301" s="35">
        <f>SUM(BB301+BF301+BJ301+BL301+BO301)</f>
        <v>21981669</v>
      </c>
      <c r="BB301" s="35">
        <f t="shared" ref="BB301" si="799">SUM(BC301:BE301)</f>
        <v>0</v>
      </c>
      <c r="BC301" s="35">
        <v>0</v>
      </c>
      <c r="BD301" s="35">
        <v>0</v>
      </c>
      <c r="BE301" s="35">
        <v>0</v>
      </c>
      <c r="BF301" s="35">
        <f>SUM(BG301:BI301)</f>
        <v>21981669</v>
      </c>
      <c r="BG301" s="35">
        <f>19402020+2579649</f>
        <v>21981669</v>
      </c>
      <c r="BH301" s="35">
        <v>0</v>
      </c>
      <c r="BI301" s="35">
        <v>0</v>
      </c>
      <c r="BJ301" s="31"/>
      <c r="BK301" s="35">
        <v>0</v>
      </c>
      <c r="BL301" s="35">
        <f t="shared" ref="BL301" si="800">SUM(BM301)</f>
        <v>0</v>
      </c>
      <c r="BM301" s="35">
        <v>0</v>
      </c>
      <c r="BN301" s="35">
        <v>0</v>
      </c>
      <c r="BO301" s="35">
        <f t="shared" ref="BO301" si="801">SUM(BP301:BZ301)</f>
        <v>0</v>
      </c>
      <c r="BP301" s="35">
        <v>0</v>
      </c>
      <c r="BQ301" s="35">
        <v>0</v>
      </c>
      <c r="BR301" s="35">
        <v>0</v>
      </c>
      <c r="BS301" s="35">
        <v>0</v>
      </c>
      <c r="BT301" s="35">
        <v>0</v>
      </c>
      <c r="BU301" s="35">
        <v>0</v>
      </c>
      <c r="BV301" s="35">
        <v>0</v>
      </c>
      <c r="BW301" s="35">
        <v>0</v>
      </c>
      <c r="BX301" s="35">
        <v>0</v>
      </c>
      <c r="BY301" s="35"/>
      <c r="BZ301" s="35">
        <v>0</v>
      </c>
      <c r="CA301" s="35">
        <f t="shared" si="764"/>
        <v>0</v>
      </c>
      <c r="CB301" s="35">
        <f t="shared" si="765"/>
        <v>0</v>
      </c>
      <c r="CC301" s="35">
        <f t="shared" ref="CC301" si="802">SUM(CD301:CE301)</f>
        <v>0</v>
      </c>
      <c r="CD301" s="35">
        <v>0</v>
      </c>
      <c r="CE301" s="35"/>
      <c r="CF301" s="18">
        <f t="shared" si="767"/>
        <v>0</v>
      </c>
      <c r="CG301" s="35">
        <v>0</v>
      </c>
      <c r="CH301" s="35">
        <v>0</v>
      </c>
      <c r="CI301" s="35">
        <v>0</v>
      </c>
      <c r="CJ301" s="35">
        <v>0</v>
      </c>
      <c r="CK301" s="35">
        <f t="shared" si="768"/>
        <v>0</v>
      </c>
      <c r="CL301" s="35">
        <v>0</v>
      </c>
      <c r="CM301" s="35">
        <v>0</v>
      </c>
      <c r="CN301" s="35">
        <v>0</v>
      </c>
      <c r="CO301" s="65"/>
      <c r="CP301" s="65"/>
      <c r="CQ301" s="65"/>
      <c r="CR301" s="65"/>
      <c r="CS301" s="46"/>
    </row>
    <row r="302" spans="1:198" s="46" customFormat="1" ht="15.6" x14ac:dyDescent="0.3">
      <c r="A302" s="93" t="s">
        <v>1</v>
      </c>
      <c r="B302" s="37" t="s">
        <v>296</v>
      </c>
      <c r="C302" s="38" t="s">
        <v>298</v>
      </c>
      <c r="D302" s="35">
        <f t="shared" si="756"/>
        <v>123433272</v>
      </c>
      <c r="E302" s="35">
        <f>SUM(F302+BA302)</f>
        <v>123433272</v>
      </c>
      <c r="F302" s="35">
        <f t="shared" si="757"/>
        <v>0</v>
      </c>
      <c r="G302" s="35"/>
      <c r="H302" s="35"/>
      <c r="I302" s="35">
        <f t="shared" ref="I302" si="803">SUM(J302:O302)</f>
        <v>0</v>
      </c>
      <c r="J302" s="35">
        <v>0</v>
      </c>
      <c r="K302" s="35">
        <v>0</v>
      </c>
      <c r="L302" s="35">
        <v>0</v>
      </c>
      <c r="M302" s="35">
        <v>0</v>
      </c>
      <c r="N302" s="35"/>
      <c r="O302" s="35"/>
      <c r="P302" s="35">
        <f t="shared" ref="P302" si="804">SUM(Q302:R302)</f>
        <v>0</v>
      </c>
      <c r="Q302" s="35">
        <v>0</v>
      </c>
      <c r="R302" s="35"/>
      <c r="S302" s="35">
        <v>0</v>
      </c>
      <c r="T302" s="35"/>
      <c r="U302" s="35">
        <f t="shared" ref="U302" si="805">SUM(V302:AC302)</f>
        <v>0</v>
      </c>
      <c r="V302" s="35">
        <v>0</v>
      </c>
      <c r="W302" s="35"/>
      <c r="X302" s="35"/>
      <c r="Y302" s="35"/>
      <c r="Z302" s="35">
        <v>0</v>
      </c>
      <c r="AA302" s="35">
        <v>0</v>
      </c>
      <c r="AB302" s="35">
        <v>0</v>
      </c>
      <c r="AC302" s="35">
        <v>0</v>
      </c>
      <c r="AD302" s="35">
        <v>0</v>
      </c>
      <c r="AE302" s="35">
        <f>SUM(AF302:AZ302)</f>
        <v>0</v>
      </c>
      <c r="AF302" s="35">
        <v>0</v>
      </c>
      <c r="AG302" s="35">
        <v>0</v>
      </c>
      <c r="AH302" s="35">
        <v>0</v>
      </c>
      <c r="AI302" s="35">
        <v>0</v>
      </c>
      <c r="AJ302" s="35">
        <v>0</v>
      </c>
      <c r="AK302" s="35">
        <v>0</v>
      </c>
      <c r="AL302" s="35">
        <v>0</v>
      </c>
      <c r="AM302" s="35">
        <v>0</v>
      </c>
      <c r="AN302" s="35">
        <v>0</v>
      </c>
      <c r="AO302" s="35">
        <v>0</v>
      </c>
      <c r="AP302" s="35">
        <v>0</v>
      </c>
      <c r="AQ302" s="35">
        <v>0</v>
      </c>
      <c r="AR302" s="35">
        <v>0</v>
      </c>
      <c r="AS302" s="35">
        <v>0</v>
      </c>
      <c r="AT302" s="35">
        <v>0</v>
      </c>
      <c r="AU302" s="35">
        <v>0</v>
      </c>
      <c r="AV302" s="35">
        <v>0</v>
      </c>
      <c r="AW302" s="35">
        <v>0</v>
      </c>
      <c r="AX302" s="35">
        <v>0</v>
      </c>
      <c r="AY302" s="35">
        <v>0</v>
      </c>
      <c r="AZ302" s="35">
        <v>0</v>
      </c>
      <c r="BA302" s="35">
        <f>SUM(BB302+BF302+BJ302+BL302+BO302)</f>
        <v>123433272</v>
      </c>
      <c r="BB302" s="35">
        <f t="shared" si="761"/>
        <v>0</v>
      </c>
      <c r="BC302" s="35">
        <v>0</v>
      </c>
      <c r="BD302" s="35">
        <v>0</v>
      </c>
      <c r="BE302" s="35">
        <v>0</v>
      </c>
      <c r="BF302" s="35">
        <f>SUM(BI302:BI302)</f>
        <v>0</v>
      </c>
      <c r="BG302" s="35">
        <v>0</v>
      </c>
      <c r="BH302" s="35">
        <v>0</v>
      </c>
      <c r="BI302" s="35">
        <v>0</v>
      </c>
      <c r="BJ302" s="31">
        <f>248963433-88507567-34442945-2579649</f>
        <v>123433272</v>
      </c>
      <c r="BK302" s="35">
        <v>0</v>
      </c>
      <c r="BL302" s="35">
        <f t="shared" si="793"/>
        <v>0</v>
      </c>
      <c r="BM302" s="35">
        <v>0</v>
      </c>
      <c r="BN302" s="35">
        <v>0</v>
      </c>
      <c r="BO302" s="35">
        <f t="shared" si="763"/>
        <v>0</v>
      </c>
      <c r="BP302" s="35">
        <v>0</v>
      </c>
      <c r="BQ302" s="35">
        <v>0</v>
      </c>
      <c r="BR302" s="35">
        <v>0</v>
      </c>
      <c r="BS302" s="35">
        <v>0</v>
      </c>
      <c r="BT302" s="35">
        <v>0</v>
      </c>
      <c r="BU302" s="35">
        <v>0</v>
      </c>
      <c r="BV302" s="35">
        <v>0</v>
      </c>
      <c r="BW302" s="35">
        <v>0</v>
      </c>
      <c r="BX302" s="35">
        <v>0</v>
      </c>
      <c r="BY302" s="35"/>
      <c r="BZ302" s="35">
        <v>0</v>
      </c>
      <c r="CA302" s="35">
        <f t="shared" si="764"/>
        <v>0</v>
      </c>
      <c r="CB302" s="35">
        <f t="shared" si="765"/>
        <v>0</v>
      </c>
      <c r="CC302" s="35">
        <f t="shared" ref="CC302" si="806">SUM(CD302:CE302)</f>
        <v>0</v>
      </c>
      <c r="CD302" s="35">
        <v>0</v>
      </c>
      <c r="CE302" s="35"/>
      <c r="CF302" s="18">
        <f t="shared" si="767"/>
        <v>0</v>
      </c>
      <c r="CG302" s="35">
        <v>0</v>
      </c>
      <c r="CH302" s="35">
        <v>0</v>
      </c>
      <c r="CI302" s="35">
        <v>0</v>
      </c>
      <c r="CJ302" s="35">
        <v>0</v>
      </c>
      <c r="CK302" s="35">
        <f t="shared" si="768"/>
        <v>0</v>
      </c>
      <c r="CL302" s="35">
        <v>0</v>
      </c>
      <c r="CM302" s="35">
        <v>0</v>
      </c>
      <c r="CN302" s="35">
        <v>0</v>
      </c>
      <c r="CO302" s="65"/>
      <c r="CP302" s="65"/>
      <c r="CQ302" s="65"/>
      <c r="CR302" s="65"/>
    </row>
    <row r="303" spans="1:198" ht="15.75" customHeight="1" x14ac:dyDescent="0.3">
      <c r="A303" s="93" t="s">
        <v>1</v>
      </c>
      <c r="B303" s="37" t="s">
        <v>296</v>
      </c>
      <c r="C303" s="38" t="s">
        <v>520</v>
      </c>
      <c r="D303" s="35">
        <f t="shared" si="756"/>
        <v>0</v>
      </c>
      <c r="E303" s="35">
        <f>SUM(F303+BA303)</f>
        <v>0</v>
      </c>
      <c r="F303" s="35">
        <f t="shared" ref="F303" si="807">SUM(G303+H303+I303+P303+S303+T303+U303+AE303+AD303)</f>
        <v>0</v>
      </c>
      <c r="G303" s="35"/>
      <c r="H303" s="35"/>
      <c r="I303" s="35">
        <f t="shared" ref="I303" si="808">SUM(J303:O303)</f>
        <v>0</v>
      </c>
      <c r="J303" s="35">
        <v>0</v>
      </c>
      <c r="K303" s="35">
        <v>0</v>
      </c>
      <c r="L303" s="35">
        <v>0</v>
      </c>
      <c r="M303" s="35">
        <v>0</v>
      </c>
      <c r="N303" s="35"/>
      <c r="O303" s="35"/>
      <c r="P303" s="35">
        <f t="shared" ref="P303" si="809">SUM(Q303:R303)</f>
        <v>0</v>
      </c>
      <c r="Q303" s="35">
        <v>0</v>
      </c>
      <c r="R303" s="35"/>
      <c r="S303" s="35">
        <v>0</v>
      </c>
      <c r="T303" s="35"/>
      <c r="U303" s="35">
        <f t="shared" ref="U303" si="810">SUM(V303:AC303)</f>
        <v>0</v>
      </c>
      <c r="V303" s="35">
        <v>0</v>
      </c>
      <c r="W303" s="35"/>
      <c r="X303" s="35"/>
      <c r="Y303" s="35"/>
      <c r="Z303" s="35">
        <v>0</v>
      </c>
      <c r="AA303" s="35">
        <v>0</v>
      </c>
      <c r="AB303" s="35">
        <v>0</v>
      </c>
      <c r="AC303" s="35">
        <v>0</v>
      </c>
      <c r="AD303" s="35">
        <v>0</v>
      </c>
      <c r="AE303" s="35">
        <f>SUM(AF303:AZ303)</f>
        <v>0</v>
      </c>
      <c r="AF303" s="35">
        <v>0</v>
      </c>
      <c r="AG303" s="35">
        <v>0</v>
      </c>
      <c r="AH303" s="35">
        <v>0</v>
      </c>
      <c r="AI303" s="35">
        <v>0</v>
      </c>
      <c r="AJ303" s="35">
        <v>0</v>
      </c>
      <c r="AK303" s="35">
        <v>0</v>
      </c>
      <c r="AL303" s="35">
        <v>0</v>
      </c>
      <c r="AM303" s="35">
        <v>0</v>
      </c>
      <c r="AN303" s="35">
        <v>0</v>
      </c>
      <c r="AO303" s="35">
        <v>0</v>
      </c>
      <c r="AP303" s="35">
        <v>0</v>
      </c>
      <c r="AQ303" s="35">
        <v>0</v>
      </c>
      <c r="AR303" s="35">
        <v>0</v>
      </c>
      <c r="AS303" s="35">
        <v>0</v>
      </c>
      <c r="AT303" s="35">
        <v>0</v>
      </c>
      <c r="AU303" s="35">
        <v>0</v>
      </c>
      <c r="AV303" s="35">
        <v>0</v>
      </c>
      <c r="AW303" s="35">
        <v>0</v>
      </c>
      <c r="AX303" s="35">
        <v>0</v>
      </c>
      <c r="AY303" s="35">
        <v>0</v>
      </c>
      <c r="AZ303" s="35">
        <f>10939985-10939985</f>
        <v>0</v>
      </c>
      <c r="BA303" s="35">
        <f>SUM(BB303+BF303+BJ303+BL303+BO303)</f>
        <v>0</v>
      </c>
      <c r="BB303" s="35">
        <f t="shared" ref="BB303" si="811">SUM(BC303:BE303)</f>
        <v>0</v>
      </c>
      <c r="BC303" s="35">
        <v>0</v>
      </c>
      <c r="BD303" s="35">
        <v>0</v>
      </c>
      <c r="BE303" s="35">
        <v>0</v>
      </c>
      <c r="BF303" s="35">
        <f>SUM(BG303:BI303)</f>
        <v>0</v>
      </c>
      <c r="BG303" s="35"/>
      <c r="BH303" s="35">
        <v>0</v>
      </c>
      <c r="BI303" s="35">
        <v>0</v>
      </c>
      <c r="BJ303" s="31"/>
      <c r="BK303" s="35">
        <v>0</v>
      </c>
      <c r="BL303" s="35">
        <f t="shared" ref="BL303" si="812">SUM(BM303)</f>
        <v>0</v>
      </c>
      <c r="BM303" s="35">
        <v>0</v>
      </c>
      <c r="BN303" s="35">
        <v>0</v>
      </c>
      <c r="BO303" s="35">
        <f t="shared" ref="BO303" si="813">SUM(BP303:BZ303)</f>
        <v>0</v>
      </c>
      <c r="BP303" s="35">
        <v>0</v>
      </c>
      <c r="BQ303" s="35">
        <v>0</v>
      </c>
      <c r="BR303" s="35">
        <v>0</v>
      </c>
      <c r="BS303" s="35">
        <v>0</v>
      </c>
      <c r="BT303" s="35">
        <v>0</v>
      </c>
      <c r="BU303" s="35">
        <v>0</v>
      </c>
      <c r="BV303" s="35">
        <v>0</v>
      </c>
      <c r="BW303" s="35">
        <v>0</v>
      </c>
      <c r="BX303" s="35">
        <v>0</v>
      </c>
      <c r="BY303" s="35"/>
      <c r="BZ303" s="35">
        <v>0</v>
      </c>
      <c r="CA303" s="35">
        <f t="shared" si="764"/>
        <v>0</v>
      </c>
      <c r="CB303" s="35">
        <f t="shared" si="765"/>
        <v>0</v>
      </c>
      <c r="CC303" s="35">
        <f t="shared" ref="CC303" si="814">SUM(CD303:CE303)</f>
        <v>0</v>
      </c>
      <c r="CD303" s="35">
        <v>0</v>
      </c>
      <c r="CE303" s="35"/>
      <c r="CF303" s="18">
        <f t="shared" si="767"/>
        <v>0</v>
      </c>
      <c r="CG303" s="35">
        <v>0</v>
      </c>
      <c r="CH303" s="35">
        <v>0</v>
      </c>
      <c r="CI303" s="35">
        <v>0</v>
      </c>
      <c r="CJ303" s="35">
        <v>0</v>
      </c>
      <c r="CK303" s="35">
        <f t="shared" si="768"/>
        <v>0</v>
      </c>
      <c r="CL303" s="35">
        <v>0</v>
      </c>
      <c r="CM303" s="35">
        <v>0</v>
      </c>
      <c r="CN303" s="35">
        <v>0</v>
      </c>
      <c r="CO303" s="65"/>
      <c r="CP303" s="65"/>
      <c r="CQ303" s="65"/>
      <c r="CR303" s="65"/>
      <c r="CS303" s="46"/>
      <c r="GP303" s="51"/>
    </row>
    <row r="304" spans="1:198" s="46" customFormat="1" ht="31.2" x14ac:dyDescent="0.3">
      <c r="A304" s="89" t="s">
        <v>299</v>
      </c>
      <c r="B304" s="15" t="s">
        <v>1</v>
      </c>
      <c r="C304" s="16" t="s">
        <v>300</v>
      </c>
      <c r="D304" s="17">
        <f t="shared" ref="D304:AI304" si="815">SUM(D305)</f>
        <v>1922226</v>
      </c>
      <c r="E304" s="17">
        <f t="shared" si="815"/>
        <v>1922226</v>
      </c>
      <c r="F304" s="17">
        <f t="shared" si="815"/>
        <v>0</v>
      </c>
      <c r="G304" s="17">
        <f t="shared" si="815"/>
        <v>0</v>
      </c>
      <c r="H304" s="17">
        <f t="shared" si="815"/>
        <v>0</v>
      </c>
      <c r="I304" s="17">
        <f t="shared" si="815"/>
        <v>0</v>
      </c>
      <c r="J304" s="17">
        <f t="shared" si="815"/>
        <v>0</v>
      </c>
      <c r="K304" s="17">
        <f t="shared" si="815"/>
        <v>0</v>
      </c>
      <c r="L304" s="17">
        <f t="shared" si="815"/>
        <v>0</v>
      </c>
      <c r="M304" s="17">
        <f t="shared" si="815"/>
        <v>0</v>
      </c>
      <c r="N304" s="17">
        <f t="shared" si="815"/>
        <v>0</v>
      </c>
      <c r="O304" s="17">
        <f t="shared" si="815"/>
        <v>0</v>
      </c>
      <c r="P304" s="17">
        <f t="shared" si="815"/>
        <v>0</v>
      </c>
      <c r="Q304" s="17">
        <f t="shared" si="815"/>
        <v>0</v>
      </c>
      <c r="R304" s="17">
        <f t="shared" si="815"/>
        <v>0</v>
      </c>
      <c r="S304" s="17">
        <f t="shared" si="815"/>
        <v>0</v>
      </c>
      <c r="T304" s="17">
        <f t="shared" si="815"/>
        <v>0</v>
      </c>
      <c r="U304" s="17">
        <f t="shared" si="815"/>
        <v>0</v>
      </c>
      <c r="V304" s="17">
        <f t="shared" si="815"/>
        <v>0</v>
      </c>
      <c r="W304" s="17">
        <f t="shared" si="815"/>
        <v>0</v>
      </c>
      <c r="X304" s="17">
        <f t="shared" si="815"/>
        <v>0</v>
      </c>
      <c r="Y304" s="17">
        <f t="shared" si="815"/>
        <v>0</v>
      </c>
      <c r="Z304" s="17">
        <f t="shared" si="815"/>
        <v>0</v>
      </c>
      <c r="AA304" s="17">
        <f t="shared" si="815"/>
        <v>0</v>
      </c>
      <c r="AB304" s="17">
        <f t="shared" si="815"/>
        <v>0</v>
      </c>
      <c r="AC304" s="17">
        <f t="shared" si="815"/>
        <v>0</v>
      </c>
      <c r="AD304" s="17">
        <f t="shared" si="815"/>
        <v>0</v>
      </c>
      <c r="AE304" s="17">
        <f t="shared" si="815"/>
        <v>0</v>
      </c>
      <c r="AF304" s="17">
        <f t="shared" si="815"/>
        <v>0</v>
      </c>
      <c r="AG304" s="17">
        <f t="shared" si="815"/>
        <v>0</v>
      </c>
      <c r="AH304" s="17">
        <f t="shared" si="815"/>
        <v>0</v>
      </c>
      <c r="AI304" s="17">
        <f t="shared" si="815"/>
        <v>0</v>
      </c>
      <c r="AJ304" s="17">
        <f t="shared" ref="AJ304:CN304" si="816">SUM(AJ305)</f>
        <v>0</v>
      </c>
      <c r="AK304" s="17">
        <f t="shared" si="816"/>
        <v>0</v>
      </c>
      <c r="AL304" s="17">
        <f t="shared" si="816"/>
        <v>0</v>
      </c>
      <c r="AM304" s="17">
        <f t="shared" si="816"/>
        <v>0</v>
      </c>
      <c r="AN304" s="17">
        <f t="shared" si="816"/>
        <v>0</v>
      </c>
      <c r="AO304" s="17">
        <f t="shared" si="816"/>
        <v>0</v>
      </c>
      <c r="AP304" s="17">
        <f t="shared" si="816"/>
        <v>0</v>
      </c>
      <c r="AQ304" s="17">
        <f t="shared" si="816"/>
        <v>0</v>
      </c>
      <c r="AR304" s="17">
        <f t="shared" si="816"/>
        <v>0</v>
      </c>
      <c r="AS304" s="17">
        <f t="shared" si="816"/>
        <v>0</v>
      </c>
      <c r="AT304" s="17">
        <f t="shared" si="816"/>
        <v>0</v>
      </c>
      <c r="AU304" s="17">
        <f t="shared" si="816"/>
        <v>0</v>
      </c>
      <c r="AV304" s="17">
        <f t="shared" si="816"/>
        <v>0</v>
      </c>
      <c r="AW304" s="17">
        <f t="shared" si="816"/>
        <v>0</v>
      </c>
      <c r="AX304" s="17">
        <f t="shared" si="816"/>
        <v>0</v>
      </c>
      <c r="AY304" s="17"/>
      <c r="AZ304" s="17">
        <f t="shared" si="816"/>
        <v>0</v>
      </c>
      <c r="BA304" s="17">
        <f t="shared" si="816"/>
        <v>1922226</v>
      </c>
      <c r="BB304" s="17">
        <f t="shared" si="816"/>
        <v>0</v>
      </c>
      <c r="BC304" s="17">
        <f t="shared" si="816"/>
        <v>0</v>
      </c>
      <c r="BD304" s="17">
        <f t="shared" si="816"/>
        <v>0</v>
      </c>
      <c r="BE304" s="17">
        <f t="shared" si="816"/>
        <v>0</v>
      </c>
      <c r="BF304" s="34">
        <f>SUM(BG304:BI304)</f>
        <v>1922226</v>
      </c>
      <c r="BG304" s="17">
        <f t="shared" si="816"/>
        <v>0</v>
      </c>
      <c r="BH304" s="17">
        <f t="shared" si="816"/>
        <v>0</v>
      </c>
      <c r="BI304" s="17">
        <f t="shared" si="816"/>
        <v>1922226</v>
      </c>
      <c r="BJ304" s="17">
        <f t="shared" si="816"/>
        <v>0</v>
      </c>
      <c r="BK304" s="17">
        <f t="shared" si="816"/>
        <v>0</v>
      </c>
      <c r="BL304" s="17">
        <f t="shared" si="816"/>
        <v>0</v>
      </c>
      <c r="BM304" s="17">
        <f t="shared" si="816"/>
        <v>0</v>
      </c>
      <c r="BN304" s="17">
        <f t="shared" si="816"/>
        <v>0</v>
      </c>
      <c r="BO304" s="17">
        <f t="shared" si="816"/>
        <v>0</v>
      </c>
      <c r="BP304" s="17">
        <f t="shared" si="816"/>
        <v>0</v>
      </c>
      <c r="BQ304" s="17">
        <f t="shared" si="816"/>
        <v>0</v>
      </c>
      <c r="BR304" s="17">
        <f t="shared" si="816"/>
        <v>0</v>
      </c>
      <c r="BS304" s="17">
        <f t="shared" si="816"/>
        <v>0</v>
      </c>
      <c r="BT304" s="17">
        <f t="shared" si="816"/>
        <v>0</v>
      </c>
      <c r="BU304" s="17">
        <f t="shared" si="816"/>
        <v>0</v>
      </c>
      <c r="BV304" s="17">
        <f t="shared" si="816"/>
        <v>0</v>
      </c>
      <c r="BW304" s="17">
        <f t="shared" si="816"/>
        <v>0</v>
      </c>
      <c r="BX304" s="17">
        <f t="shared" si="816"/>
        <v>0</v>
      </c>
      <c r="BY304" s="17">
        <f t="shared" si="816"/>
        <v>0</v>
      </c>
      <c r="BZ304" s="17">
        <f t="shared" si="816"/>
        <v>0</v>
      </c>
      <c r="CA304" s="17">
        <f t="shared" si="764"/>
        <v>0</v>
      </c>
      <c r="CB304" s="17">
        <f t="shared" si="816"/>
        <v>0</v>
      </c>
      <c r="CC304" s="17">
        <f t="shared" si="816"/>
        <v>0</v>
      </c>
      <c r="CD304" s="17">
        <f t="shared" si="816"/>
        <v>0</v>
      </c>
      <c r="CE304" s="17">
        <f t="shared" si="816"/>
        <v>0</v>
      </c>
      <c r="CF304" s="17">
        <f t="shared" si="816"/>
        <v>0</v>
      </c>
      <c r="CG304" s="17">
        <f t="shared" si="816"/>
        <v>0</v>
      </c>
      <c r="CH304" s="17">
        <f t="shared" si="816"/>
        <v>0</v>
      </c>
      <c r="CI304" s="17">
        <f t="shared" si="816"/>
        <v>0</v>
      </c>
      <c r="CJ304" s="17">
        <f t="shared" si="816"/>
        <v>0</v>
      </c>
      <c r="CK304" s="17">
        <f t="shared" si="816"/>
        <v>0</v>
      </c>
      <c r="CL304" s="17">
        <f t="shared" si="816"/>
        <v>0</v>
      </c>
      <c r="CM304" s="17">
        <f t="shared" si="816"/>
        <v>0</v>
      </c>
      <c r="CN304" s="17">
        <f t="shared" si="816"/>
        <v>0</v>
      </c>
      <c r="CO304" s="64"/>
      <c r="CP304" s="64"/>
      <c r="CQ304" s="64"/>
      <c r="CR304" s="64"/>
    </row>
    <row r="305" spans="1:199" s="46" customFormat="1" ht="15.6" x14ac:dyDescent="0.3">
      <c r="A305" s="90" t="s">
        <v>1</v>
      </c>
      <c r="B305" s="19" t="s">
        <v>301</v>
      </c>
      <c r="C305" s="20" t="s">
        <v>300</v>
      </c>
      <c r="D305" s="18">
        <f>SUM(E305+CA305)</f>
        <v>1922226</v>
      </c>
      <c r="E305" s="18">
        <f>SUM(F305+BA305)</f>
        <v>1922226</v>
      </c>
      <c r="F305" s="18">
        <f>SUM(G305+H305+I305+P305+S305+T305+U305+AE305+AD305)</f>
        <v>0</v>
      </c>
      <c r="G305" s="18">
        <v>0</v>
      </c>
      <c r="H305" s="18">
        <v>0</v>
      </c>
      <c r="I305" s="18">
        <f>SUM(J305:O305)</f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f>SUM(Q305:R305)</f>
        <v>0</v>
      </c>
      <c r="Q305" s="18">
        <v>0</v>
      </c>
      <c r="R305" s="18">
        <v>0</v>
      </c>
      <c r="S305" s="18">
        <v>0</v>
      </c>
      <c r="T305" s="18">
        <v>0</v>
      </c>
      <c r="U305" s="18">
        <f t="shared" ref="U305" si="817">SUM(V305:AC305)</f>
        <v>0</v>
      </c>
      <c r="V305" s="18">
        <v>0</v>
      </c>
      <c r="W305" s="18">
        <v>0</v>
      </c>
      <c r="X305" s="18">
        <v>0</v>
      </c>
      <c r="Y305" s="18">
        <v>0</v>
      </c>
      <c r="Z305" s="18">
        <v>0</v>
      </c>
      <c r="AA305" s="18">
        <v>0</v>
      </c>
      <c r="AB305" s="18">
        <v>0</v>
      </c>
      <c r="AC305" s="18">
        <v>0</v>
      </c>
      <c r="AD305" s="18">
        <v>0</v>
      </c>
      <c r="AE305" s="18">
        <f>SUM(AF305:AZ305)</f>
        <v>0</v>
      </c>
      <c r="AF305" s="18">
        <v>0</v>
      </c>
      <c r="AG305" s="18">
        <v>0</v>
      </c>
      <c r="AH305" s="18">
        <v>0</v>
      </c>
      <c r="AI305" s="18">
        <v>0</v>
      </c>
      <c r="AJ305" s="18">
        <v>0</v>
      </c>
      <c r="AK305" s="18">
        <v>0</v>
      </c>
      <c r="AL305" s="18">
        <v>0</v>
      </c>
      <c r="AM305" s="18">
        <v>0</v>
      </c>
      <c r="AN305" s="18">
        <v>0</v>
      </c>
      <c r="AO305" s="18">
        <v>0</v>
      </c>
      <c r="AP305" s="18">
        <v>0</v>
      </c>
      <c r="AQ305" s="18">
        <v>0</v>
      </c>
      <c r="AR305" s="18">
        <v>0</v>
      </c>
      <c r="AS305" s="18">
        <v>0</v>
      </c>
      <c r="AT305" s="18">
        <v>0</v>
      </c>
      <c r="AU305" s="18">
        <v>0</v>
      </c>
      <c r="AV305" s="18">
        <v>0</v>
      </c>
      <c r="AW305" s="18">
        <v>0</v>
      </c>
      <c r="AX305" s="18">
        <v>0</v>
      </c>
      <c r="AY305" s="18"/>
      <c r="AZ305" s="18">
        <v>0</v>
      </c>
      <c r="BA305" s="18">
        <f>SUM(BB305+BF305+BJ305+BL305+BO305)</f>
        <v>1922226</v>
      </c>
      <c r="BB305" s="18">
        <f>SUM(BC305:BE305)</f>
        <v>0</v>
      </c>
      <c r="BC305" s="18">
        <v>0</v>
      </c>
      <c r="BD305" s="18">
        <v>0</v>
      </c>
      <c r="BE305" s="18">
        <v>0</v>
      </c>
      <c r="BF305" s="35">
        <f>SUM(BG305:BI305)</f>
        <v>1922226</v>
      </c>
      <c r="BG305" s="18">
        <v>0</v>
      </c>
      <c r="BH305" s="21"/>
      <c r="BI305" s="21">
        <f>7492292+80007-3080007-2570066</f>
        <v>1922226</v>
      </c>
      <c r="BJ305" s="18">
        <v>0</v>
      </c>
      <c r="BK305" s="18">
        <v>0</v>
      </c>
      <c r="BL305" s="18">
        <f>SUM(BM305)</f>
        <v>0</v>
      </c>
      <c r="BM305" s="18">
        <v>0</v>
      </c>
      <c r="BN305" s="18">
        <v>0</v>
      </c>
      <c r="BO305" s="18">
        <f>SUM(BP305:BZ305)</f>
        <v>0</v>
      </c>
      <c r="BP305" s="18">
        <v>0</v>
      </c>
      <c r="BQ305" s="18">
        <v>0</v>
      </c>
      <c r="BR305" s="18">
        <v>0</v>
      </c>
      <c r="BS305" s="18">
        <v>0</v>
      </c>
      <c r="BT305" s="18">
        <v>0</v>
      </c>
      <c r="BU305" s="18">
        <v>0</v>
      </c>
      <c r="BV305" s="18">
        <v>0</v>
      </c>
      <c r="BW305" s="18">
        <v>0</v>
      </c>
      <c r="BX305" s="18">
        <v>0</v>
      </c>
      <c r="BY305" s="18">
        <v>0</v>
      </c>
      <c r="BZ305" s="18">
        <v>0</v>
      </c>
      <c r="CA305" s="18">
        <f t="shared" si="764"/>
        <v>0</v>
      </c>
      <c r="CB305" s="18">
        <f>SUM(CC305+CF305+CK305)</f>
        <v>0</v>
      </c>
      <c r="CC305" s="18">
        <f>SUM(CD305:CE305)</f>
        <v>0</v>
      </c>
      <c r="CD305" s="18">
        <v>0</v>
      </c>
      <c r="CE305" s="18">
        <v>0</v>
      </c>
      <c r="CF305" s="18">
        <f>SUM(CG305:CJ305)</f>
        <v>0</v>
      </c>
      <c r="CG305" s="18">
        <v>0</v>
      </c>
      <c r="CH305" s="18">
        <v>0</v>
      </c>
      <c r="CI305" s="18">
        <v>0</v>
      </c>
      <c r="CJ305" s="18">
        <v>0</v>
      </c>
      <c r="CK305" s="18">
        <f>SUM(CL305:CM305)</f>
        <v>0</v>
      </c>
      <c r="CL305" s="18">
        <v>0</v>
      </c>
      <c r="CM305" s="18">
        <v>0</v>
      </c>
      <c r="CN305" s="18">
        <v>0</v>
      </c>
      <c r="CO305" s="65"/>
      <c r="CP305" s="65"/>
      <c r="CQ305" s="65"/>
      <c r="CR305" s="65"/>
      <c r="CS305" s="51"/>
      <c r="GP305" s="51"/>
    </row>
    <row r="306" spans="1:199" s="51" customFormat="1" ht="31.2" x14ac:dyDescent="0.3">
      <c r="A306" s="89" t="s">
        <v>302</v>
      </c>
      <c r="B306" s="15" t="s">
        <v>1</v>
      </c>
      <c r="C306" s="16" t="s">
        <v>499</v>
      </c>
      <c r="D306" s="17">
        <f>SUM(D307:D308)</f>
        <v>30717531</v>
      </c>
      <c r="E306" s="17">
        <f t="shared" ref="E306:BQ306" si="818">SUM(E307:E308)</f>
        <v>25930036</v>
      </c>
      <c r="F306" s="17">
        <f t="shared" si="818"/>
        <v>0</v>
      </c>
      <c r="G306" s="17">
        <f t="shared" si="818"/>
        <v>0</v>
      </c>
      <c r="H306" s="17">
        <f t="shared" si="818"/>
        <v>0</v>
      </c>
      <c r="I306" s="17">
        <f t="shared" si="818"/>
        <v>0</v>
      </c>
      <c r="J306" s="17">
        <f t="shared" si="818"/>
        <v>0</v>
      </c>
      <c r="K306" s="17">
        <f t="shared" si="818"/>
        <v>0</v>
      </c>
      <c r="L306" s="17">
        <f t="shared" si="818"/>
        <v>0</v>
      </c>
      <c r="M306" s="17">
        <f t="shared" si="818"/>
        <v>0</v>
      </c>
      <c r="N306" s="17">
        <f t="shared" si="818"/>
        <v>0</v>
      </c>
      <c r="O306" s="17">
        <f t="shared" si="818"/>
        <v>0</v>
      </c>
      <c r="P306" s="17">
        <f t="shared" si="818"/>
        <v>0</v>
      </c>
      <c r="Q306" s="17">
        <f t="shared" si="818"/>
        <v>0</v>
      </c>
      <c r="R306" s="17">
        <f t="shared" si="818"/>
        <v>0</v>
      </c>
      <c r="S306" s="17">
        <f t="shared" si="818"/>
        <v>0</v>
      </c>
      <c r="T306" s="17">
        <f t="shared" si="818"/>
        <v>0</v>
      </c>
      <c r="U306" s="17">
        <f t="shared" si="818"/>
        <v>0</v>
      </c>
      <c r="V306" s="17">
        <f t="shared" si="818"/>
        <v>0</v>
      </c>
      <c r="W306" s="17">
        <f t="shared" si="818"/>
        <v>0</v>
      </c>
      <c r="X306" s="17">
        <f t="shared" si="818"/>
        <v>0</v>
      </c>
      <c r="Y306" s="17">
        <f t="shared" si="818"/>
        <v>0</v>
      </c>
      <c r="Z306" s="17">
        <f t="shared" si="818"/>
        <v>0</v>
      </c>
      <c r="AA306" s="17">
        <f t="shared" si="818"/>
        <v>0</v>
      </c>
      <c r="AB306" s="17">
        <f t="shared" si="818"/>
        <v>0</v>
      </c>
      <c r="AC306" s="17">
        <f t="shared" si="818"/>
        <v>0</v>
      </c>
      <c r="AD306" s="17">
        <f t="shared" si="818"/>
        <v>0</v>
      </c>
      <c r="AE306" s="17">
        <f t="shared" si="818"/>
        <v>0</v>
      </c>
      <c r="AF306" s="17">
        <f t="shared" si="818"/>
        <v>0</v>
      </c>
      <c r="AG306" s="17">
        <f t="shared" si="818"/>
        <v>0</v>
      </c>
      <c r="AH306" s="17">
        <f t="shared" si="818"/>
        <v>0</v>
      </c>
      <c r="AI306" s="17">
        <f t="shared" si="818"/>
        <v>0</v>
      </c>
      <c r="AJ306" s="17">
        <f t="shared" si="818"/>
        <v>0</v>
      </c>
      <c r="AK306" s="17">
        <f t="shared" si="818"/>
        <v>0</v>
      </c>
      <c r="AL306" s="17">
        <f t="shared" si="818"/>
        <v>0</v>
      </c>
      <c r="AM306" s="17">
        <f t="shared" si="818"/>
        <v>0</v>
      </c>
      <c r="AN306" s="17">
        <f t="shared" si="818"/>
        <v>0</v>
      </c>
      <c r="AO306" s="17">
        <f t="shared" si="818"/>
        <v>0</v>
      </c>
      <c r="AP306" s="17">
        <f t="shared" si="818"/>
        <v>0</v>
      </c>
      <c r="AQ306" s="17">
        <f t="shared" si="818"/>
        <v>0</v>
      </c>
      <c r="AR306" s="17">
        <f t="shared" si="818"/>
        <v>0</v>
      </c>
      <c r="AS306" s="17">
        <f t="shared" si="818"/>
        <v>0</v>
      </c>
      <c r="AT306" s="17">
        <f t="shared" si="818"/>
        <v>0</v>
      </c>
      <c r="AU306" s="17">
        <f t="shared" si="818"/>
        <v>0</v>
      </c>
      <c r="AV306" s="17">
        <f t="shared" si="818"/>
        <v>0</v>
      </c>
      <c r="AW306" s="17">
        <f t="shared" si="818"/>
        <v>0</v>
      </c>
      <c r="AX306" s="17">
        <f t="shared" si="818"/>
        <v>0</v>
      </c>
      <c r="AY306" s="17">
        <f t="shared" si="818"/>
        <v>0</v>
      </c>
      <c r="AZ306" s="17">
        <f t="shared" si="818"/>
        <v>0</v>
      </c>
      <c r="BA306" s="17">
        <f t="shared" si="818"/>
        <v>25930036</v>
      </c>
      <c r="BB306" s="17">
        <f t="shared" si="818"/>
        <v>0</v>
      </c>
      <c r="BC306" s="17">
        <f t="shared" si="818"/>
        <v>0</v>
      </c>
      <c r="BD306" s="17">
        <f t="shared" si="818"/>
        <v>0</v>
      </c>
      <c r="BE306" s="17">
        <f t="shared" si="818"/>
        <v>0</v>
      </c>
      <c r="BF306" s="17">
        <f t="shared" si="818"/>
        <v>0</v>
      </c>
      <c r="BG306" s="17">
        <f t="shared" si="818"/>
        <v>0</v>
      </c>
      <c r="BH306" s="17">
        <f t="shared" ref="BH306" si="819">SUM(BH307:BH308)</f>
        <v>0</v>
      </c>
      <c r="BI306" s="17">
        <f t="shared" si="818"/>
        <v>0</v>
      </c>
      <c r="BJ306" s="17">
        <f t="shared" si="818"/>
        <v>0</v>
      </c>
      <c r="BK306" s="17">
        <f t="shared" si="818"/>
        <v>0</v>
      </c>
      <c r="BL306" s="17">
        <f t="shared" si="818"/>
        <v>0</v>
      </c>
      <c r="BM306" s="17">
        <f t="shared" si="818"/>
        <v>0</v>
      </c>
      <c r="BN306" s="17">
        <f t="shared" si="818"/>
        <v>0</v>
      </c>
      <c r="BO306" s="17">
        <f t="shared" si="818"/>
        <v>25930036</v>
      </c>
      <c r="BP306" s="17">
        <f t="shared" si="818"/>
        <v>0</v>
      </c>
      <c r="BQ306" s="17">
        <f t="shared" si="818"/>
        <v>0</v>
      </c>
      <c r="BR306" s="17">
        <f t="shared" ref="BR306:CQ306" si="820">SUM(BR307:BR308)</f>
        <v>0</v>
      </c>
      <c r="BS306" s="17">
        <f t="shared" si="820"/>
        <v>0</v>
      </c>
      <c r="BT306" s="17">
        <f t="shared" si="820"/>
        <v>0</v>
      </c>
      <c r="BU306" s="17">
        <f t="shared" si="820"/>
        <v>0</v>
      </c>
      <c r="BV306" s="17">
        <f t="shared" si="820"/>
        <v>0</v>
      </c>
      <c r="BW306" s="17">
        <f t="shared" si="820"/>
        <v>0</v>
      </c>
      <c r="BX306" s="17">
        <f t="shared" si="820"/>
        <v>0</v>
      </c>
      <c r="BY306" s="17">
        <f t="shared" si="820"/>
        <v>0</v>
      </c>
      <c r="BZ306" s="17">
        <f t="shared" si="820"/>
        <v>25930036</v>
      </c>
      <c r="CA306" s="17">
        <f t="shared" si="820"/>
        <v>4787495</v>
      </c>
      <c r="CB306" s="17">
        <f t="shared" si="820"/>
        <v>4787495</v>
      </c>
      <c r="CC306" s="17">
        <f t="shared" si="820"/>
        <v>0</v>
      </c>
      <c r="CD306" s="17">
        <f t="shared" si="820"/>
        <v>0</v>
      </c>
      <c r="CE306" s="17">
        <f t="shared" si="820"/>
        <v>0</v>
      </c>
      <c r="CF306" s="17">
        <f t="shared" si="820"/>
        <v>4787495</v>
      </c>
      <c r="CG306" s="17">
        <f t="shared" si="820"/>
        <v>0</v>
      </c>
      <c r="CH306" s="17">
        <f t="shared" si="820"/>
        <v>0</v>
      </c>
      <c r="CI306" s="17">
        <f t="shared" si="820"/>
        <v>4787495</v>
      </c>
      <c r="CJ306" s="17">
        <f t="shared" si="820"/>
        <v>0</v>
      </c>
      <c r="CK306" s="17">
        <f t="shared" si="820"/>
        <v>0</v>
      </c>
      <c r="CL306" s="17">
        <f t="shared" si="820"/>
        <v>0</v>
      </c>
      <c r="CM306" s="17">
        <f t="shared" si="820"/>
        <v>0</v>
      </c>
      <c r="CN306" s="17">
        <f t="shared" si="820"/>
        <v>0</v>
      </c>
      <c r="CO306" s="64">
        <f t="shared" si="820"/>
        <v>0</v>
      </c>
      <c r="CP306" s="64">
        <f t="shared" si="820"/>
        <v>0</v>
      </c>
      <c r="CQ306" s="64">
        <f t="shared" si="820"/>
        <v>0</v>
      </c>
      <c r="CR306" s="64">
        <f t="shared" ref="CR306" si="821">SUM(CR307:CR308)</f>
        <v>0</v>
      </c>
      <c r="CS306" s="46"/>
      <c r="GP306" s="46"/>
    </row>
    <row r="307" spans="1:199" s="46" customFormat="1" ht="31.2" x14ac:dyDescent="0.3">
      <c r="A307" s="90" t="s">
        <v>1</v>
      </c>
      <c r="B307" s="19" t="s">
        <v>62</v>
      </c>
      <c r="C307" s="20" t="s">
        <v>593</v>
      </c>
      <c r="D307" s="18">
        <f>SUM(E307+CA307)</f>
        <v>25930036</v>
      </c>
      <c r="E307" s="18">
        <f>SUM(F307+BA307)</f>
        <v>25930036</v>
      </c>
      <c r="F307" s="18">
        <f>SUM(G307+H307+I307+P307+S307+T307+U307+AE307+AD307)</f>
        <v>0</v>
      </c>
      <c r="G307" s="18">
        <v>0</v>
      </c>
      <c r="H307" s="18">
        <v>0</v>
      </c>
      <c r="I307" s="18">
        <f t="shared" ref="I307:I318" si="822">SUM(J307:O307)</f>
        <v>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f t="shared" ref="P307:P318" si="823">SUM(Q307:R307)</f>
        <v>0</v>
      </c>
      <c r="Q307" s="18">
        <v>0</v>
      </c>
      <c r="R307" s="18">
        <v>0</v>
      </c>
      <c r="S307" s="18">
        <v>0</v>
      </c>
      <c r="T307" s="18">
        <v>0</v>
      </c>
      <c r="U307" s="18">
        <f t="shared" ref="U307" si="824">SUM(V307:AC307)</f>
        <v>0</v>
      </c>
      <c r="V307" s="18">
        <v>0</v>
      </c>
      <c r="W307" s="18">
        <v>0</v>
      </c>
      <c r="X307" s="18">
        <v>0</v>
      </c>
      <c r="Y307" s="18">
        <v>0</v>
      </c>
      <c r="Z307" s="18">
        <v>0</v>
      </c>
      <c r="AA307" s="18">
        <v>0</v>
      </c>
      <c r="AB307" s="18">
        <v>0</v>
      </c>
      <c r="AC307" s="18">
        <v>0</v>
      </c>
      <c r="AD307" s="18">
        <v>0</v>
      </c>
      <c r="AE307" s="18">
        <f>SUM(AF307:AZ307)</f>
        <v>0</v>
      </c>
      <c r="AF307" s="18">
        <v>0</v>
      </c>
      <c r="AG307" s="18">
        <v>0</v>
      </c>
      <c r="AH307" s="18">
        <v>0</v>
      </c>
      <c r="AI307" s="18">
        <v>0</v>
      </c>
      <c r="AJ307" s="18">
        <v>0</v>
      </c>
      <c r="AK307" s="18">
        <v>0</v>
      </c>
      <c r="AL307" s="18">
        <v>0</v>
      </c>
      <c r="AM307" s="18">
        <v>0</v>
      </c>
      <c r="AN307" s="18">
        <v>0</v>
      </c>
      <c r="AO307" s="18">
        <v>0</v>
      </c>
      <c r="AP307" s="18">
        <v>0</v>
      </c>
      <c r="AQ307" s="18">
        <v>0</v>
      </c>
      <c r="AR307" s="18">
        <v>0</v>
      </c>
      <c r="AS307" s="18">
        <v>0</v>
      </c>
      <c r="AT307" s="18">
        <v>0</v>
      </c>
      <c r="AU307" s="18">
        <v>0</v>
      </c>
      <c r="AV307" s="18">
        <v>0</v>
      </c>
      <c r="AW307" s="18">
        <v>0</v>
      </c>
      <c r="AX307" s="18">
        <v>0</v>
      </c>
      <c r="AY307" s="18"/>
      <c r="AZ307" s="18"/>
      <c r="BA307" s="18">
        <f>SUM(BB307+BF307+BJ307+BL307+BO307)</f>
        <v>25930036</v>
      </c>
      <c r="BB307" s="18">
        <f>SUM(BC307:BE307)</f>
        <v>0</v>
      </c>
      <c r="BC307" s="18">
        <v>0</v>
      </c>
      <c r="BD307" s="18">
        <v>0</v>
      </c>
      <c r="BE307" s="18">
        <v>0</v>
      </c>
      <c r="BF307" s="18">
        <f>SUM(BI307:BI307)</f>
        <v>0</v>
      </c>
      <c r="BG307" s="18">
        <v>0</v>
      </c>
      <c r="BH307" s="18">
        <v>0</v>
      </c>
      <c r="BI307" s="18">
        <v>0</v>
      </c>
      <c r="BJ307" s="18">
        <f>22780831-22780831</f>
        <v>0</v>
      </c>
      <c r="BK307" s="18">
        <v>0</v>
      </c>
      <c r="BL307" s="18">
        <f t="shared" ref="BL307:BL318" si="825">SUM(BM307)</f>
        <v>0</v>
      </c>
      <c r="BM307" s="18">
        <v>0</v>
      </c>
      <c r="BN307" s="18">
        <v>0</v>
      </c>
      <c r="BO307" s="18">
        <f>SUM(BP307:BZ307)</f>
        <v>25930036</v>
      </c>
      <c r="BP307" s="18">
        <v>0</v>
      </c>
      <c r="BQ307" s="18">
        <v>0</v>
      </c>
      <c r="BR307" s="18">
        <v>0</v>
      </c>
      <c r="BS307" s="18">
        <v>0</v>
      </c>
      <c r="BT307" s="18">
        <v>0</v>
      </c>
      <c r="BU307" s="18">
        <v>0</v>
      </c>
      <c r="BV307" s="18">
        <v>0</v>
      </c>
      <c r="BW307" s="18">
        <v>0</v>
      </c>
      <c r="BX307" s="18">
        <v>0</v>
      </c>
      <c r="BY307" s="18">
        <v>0</v>
      </c>
      <c r="BZ307" s="18">
        <v>25930036</v>
      </c>
      <c r="CA307" s="18">
        <f t="shared" ref="CA307:CA318" si="826">SUM(CB307+CN307)</f>
        <v>0</v>
      </c>
      <c r="CB307" s="18">
        <f>SUM(CC307+CF307+CK307)</f>
        <v>0</v>
      </c>
      <c r="CC307" s="18">
        <f t="shared" ref="CC307:CC318" si="827">SUM(CD307:CE307)</f>
        <v>0</v>
      </c>
      <c r="CD307" s="18">
        <v>0</v>
      </c>
      <c r="CE307" s="18">
        <v>0</v>
      </c>
      <c r="CF307" s="18">
        <f>SUM(CG307:CJ307)</f>
        <v>0</v>
      </c>
      <c r="CG307" s="18"/>
      <c r="CH307" s="18">
        <v>0</v>
      </c>
      <c r="CI307" s="18">
        <v>0</v>
      </c>
      <c r="CJ307" s="18">
        <v>0</v>
      </c>
      <c r="CK307" s="18">
        <f>SUM(CL307:CM307)</f>
        <v>0</v>
      </c>
      <c r="CL307" s="18"/>
      <c r="CM307" s="18">
        <v>0</v>
      </c>
      <c r="CN307" s="18">
        <v>0</v>
      </c>
      <c r="CO307" s="65"/>
      <c r="CP307" s="65"/>
      <c r="CQ307" s="65"/>
      <c r="CR307" s="65"/>
      <c r="CS307" s="51"/>
      <c r="GP307" s="49"/>
    </row>
    <row r="308" spans="1:199" s="51" customFormat="1" ht="31.2" x14ac:dyDescent="0.3">
      <c r="A308" s="90"/>
      <c r="B308" s="19" t="s">
        <v>265</v>
      </c>
      <c r="C308" s="20" t="s">
        <v>593</v>
      </c>
      <c r="D308" s="18">
        <f>SUM(E308+CA308)</f>
        <v>4787495</v>
      </c>
      <c r="E308" s="18">
        <f>SUM(F308+BA308)</f>
        <v>0</v>
      </c>
      <c r="F308" s="18">
        <f>SUM(G308+H308+I308+P308+S308+T308+U308+AE308+AD308)</f>
        <v>0</v>
      </c>
      <c r="G308" s="18">
        <v>0</v>
      </c>
      <c r="H308" s="18">
        <v>0</v>
      </c>
      <c r="I308" s="18">
        <f t="shared" ref="I308" si="828">SUM(J308:O308)</f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f t="shared" ref="P308" si="829">SUM(Q308:R308)</f>
        <v>0</v>
      </c>
      <c r="Q308" s="18">
        <v>0</v>
      </c>
      <c r="R308" s="18">
        <v>0</v>
      </c>
      <c r="S308" s="18">
        <v>0</v>
      </c>
      <c r="T308" s="18">
        <v>0</v>
      </c>
      <c r="U308" s="18">
        <f t="shared" ref="U308" si="830">SUM(V308:AC308)</f>
        <v>0</v>
      </c>
      <c r="V308" s="18">
        <v>0</v>
      </c>
      <c r="W308" s="18">
        <v>0</v>
      </c>
      <c r="X308" s="18">
        <v>0</v>
      </c>
      <c r="Y308" s="18">
        <v>0</v>
      </c>
      <c r="Z308" s="18">
        <v>0</v>
      </c>
      <c r="AA308" s="18">
        <v>0</v>
      </c>
      <c r="AB308" s="18">
        <v>0</v>
      </c>
      <c r="AC308" s="18">
        <v>0</v>
      </c>
      <c r="AD308" s="18">
        <v>0</v>
      </c>
      <c r="AE308" s="18">
        <f>SUM(AF308:AZ308)</f>
        <v>0</v>
      </c>
      <c r="AF308" s="18">
        <v>0</v>
      </c>
      <c r="AG308" s="18">
        <v>0</v>
      </c>
      <c r="AH308" s="18">
        <v>0</v>
      </c>
      <c r="AI308" s="18">
        <v>0</v>
      </c>
      <c r="AJ308" s="18">
        <v>0</v>
      </c>
      <c r="AK308" s="18">
        <v>0</v>
      </c>
      <c r="AL308" s="18">
        <v>0</v>
      </c>
      <c r="AM308" s="18">
        <v>0</v>
      </c>
      <c r="AN308" s="18">
        <v>0</v>
      </c>
      <c r="AO308" s="18">
        <v>0</v>
      </c>
      <c r="AP308" s="18">
        <v>0</v>
      </c>
      <c r="AQ308" s="18">
        <v>0</v>
      </c>
      <c r="AR308" s="18">
        <v>0</v>
      </c>
      <c r="AS308" s="18">
        <v>0</v>
      </c>
      <c r="AT308" s="18">
        <v>0</v>
      </c>
      <c r="AU308" s="18">
        <v>0</v>
      </c>
      <c r="AV308" s="18">
        <v>0</v>
      </c>
      <c r="AW308" s="18">
        <v>0</v>
      </c>
      <c r="AX308" s="18">
        <v>0</v>
      </c>
      <c r="AY308" s="18"/>
      <c r="AZ308" s="18"/>
      <c r="BA308" s="18">
        <f>SUM(BB308+BF308+BJ308+BL308+BO308)</f>
        <v>0</v>
      </c>
      <c r="BB308" s="18">
        <f>SUM(BC308:BE308)</f>
        <v>0</v>
      </c>
      <c r="BC308" s="18">
        <v>0</v>
      </c>
      <c r="BD308" s="18">
        <v>0</v>
      </c>
      <c r="BE308" s="18">
        <v>0</v>
      </c>
      <c r="BF308" s="18">
        <f>SUM(BI308:BI308)</f>
        <v>0</v>
      </c>
      <c r="BG308" s="18">
        <v>0</v>
      </c>
      <c r="BH308" s="18">
        <v>0</v>
      </c>
      <c r="BI308" s="18">
        <v>0</v>
      </c>
      <c r="BJ308" s="18"/>
      <c r="BK308" s="18">
        <v>0</v>
      </c>
      <c r="BL308" s="18">
        <f t="shared" ref="BL308" si="831">SUM(BM308)</f>
        <v>0</v>
      </c>
      <c r="BM308" s="18">
        <v>0</v>
      </c>
      <c r="BN308" s="18">
        <v>0</v>
      </c>
      <c r="BO308" s="18">
        <f>SUM(BP308:BZ308)</f>
        <v>0</v>
      </c>
      <c r="BP308" s="18">
        <v>0</v>
      </c>
      <c r="BQ308" s="18">
        <v>0</v>
      </c>
      <c r="BR308" s="18">
        <v>0</v>
      </c>
      <c r="BS308" s="18">
        <v>0</v>
      </c>
      <c r="BT308" s="18">
        <v>0</v>
      </c>
      <c r="BU308" s="18">
        <v>0</v>
      </c>
      <c r="BV308" s="18">
        <v>0</v>
      </c>
      <c r="BW308" s="18">
        <v>0</v>
      </c>
      <c r="BX308" s="18">
        <v>0</v>
      </c>
      <c r="BY308" s="18">
        <v>0</v>
      </c>
      <c r="BZ308" s="18"/>
      <c r="CA308" s="18">
        <f t="shared" si="826"/>
        <v>4787495</v>
      </c>
      <c r="CB308" s="18">
        <f>SUM(CC308+CF308+CK308)</f>
        <v>4787495</v>
      </c>
      <c r="CC308" s="18">
        <f t="shared" ref="CC308" si="832">SUM(CD308:CE308)</f>
        <v>0</v>
      </c>
      <c r="CD308" s="18">
        <v>0</v>
      </c>
      <c r="CE308" s="18">
        <v>0</v>
      </c>
      <c r="CF308" s="18">
        <f>SUM(CG308:CJ308)</f>
        <v>4787495</v>
      </c>
      <c r="CG308" s="18"/>
      <c r="CH308" s="18">
        <v>0</v>
      </c>
      <c r="CI308" s="18">
        <f>0+4787495</f>
        <v>4787495</v>
      </c>
      <c r="CJ308" s="18"/>
      <c r="CK308" s="18">
        <f>SUM(CL308:CM308)</f>
        <v>0</v>
      </c>
      <c r="CL308" s="18"/>
      <c r="CM308" s="18">
        <v>0</v>
      </c>
      <c r="CN308" s="18">
        <v>0</v>
      </c>
      <c r="CO308" s="65"/>
      <c r="CP308" s="65"/>
      <c r="CQ308" s="65"/>
      <c r="CR308" s="65"/>
      <c r="GP308" s="46"/>
    </row>
    <row r="309" spans="1:199" s="46" customFormat="1" ht="15.6" x14ac:dyDescent="0.3">
      <c r="A309" s="89" t="s">
        <v>303</v>
      </c>
      <c r="B309" s="15" t="s">
        <v>1</v>
      </c>
      <c r="C309" s="16" t="s">
        <v>304</v>
      </c>
      <c r="D309" s="17">
        <f t="shared" ref="D309:AK309" si="833">SUM(D310)</f>
        <v>136380669</v>
      </c>
      <c r="E309" s="17">
        <f t="shared" si="833"/>
        <v>1482298</v>
      </c>
      <c r="F309" s="17">
        <f t="shared" si="833"/>
        <v>1482298</v>
      </c>
      <c r="G309" s="17">
        <f t="shared" si="833"/>
        <v>0</v>
      </c>
      <c r="H309" s="17">
        <f t="shared" si="833"/>
        <v>0</v>
      </c>
      <c r="I309" s="17">
        <f t="shared" si="833"/>
        <v>0</v>
      </c>
      <c r="J309" s="17">
        <f t="shared" si="833"/>
        <v>0</v>
      </c>
      <c r="K309" s="17">
        <f t="shared" si="833"/>
        <v>0</v>
      </c>
      <c r="L309" s="17">
        <f t="shared" si="833"/>
        <v>0</v>
      </c>
      <c r="M309" s="17">
        <f t="shared" si="833"/>
        <v>0</v>
      </c>
      <c r="N309" s="17">
        <f t="shared" si="833"/>
        <v>0</v>
      </c>
      <c r="O309" s="17">
        <f t="shared" si="833"/>
        <v>0</v>
      </c>
      <c r="P309" s="17">
        <f t="shared" si="833"/>
        <v>0</v>
      </c>
      <c r="Q309" s="17">
        <f t="shared" si="833"/>
        <v>0</v>
      </c>
      <c r="R309" s="17">
        <f t="shared" si="833"/>
        <v>0</v>
      </c>
      <c r="S309" s="17">
        <f t="shared" si="833"/>
        <v>0</v>
      </c>
      <c r="T309" s="17">
        <f t="shared" si="833"/>
        <v>0</v>
      </c>
      <c r="U309" s="17">
        <f t="shared" si="833"/>
        <v>0</v>
      </c>
      <c r="V309" s="17">
        <f t="shared" si="833"/>
        <v>0</v>
      </c>
      <c r="W309" s="17">
        <f t="shared" si="833"/>
        <v>0</v>
      </c>
      <c r="X309" s="17">
        <f t="shared" si="833"/>
        <v>0</v>
      </c>
      <c r="Y309" s="17">
        <f t="shared" si="833"/>
        <v>0</v>
      </c>
      <c r="Z309" s="17">
        <f t="shared" si="833"/>
        <v>0</v>
      </c>
      <c r="AA309" s="17">
        <f t="shared" si="833"/>
        <v>0</v>
      </c>
      <c r="AB309" s="17">
        <f t="shared" si="833"/>
        <v>0</v>
      </c>
      <c r="AC309" s="17">
        <f t="shared" si="833"/>
        <v>0</v>
      </c>
      <c r="AD309" s="17">
        <f t="shared" si="833"/>
        <v>0</v>
      </c>
      <c r="AE309" s="17">
        <f t="shared" si="833"/>
        <v>1482298</v>
      </c>
      <c r="AF309" s="17">
        <f t="shared" si="833"/>
        <v>0</v>
      </c>
      <c r="AG309" s="17">
        <f t="shared" si="833"/>
        <v>0</v>
      </c>
      <c r="AH309" s="17">
        <f t="shared" si="833"/>
        <v>0</v>
      </c>
      <c r="AI309" s="17">
        <f t="shared" si="833"/>
        <v>0</v>
      </c>
      <c r="AJ309" s="17">
        <f t="shared" si="833"/>
        <v>0</v>
      </c>
      <c r="AK309" s="17">
        <f t="shared" si="833"/>
        <v>0</v>
      </c>
      <c r="AL309" s="17">
        <f t="shared" ref="AL309:CN309" si="834">SUM(AL310)</f>
        <v>0</v>
      </c>
      <c r="AM309" s="17">
        <f t="shared" si="834"/>
        <v>0</v>
      </c>
      <c r="AN309" s="17">
        <f t="shared" si="834"/>
        <v>0</v>
      </c>
      <c r="AO309" s="17">
        <f t="shared" si="834"/>
        <v>0</v>
      </c>
      <c r="AP309" s="17">
        <f t="shared" si="834"/>
        <v>0</v>
      </c>
      <c r="AQ309" s="17">
        <f t="shared" si="834"/>
        <v>0</v>
      </c>
      <c r="AR309" s="17">
        <f t="shared" si="834"/>
        <v>0</v>
      </c>
      <c r="AS309" s="17">
        <f t="shared" si="834"/>
        <v>0</v>
      </c>
      <c r="AT309" s="17">
        <f t="shared" si="834"/>
        <v>0</v>
      </c>
      <c r="AU309" s="17">
        <f t="shared" si="834"/>
        <v>0</v>
      </c>
      <c r="AV309" s="17">
        <f t="shared" si="834"/>
        <v>0</v>
      </c>
      <c r="AW309" s="17">
        <f t="shared" si="834"/>
        <v>0</v>
      </c>
      <c r="AX309" s="17">
        <f t="shared" si="834"/>
        <v>0</v>
      </c>
      <c r="AY309" s="17"/>
      <c r="AZ309" s="17">
        <f t="shared" si="834"/>
        <v>1482298</v>
      </c>
      <c r="BA309" s="17">
        <f t="shared" si="834"/>
        <v>0</v>
      </c>
      <c r="BB309" s="17">
        <f t="shared" si="834"/>
        <v>0</v>
      </c>
      <c r="BC309" s="17">
        <f t="shared" si="834"/>
        <v>0</v>
      </c>
      <c r="BD309" s="17">
        <f t="shared" si="834"/>
        <v>0</v>
      </c>
      <c r="BE309" s="17">
        <f t="shared" si="834"/>
        <v>0</v>
      </c>
      <c r="BF309" s="17">
        <f t="shared" si="834"/>
        <v>0</v>
      </c>
      <c r="BG309" s="17">
        <f t="shared" si="834"/>
        <v>0</v>
      </c>
      <c r="BH309" s="17">
        <f t="shared" si="834"/>
        <v>0</v>
      </c>
      <c r="BI309" s="17">
        <f t="shared" si="834"/>
        <v>0</v>
      </c>
      <c r="BJ309" s="17">
        <f t="shared" si="834"/>
        <v>0</v>
      </c>
      <c r="BK309" s="17">
        <f t="shared" si="834"/>
        <v>0</v>
      </c>
      <c r="BL309" s="17">
        <f t="shared" si="834"/>
        <v>0</v>
      </c>
      <c r="BM309" s="17">
        <f t="shared" si="834"/>
        <v>0</v>
      </c>
      <c r="BN309" s="17">
        <f t="shared" si="834"/>
        <v>0</v>
      </c>
      <c r="BO309" s="17">
        <f t="shared" si="834"/>
        <v>0</v>
      </c>
      <c r="BP309" s="17">
        <f t="shared" si="834"/>
        <v>0</v>
      </c>
      <c r="BQ309" s="17">
        <f t="shared" si="834"/>
        <v>0</v>
      </c>
      <c r="BR309" s="17">
        <f t="shared" si="834"/>
        <v>0</v>
      </c>
      <c r="BS309" s="17">
        <f t="shared" si="834"/>
        <v>0</v>
      </c>
      <c r="BT309" s="17">
        <f t="shared" si="834"/>
        <v>0</v>
      </c>
      <c r="BU309" s="17">
        <f t="shared" si="834"/>
        <v>0</v>
      </c>
      <c r="BV309" s="17">
        <f t="shared" si="834"/>
        <v>0</v>
      </c>
      <c r="BW309" s="17">
        <f t="shared" si="834"/>
        <v>0</v>
      </c>
      <c r="BX309" s="17">
        <f t="shared" si="834"/>
        <v>0</v>
      </c>
      <c r="BY309" s="17">
        <f t="shared" si="834"/>
        <v>0</v>
      </c>
      <c r="BZ309" s="17">
        <f t="shared" si="834"/>
        <v>0</v>
      </c>
      <c r="CA309" s="17">
        <f t="shared" si="826"/>
        <v>134898371</v>
      </c>
      <c r="CB309" s="17">
        <f t="shared" si="834"/>
        <v>126271734</v>
      </c>
      <c r="CC309" s="17">
        <f t="shared" si="834"/>
        <v>0</v>
      </c>
      <c r="CD309" s="17">
        <f t="shared" si="834"/>
        <v>0</v>
      </c>
      <c r="CE309" s="17">
        <f t="shared" si="834"/>
        <v>0</v>
      </c>
      <c r="CF309" s="17">
        <f t="shared" si="834"/>
        <v>77762904</v>
      </c>
      <c r="CG309" s="17">
        <f t="shared" si="834"/>
        <v>76254170</v>
      </c>
      <c r="CH309" s="17">
        <f t="shared" si="834"/>
        <v>424997</v>
      </c>
      <c r="CI309" s="17">
        <f t="shared" si="834"/>
        <v>228031</v>
      </c>
      <c r="CJ309" s="17">
        <f t="shared" si="834"/>
        <v>855706</v>
      </c>
      <c r="CK309" s="17">
        <f t="shared" si="834"/>
        <v>48508830</v>
      </c>
      <c r="CL309" s="17">
        <f t="shared" si="834"/>
        <v>42178996</v>
      </c>
      <c r="CM309" s="17">
        <f t="shared" si="834"/>
        <v>6329834</v>
      </c>
      <c r="CN309" s="17">
        <f t="shared" si="834"/>
        <v>8626637</v>
      </c>
      <c r="CO309" s="64"/>
      <c r="CP309" s="64"/>
      <c r="CQ309" s="64"/>
      <c r="CR309" s="64"/>
    </row>
    <row r="310" spans="1:199" s="51" customFormat="1" ht="15.6" x14ac:dyDescent="0.3">
      <c r="A310" s="90" t="s">
        <v>1</v>
      </c>
      <c r="B310" s="19" t="s">
        <v>305</v>
      </c>
      <c r="C310" s="20" t="s">
        <v>304</v>
      </c>
      <c r="D310" s="18">
        <f>SUM(E310+CA310)</f>
        <v>136380669</v>
      </c>
      <c r="E310" s="18">
        <f>SUM(F310+BA310)</f>
        <v>1482298</v>
      </c>
      <c r="F310" s="18">
        <f>SUM(G310+H310+I310+P310+S310+T310+U310+AE310+AD310)</f>
        <v>1482298</v>
      </c>
      <c r="G310" s="18">
        <v>0</v>
      </c>
      <c r="H310" s="18">
        <v>0</v>
      </c>
      <c r="I310" s="18">
        <f t="shared" si="822"/>
        <v>0</v>
      </c>
      <c r="J310" s="18">
        <f>3111047-3111047</f>
        <v>0</v>
      </c>
      <c r="K310" s="18"/>
      <c r="L310" s="18">
        <v>0</v>
      </c>
      <c r="M310" s="18">
        <v>0</v>
      </c>
      <c r="N310" s="18"/>
      <c r="O310" s="21"/>
      <c r="P310" s="18">
        <f t="shared" si="823"/>
        <v>0</v>
      </c>
      <c r="Q310" s="18">
        <v>0</v>
      </c>
      <c r="R310" s="18">
        <v>0</v>
      </c>
      <c r="S310" s="18">
        <v>0</v>
      </c>
      <c r="T310" s="18">
        <v>0</v>
      </c>
      <c r="U310" s="18">
        <f t="shared" ref="U310" si="835">SUM(V310:AC310)</f>
        <v>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0</v>
      </c>
      <c r="AC310" s="18">
        <v>0</v>
      </c>
      <c r="AD310" s="18">
        <v>0</v>
      </c>
      <c r="AE310" s="18">
        <f>SUM(AF310:AZ310)</f>
        <v>1482298</v>
      </c>
      <c r="AF310" s="18">
        <v>0</v>
      </c>
      <c r="AG310" s="18">
        <v>0</v>
      </c>
      <c r="AH310" s="45">
        <v>0</v>
      </c>
      <c r="AI310" s="18">
        <v>0</v>
      </c>
      <c r="AJ310" s="18">
        <v>0</v>
      </c>
      <c r="AK310" s="18">
        <v>0</v>
      </c>
      <c r="AL310" s="18">
        <v>0</v>
      </c>
      <c r="AM310" s="18">
        <v>0</v>
      </c>
      <c r="AN310" s="18">
        <v>0</v>
      </c>
      <c r="AO310" s="18">
        <v>0</v>
      </c>
      <c r="AP310" s="18">
        <v>0</v>
      </c>
      <c r="AQ310" s="18">
        <v>0</v>
      </c>
      <c r="AR310" s="18">
        <v>0</v>
      </c>
      <c r="AS310" s="18">
        <v>0</v>
      </c>
      <c r="AT310" s="18">
        <v>0</v>
      </c>
      <c r="AU310" s="18">
        <v>0</v>
      </c>
      <c r="AV310" s="21">
        <v>0</v>
      </c>
      <c r="AW310" s="18">
        <v>0</v>
      </c>
      <c r="AX310" s="18">
        <v>0</v>
      </c>
      <c r="AY310" s="18">
        <v>0</v>
      </c>
      <c r="AZ310" s="18">
        <f>6100000-2317702-2300000</f>
        <v>1482298</v>
      </c>
      <c r="BA310" s="18">
        <f>SUM(BB310+BF310+BJ310+BL310+BO310)</f>
        <v>0</v>
      </c>
      <c r="BB310" s="18">
        <f>SUM(BC310:BE310)</f>
        <v>0</v>
      </c>
      <c r="BC310" s="18">
        <v>0</v>
      </c>
      <c r="BD310" s="18">
        <v>0</v>
      </c>
      <c r="BE310" s="18">
        <v>0</v>
      </c>
      <c r="BF310" s="18">
        <f>SUM(BI310:BI310)</f>
        <v>0</v>
      </c>
      <c r="BG310" s="18">
        <v>0</v>
      </c>
      <c r="BH310" s="18">
        <v>0</v>
      </c>
      <c r="BI310" s="18">
        <v>0</v>
      </c>
      <c r="BJ310" s="18">
        <v>0</v>
      </c>
      <c r="BK310" s="18">
        <v>0</v>
      </c>
      <c r="BL310" s="18">
        <f t="shared" si="825"/>
        <v>0</v>
      </c>
      <c r="BM310" s="18">
        <v>0</v>
      </c>
      <c r="BN310" s="18">
        <v>0</v>
      </c>
      <c r="BO310" s="18">
        <f>SUM(BP310:BZ310)</f>
        <v>0</v>
      </c>
      <c r="BP310" s="18">
        <v>0</v>
      </c>
      <c r="BQ310" s="18">
        <v>0</v>
      </c>
      <c r="BR310" s="18">
        <v>0</v>
      </c>
      <c r="BS310" s="18">
        <v>0</v>
      </c>
      <c r="BT310" s="18">
        <v>0</v>
      </c>
      <c r="BU310" s="18">
        <v>0</v>
      </c>
      <c r="BV310" s="18">
        <v>0</v>
      </c>
      <c r="BW310" s="21"/>
      <c r="BX310" s="18">
        <v>0</v>
      </c>
      <c r="BY310" s="18">
        <v>0</v>
      </c>
      <c r="BZ310" s="18">
        <v>0</v>
      </c>
      <c r="CA310" s="18">
        <f t="shared" si="826"/>
        <v>134898371</v>
      </c>
      <c r="CB310" s="18">
        <f>SUM(CC310+CF310+CK310)</f>
        <v>126271734</v>
      </c>
      <c r="CC310" s="18">
        <f t="shared" si="827"/>
        <v>0</v>
      </c>
      <c r="CD310" s="18"/>
      <c r="CE310" s="31"/>
      <c r="CF310" s="18">
        <f>SUM(CG310:CJ310)</f>
        <v>77762904</v>
      </c>
      <c r="CG310" s="21">
        <f>61000000+23482563-3300000-5128393+200000</f>
        <v>76254170</v>
      </c>
      <c r="CH310" s="22">
        <f>2000000+424997-2000000</f>
        <v>424997</v>
      </c>
      <c r="CI310" s="22">
        <f>0+22585+205446</f>
        <v>228031</v>
      </c>
      <c r="CJ310" s="22">
        <v>855706</v>
      </c>
      <c r="CK310" s="18">
        <f>SUM(CL310:CM310)</f>
        <v>48508830</v>
      </c>
      <c r="CL310" s="22">
        <f>68500000-8855471-17465533</f>
        <v>42178996</v>
      </c>
      <c r="CM310" s="18">
        <f>13540314+156031-7366511</f>
        <v>6329834</v>
      </c>
      <c r="CN310" s="18">
        <f>0+2684498+3300000+2842139-200000</f>
        <v>8626637</v>
      </c>
      <c r="CO310" s="65"/>
      <c r="CP310" s="65"/>
      <c r="CQ310" s="65"/>
      <c r="CR310" s="65"/>
    </row>
    <row r="311" spans="1:199" s="46" customFormat="1" ht="15.6" x14ac:dyDescent="0.3">
      <c r="A311" s="89" t="s">
        <v>306</v>
      </c>
      <c r="B311" s="15" t="s">
        <v>1</v>
      </c>
      <c r="C311" s="16" t="s">
        <v>307</v>
      </c>
      <c r="D311" s="17">
        <f t="shared" ref="D311:BR311" si="836">SUM(D312)</f>
        <v>16411164</v>
      </c>
      <c r="E311" s="17">
        <f t="shared" si="836"/>
        <v>16411164</v>
      </c>
      <c r="F311" s="17">
        <f t="shared" si="836"/>
        <v>16411164</v>
      </c>
      <c r="G311" s="17">
        <f t="shared" si="836"/>
        <v>0</v>
      </c>
      <c r="H311" s="17">
        <f t="shared" si="836"/>
        <v>0</v>
      </c>
      <c r="I311" s="17">
        <f t="shared" si="836"/>
        <v>0</v>
      </c>
      <c r="J311" s="17">
        <f t="shared" si="836"/>
        <v>0</v>
      </c>
      <c r="K311" s="17">
        <f t="shared" si="836"/>
        <v>0</v>
      </c>
      <c r="L311" s="17">
        <f t="shared" si="836"/>
        <v>0</v>
      </c>
      <c r="M311" s="17">
        <f t="shared" si="836"/>
        <v>0</v>
      </c>
      <c r="N311" s="17">
        <f t="shared" si="836"/>
        <v>0</v>
      </c>
      <c r="O311" s="17">
        <f t="shared" si="836"/>
        <v>0</v>
      </c>
      <c r="P311" s="17">
        <f t="shared" si="836"/>
        <v>0</v>
      </c>
      <c r="Q311" s="17">
        <f t="shared" si="836"/>
        <v>0</v>
      </c>
      <c r="R311" s="17">
        <f t="shared" si="836"/>
        <v>0</v>
      </c>
      <c r="S311" s="17">
        <f t="shared" si="836"/>
        <v>0</v>
      </c>
      <c r="T311" s="17">
        <f t="shared" si="836"/>
        <v>0</v>
      </c>
      <c r="U311" s="17">
        <f t="shared" si="836"/>
        <v>0</v>
      </c>
      <c r="V311" s="17">
        <f t="shared" si="836"/>
        <v>0</v>
      </c>
      <c r="W311" s="17">
        <f t="shared" si="836"/>
        <v>0</v>
      </c>
      <c r="X311" s="17">
        <f t="shared" si="836"/>
        <v>0</v>
      </c>
      <c r="Y311" s="17">
        <f t="shared" si="836"/>
        <v>0</v>
      </c>
      <c r="Z311" s="17">
        <f t="shared" si="836"/>
        <v>0</v>
      </c>
      <c r="AA311" s="17">
        <f t="shared" si="836"/>
        <v>0</v>
      </c>
      <c r="AB311" s="17">
        <f t="shared" si="836"/>
        <v>0</v>
      </c>
      <c r="AC311" s="17">
        <f t="shared" si="836"/>
        <v>0</v>
      </c>
      <c r="AD311" s="17">
        <f t="shared" si="836"/>
        <v>0</v>
      </c>
      <c r="AE311" s="17">
        <f t="shared" si="836"/>
        <v>16411164</v>
      </c>
      <c r="AF311" s="17">
        <f t="shared" si="836"/>
        <v>0</v>
      </c>
      <c r="AG311" s="17">
        <f t="shared" si="836"/>
        <v>0</v>
      </c>
      <c r="AH311" s="17">
        <f t="shared" si="836"/>
        <v>0</v>
      </c>
      <c r="AI311" s="17">
        <f t="shared" si="836"/>
        <v>0</v>
      </c>
      <c r="AJ311" s="17">
        <f t="shared" si="836"/>
        <v>0</v>
      </c>
      <c r="AK311" s="17">
        <f t="shared" si="836"/>
        <v>0</v>
      </c>
      <c r="AL311" s="17">
        <f t="shared" si="836"/>
        <v>0</v>
      </c>
      <c r="AM311" s="17">
        <f t="shared" si="836"/>
        <v>0</v>
      </c>
      <c r="AN311" s="17">
        <f t="shared" si="836"/>
        <v>0</v>
      </c>
      <c r="AO311" s="17">
        <f t="shared" si="836"/>
        <v>0</v>
      </c>
      <c r="AP311" s="17">
        <f t="shared" si="836"/>
        <v>0</v>
      </c>
      <c r="AQ311" s="17">
        <f t="shared" si="836"/>
        <v>0</v>
      </c>
      <c r="AR311" s="17">
        <f t="shared" si="836"/>
        <v>0</v>
      </c>
      <c r="AS311" s="17">
        <f t="shared" si="836"/>
        <v>0</v>
      </c>
      <c r="AT311" s="17">
        <f t="shared" si="836"/>
        <v>0</v>
      </c>
      <c r="AU311" s="17">
        <f t="shared" si="836"/>
        <v>0</v>
      </c>
      <c r="AV311" s="17">
        <f t="shared" si="836"/>
        <v>0</v>
      </c>
      <c r="AW311" s="17">
        <f t="shared" si="836"/>
        <v>0</v>
      </c>
      <c r="AX311" s="17">
        <f t="shared" si="836"/>
        <v>0</v>
      </c>
      <c r="AY311" s="17"/>
      <c r="AZ311" s="17">
        <f t="shared" si="836"/>
        <v>16411164</v>
      </c>
      <c r="BA311" s="17">
        <f t="shared" si="836"/>
        <v>0</v>
      </c>
      <c r="BB311" s="17">
        <f t="shared" si="836"/>
        <v>0</v>
      </c>
      <c r="BC311" s="17">
        <f t="shared" si="836"/>
        <v>0</v>
      </c>
      <c r="BD311" s="17">
        <f t="shared" si="836"/>
        <v>0</v>
      </c>
      <c r="BE311" s="17">
        <f t="shared" si="836"/>
        <v>0</v>
      </c>
      <c r="BF311" s="17">
        <f t="shared" si="836"/>
        <v>0</v>
      </c>
      <c r="BG311" s="17">
        <f t="shared" si="836"/>
        <v>0</v>
      </c>
      <c r="BH311" s="17">
        <f t="shared" si="836"/>
        <v>0</v>
      </c>
      <c r="BI311" s="17">
        <f t="shared" si="836"/>
        <v>0</v>
      </c>
      <c r="BJ311" s="17">
        <f t="shared" si="836"/>
        <v>0</v>
      </c>
      <c r="BK311" s="17">
        <f t="shared" si="836"/>
        <v>0</v>
      </c>
      <c r="BL311" s="17">
        <f t="shared" si="836"/>
        <v>0</v>
      </c>
      <c r="BM311" s="17">
        <f t="shared" si="836"/>
        <v>0</v>
      </c>
      <c r="BN311" s="17">
        <f t="shared" si="836"/>
        <v>0</v>
      </c>
      <c r="BO311" s="17">
        <f t="shared" si="836"/>
        <v>0</v>
      </c>
      <c r="BP311" s="17">
        <f t="shared" si="836"/>
        <v>0</v>
      </c>
      <c r="BQ311" s="17">
        <f t="shared" si="836"/>
        <v>0</v>
      </c>
      <c r="BR311" s="17">
        <f t="shared" si="836"/>
        <v>0</v>
      </c>
      <c r="BS311" s="17">
        <f t="shared" ref="BS311:CN311" si="837">SUM(BS312)</f>
        <v>0</v>
      </c>
      <c r="BT311" s="17">
        <f t="shared" si="837"/>
        <v>0</v>
      </c>
      <c r="BU311" s="17">
        <f t="shared" si="837"/>
        <v>0</v>
      </c>
      <c r="BV311" s="17">
        <f t="shared" si="837"/>
        <v>0</v>
      </c>
      <c r="BW311" s="17">
        <f t="shared" si="837"/>
        <v>0</v>
      </c>
      <c r="BX311" s="17">
        <f t="shared" si="837"/>
        <v>0</v>
      </c>
      <c r="BY311" s="17">
        <f t="shared" si="837"/>
        <v>0</v>
      </c>
      <c r="BZ311" s="17">
        <f t="shared" si="837"/>
        <v>0</v>
      </c>
      <c r="CA311" s="17">
        <f t="shared" si="826"/>
        <v>0</v>
      </c>
      <c r="CB311" s="17">
        <f t="shared" si="837"/>
        <v>0</v>
      </c>
      <c r="CC311" s="17">
        <f t="shared" si="837"/>
        <v>0</v>
      </c>
      <c r="CD311" s="17">
        <f t="shared" si="837"/>
        <v>0</v>
      </c>
      <c r="CE311" s="17">
        <f t="shared" si="837"/>
        <v>0</v>
      </c>
      <c r="CF311" s="17">
        <f t="shared" si="837"/>
        <v>0</v>
      </c>
      <c r="CG311" s="17">
        <f t="shared" si="837"/>
        <v>0</v>
      </c>
      <c r="CH311" s="17">
        <f t="shared" si="837"/>
        <v>0</v>
      </c>
      <c r="CI311" s="17">
        <f t="shared" si="837"/>
        <v>0</v>
      </c>
      <c r="CJ311" s="17">
        <f t="shared" si="837"/>
        <v>0</v>
      </c>
      <c r="CK311" s="17">
        <f t="shared" si="837"/>
        <v>0</v>
      </c>
      <c r="CL311" s="17">
        <f t="shared" si="837"/>
        <v>0</v>
      </c>
      <c r="CM311" s="17">
        <f t="shared" si="837"/>
        <v>0</v>
      </c>
      <c r="CN311" s="17">
        <f t="shared" si="837"/>
        <v>0</v>
      </c>
      <c r="CO311" s="64"/>
      <c r="CP311" s="64"/>
      <c r="CQ311" s="64"/>
      <c r="CR311" s="64"/>
    </row>
    <row r="312" spans="1:199" s="52" customFormat="1" ht="15.6" x14ac:dyDescent="0.3">
      <c r="A312" s="90" t="s">
        <v>1</v>
      </c>
      <c r="B312" s="19" t="s">
        <v>265</v>
      </c>
      <c r="C312" s="20" t="s">
        <v>307</v>
      </c>
      <c r="D312" s="18">
        <f>SUM(E312+CA312)</f>
        <v>16411164</v>
      </c>
      <c r="E312" s="18">
        <f>SUM(F312+BA312)</f>
        <v>16411164</v>
      </c>
      <c r="F312" s="18">
        <f>SUM(G312+H312+I312+P312+S312+T312+U312+AE312+AD312)</f>
        <v>16411164</v>
      </c>
      <c r="G312" s="18">
        <v>0</v>
      </c>
      <c r="H312" s="18">
        <v>0</v>
      </c>
      <c r="I312" s="18">
        <f t="shared" si="822"/>
        <v>0</v>
      </c>
      <c r="J312" s="18">
        <v>0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18">
        <f t="shared" si="823"/>
        <v>0</v>
      </c>
      <c r="Q312" s="18">
        <v>0</v>
      </c>
      <c r="R312" s="18">
        <v>0</v>
      </c>
      <c r="S312" s="18">
        <v>0</v>
      </c>
      <c r="T312" s="18">
        <v>0</v>
      </c>
      <c r="U312" s="18">
        <f t="shared" ref="U312" si="838">SUM(V312:AC312)</f>
        <v>0</v>
      </c>
      <c r="V312" s="18">
        <v>0</v>
      </c>
      <c r="W312" s="18">
        <v>0</v>
      </c>
      <c r="X312" s="18">
        <v>0</v>
      </c>
      <c r="Y312" s="18">
        <v>0</v>
      </c>
      <c r="Z312" s="18">
        <v>0</v>
      </c>
      <c r="AA312" s="18">
        <v>0</v>
      </c>
      <c r="AB312" s="18">
        <v>0</v>
      </c>
      <c r="AC312" s="18">
        <v>0</v>
      </c>
      <c r="AD312" s="18">
        <v>0</v>
      </c>
      <c r="AE312" s="18">
        <f>SUM(AF312:AZ312)</f>
        <v>16411164</v>
      </c>
      <c r="AF312" s="18">
        <v>0</v>
      </c>
      <c r="AG312" s="18">
        <v>0</v>
      </c>
      <c r="AH312" s="18">
        <v>0</v>
      </c>
      <c r="AI312" s="18">
        <v>0</v>
      </c>
      <c r="AJ312" s="18">
        <v>0</v>
      </c>
      <c r="AK312" s="18">
        <v>0</v>
      </c>
      <c r="AL312" s="18">
        <v>0</v>
      </c>
      <c r="AM312" s="18">
        <v>0</v>
      </c>
      <c r="AN312" s="18">
        <v>0</v>
      </c>
      <c r="AO312" s="18">
        <v>0</v>
      </c>
      <c r="AP312" s="18">
        <v>0</v>
      </c>
      <c r="AQ312" s="18">
        <v>0</v>
      </c>
      <c r="AR312" s="18">
        <v>0</v>
      </c>
      <c r="AS312" s="18">
        <v>0</v>
      </c>
      <c r="AT312" s="18">
        <v>0</v>
      </c>
      <c r="AU312" s="18">
        <v>0</v>
      </c>
      <c r="AV312" s="18">
        <v>0</v>
      </c>
      <c r="AW312" s="18">
        <v>0</v>
      </c>
      <c r="AX312" s="18">
        <v>0</v>
      </c>
      <c r="AY312" s="18">
        <v>0</v>
      </c>
      <c r="AZ312" s="21">
        <f>23433526-5022362-2000000</f>
        <v>16411164</v>
      </c>
      <c r="BA312" s="18">
        <f>SUM(BB312+BF312+BJ312+BL312+BO312)</f>
        <v>0</v>
      </c>
      <c r="BB312" s="18">
        <f>SUM(BC312:BE312)</f>
        <v>0</v>
      </c>
      <c r="BC312" s="18">
        <v>0</v>
      </c>
      <c r="BD312" s="18">
        <v>0</v>
      </c>
      <c r="BE312" s="18">
        <v>0</v>
      </c>
      <c r="BF312" s="18">
        <f>SUM(BI312:BI312)</f>
        <v>0</v>
      </c>
      <c r="BG312" s="18">
        <v>0</v>
      </c>
      <c r="BH312" s="18">
        <v>0</v>
      </c>
      <c r="BI312" s="18">
        <v>0</v>
      </c>
      <c r="BJ312" s="18">
        <v>0</v>
      </c>
      <c r="BK312" s="18">
        <v>0</v>
      </c>
      <c r="BL312" s="18">
        <f t="shared" si="825"/>
        <v>0</v>
      </c>
      <c r="BM312" s="18">
        <v>0</v>
      </c>
      <c r="BN312" s="18">
        <v>0</v>
      </c>
      <c r="BO312" s="18">
        <f>SUM(BP312:BZ312)</f>
        <v>0</v>
      </c>
      <c r="BP312" s="18">
        <v>0</v>
      </c>
      <c r="BQ312" s="18">
        <v>0</v>
      </c>
      <c r="BR312" s="18">
        <v>0</v>
      </c>
      <c r="BS312" s="18">
        <v>0</v>
      </c>
      <c r="BT312" s="18">
        <v>0</v>
      </c>
      <c r="BU312" s="18">
        <v>0</v>
      </c>
      <c r="BV312" s="18">
        <v>0</v>
      </c>
      <c r="BW312" s="18">
        <v>0</v>
      </c>
      <c r="BX312" s="18">
        <v>0</v>
      </c>
      <c r="BY312" s="18">
        <v>0</v>
      </c>
      <c r="BZ312" s="18">
        <v>0</v>
      </c>
      <c r="CA312" s="18">
        <f t="shared" si="826"/>
        <v>0</v>
      </c>
      <c r="CB312" s="18">
        <f>SUM(CC312+CF312+CK312)</f>
        <v>0</v>
      </c>
      <c r="CC312" s="18">
        <f t="shared" si="827"/>
        <v>0</v>
      </c>
      <c r="CD312" s="18">
        <v>0</v>
      </c>
      <c r="CE312" s="18">
        <v>0</v>
      </c>
      <c r="CF312" s="18">
        <f>SUM(CG312:CJ312)</f>
        <v>0</v>
      </c>
      <c r="CG312" s="18">
        <v>0</v>
      </c>
      <c r="CH312" s="18">
        <v>0</v>
      </c>
      <c r="CI312" s="18">
        <v>0</v>
      </c>
      <c r="CJ312" s="18">
        <v>0</v>
      </c>
      <c r="CK312" s="18">
        <f>SUM(CL312:CM312)</f>
        <v>0</v>
      </c>
      <c r="CL312" s="18">
        <v>0</v>
      </c>
      <c r="CM312" s="18">
        <v>0</v>
      </c>
      <c r="CN312" s="18">
        <v>0</v>
      </c>
      <c r="CO312" s="65"/>
      <c r="CP312" s="65"/>
      <c r="CQ312" s="65"/>
      <c r="CR312" s="65"/>
      <c r="CS312" s="51"/>
      <c r="GP312" s="51"/>
    </row>
    <row r="313" spans="1:199" ht="15.6" x14ac:dyDescent="0.3">
      <c r="A313" s="89" t="s">
        <v>308</v>
      </c>
      <c r="B313" s="15" t="s">
        <v>1</v>
      </c>
      <c r="C313" s="16" t="s">
        <v>309</v>
      </c>
      <c r="D313" s="17">
        <f t="shared" ref="D313:AK313" si="839">SUM(D314)</f>
        <v>4684018</v>
      </c>
      <c r="E313" s="17">
        <f t="shared" si="839"/>
        <v>4684018</v>
      </c>
      <c r="F313" s="17">
        <f t="shared" si="839"/>
        <v>0</v>
      </c>
      <c r="G313" s="17">
        <f t="shared" si="839"/>
        <v>0</v>
      </c>
      <c r="H313" s="17">
        <f t="shared" si="839"/>
        <v>0</v>
      </c>
      <c r="I313" s="17">
        <f t="shared" si="839"/>
        <v>0</v>
      </c>
      <c r="J313" s="17">
        <f t="shared" si="839"/>
        <v>0</v>
      </c>
      <c r="K313" s="17">
        <f t="shared" si="839"/>
        <v>0</v>
      </c>
      <c r="L313" s="17">
        <f t="shared" si="839"/>
        <v>0</v>
      </c>
      <c r="M313" s="17">
        <f t="shared" si="839"/>
        <v>0</v>
      </c>
      <c r="N313" s="17">
        <f t="shared" si="839"/>
        <v>0</v>
      </c>
      <c r="O313" s="17">
        <f t="shared" si="839"/>
        <v>0</v>
      </c>
      <c r="P313" s="17">
        <f t="shared" si="839"/>
        <v>0</v>
      </c>
      <c r="Q313" s="17">
        <f t="shared" si="839"/>
        <v>0</v>
      </c>
      <c r="R313" s="17">
        <f t="shared" si="839"/>
        <v>0</v>
      </c>
      <c r="S313" s="17">
        <f t="shared" si="839"/>
        <v>0</v>
      </c>
      <c r="T313" s="17">
        <f t="shared" si="839"/>
        <v>0</v>
      </c>
      <c r="U313" s="17">
        <f t="shared" si="839"/>
        <v>0</v>
      </c>
      <c r="V313" s="17">
        <f t="shared" si="839"/>
        <v>0</v>
      </c>
      <c r="W313" s="17">
        <f t="shared" si="839"/>
        <v>0</v>
      </c>
      <c r="X313" s="17">
        <f t="shared" si="839"/>
        <v>0</v>
      </c>
      <c r="Y313" s="17">
        <f t="shared" si="839"/>
        <v>0</v>
      </c>
      <c r="Z313" s="17">
        <f t="shared" si="839"/>
        <v>0</v>
      </c>
      <c r="AA313" s="17">
        <f t="shared" si="839"/>
        <v>0</v>
      </c>
      <c r="AB313" s="17">
        <f t="shared" si="839"/>
        <v>0</v>
      </c>
      <c r="AC313" s="17">
        <f t="shared" si="839"/>
        <v>0</v>
      </c>
      <c r="AD313" s="17">
        <f t="shared" si="839"/>
        <v>0</v>
      </c>
      <c r="AE313" s="17">
        <f t="shared" si="839"/>
        <v>0</v>
      </c>
      <c r="AF313" s="17">
        <f t="shared" si="839"/>
        <v>0</v>
      </c>
      <c r="AG313" s="17">
        <f t="shared" si="839"/>
        <v>0</v>
      </c>
      <c r="AH313" s="17">
        <f t="shared" si="839"/>
        <v>0</v>
      </c>
      <c r="AI313" s="17">
        <f t="shared" si="839"/>
        <v>0</v>
      </c>
      <c r="AJ313" s="17">
        <f t="shared" si="839"/>
        <v>0</v>
      </c>
      <c r="AK313" s="17">
        <f t="shared" si="839"/>
        <v>0</v>
      </c>
      <c r="AL313" s="17">
        <f t="shared" ref="AL313:CN313" si="840">SUM(AL314)</f>
        <v>0</v>
      </c>
      <c r="AM313" s="17">
        <f t="shared" si="840"/>
        <v>0</v>
      </c>
      <c r="AN313" s="17">
        <f t="shared" si="840"/>
        <v>0</v>
      </c>
      <c r="AO313" s="17">
        <f t="shared" si="840"/>
        <v>0</v>
      </c>
      <c r="AP313" s="17">
        <f t="shared" si="840"/>
        <v>0</v>
      </c>
      <c r="AQ313" s="17">
        <f t="shared" si="840"/>
        <v>0</v>
      </c>
      <c r="AR313" s="17">
        <f t="shared" si="840"/>
        <v>0</v>
      </c>
      <c r="AS313" s="17">
        <f t="shared" si="840"/>
        <v>0</v>
      </c>
      <c r="AT313" s="17">
        <f t="shared" si="840"/>
        <v>0</v>
      </c>
      <c r="AU313" s="17">
        <f t="shared" si="840"/>
        <v>0</v>
      </c>
      <c r="AV313" s="17">
        <f t="shared" si="840"/>
        <v>0</v>
      </c>
      <c r="AW313" s="17">
        <f t="shared" si="840"/>
        <v>0</v>
      </c>
      <c r="AX313" s="17">
        <f t="shared" si="840"/>
        <v>0</v>
      </c>
      <c r="AY313" s="17"/>
      <c r="AZ313" s="17">
        <f>SUM(AZ314)</f>
        <v>0</v>
      </c>
      <c r="BA313" s="17">
        <f t="shared" si="840"/>
        <v>4684018</v>
      </c>
      <c r="BB313" s="17">
        <f t="shared" si="840"/>
        <v>0</v>
      </c>
      <c r="BC313" s="17">
        <f t="shared" si="840"/>
        <v>0</v>
      </c>
      <c r="BD313" s="17">
        <f t="shared" si="840"/>
        <v>0</v>
      </c>
      <c r="BE313" s="17">
        <f t="shared" si="840"/>
        <v>0</v>
      </c>
      <c r="BF313" s="17">
        <f t="shared" si="840"/>
        <v>0</v>
      </c>
      <c r="BG313" s="17">
        <f t="shared" si="840"/>
        <v>0</v>
      </c>
      <c r="BH313" s="17">
        <f t="shared" si="840"/>
        <v>0</v>
      </c>
      <c r="BI313" s="17">
        <f t="shared" si="840"/>
        <v>0</v>
      </c>
      <c r="BJ313" s="17">
        <f t="shared" si="840"/>
        <v>0</v>
      </c>
      <c r="BK313" s="17">
        <f t="shared" si="840"/>
        <v>0</v>
      </c>
      <c r="BL313" s="17">
        <f t="shared" si="840"/>
        <v>0</v>
      </c>
      <c r="BM313" s="17">
        <f t="shared" si="840"/>
        <v>0</v>
      </c>
      <c r="BN313" s="17">
        <f t="shared" si="840"/>
        <v>0</v>
      </c>
      <c r="BO313" s="17">
        <f t="shared" si="840"/>
        <v>4684018</v>
      </c>
      <c r="BP313" s="17">
        <f t="shared" si="840"/>
        <v>0</v>
      </c>
      <c r="BQ313" s="17">
        <f t="shared" si="840"/>
        <v>0</v>
      </c>
      <c r="BR313" s="17">
        <f t="shared" si="840"/>
        <v>0</v>
      </c>
      <c r="BS313" s="17">
        <f t="shared" si="840"/>
        <v>0</v>
      </c>
      <c r="BT313" s="17">
        <f t="shared" si="840"/>
        <v>0</v>
      </c>
      <c r="BU313" s="17">
        <f t="shared" si="840"/>
        <v>0</v>
      </c>
      <c r="BV313" s="17">
        <f t="shared" si="840"/>
        <v>0</v>
      </c>
      <c r="BW313" s="17">
        <f t="shared" si="840"/>
        <v>0</v>
      </c>
      <c r="BX313" s="17">
        <f t="shared" si="840"/>
        <v>0</v>
      </c>
      <c r="BY313" s="17">
        <f t="shared" si="840"/>
        <v>0</v>
      </c>
      <c r="BZ313" s="17">
        <f t="shared" si="840"/>
        <v>4684018</v>
      </c>
      <c r="CA313" s="17">
        <f t="shared" si="826"/>
        <v>0</v>
      </c>
      <c r="CB313" s="17">
        <f t="shared" si="840"/>
        <v>0</v>
      </c>
      <c r="CC313" s="17">
        <f t="shared" si="840"/>
        <v>0</v>
      </c>
      <c r="CD313" s="17">
        <f t="shared" si="840"/>
        <v>0</v>
      </c>
      <c r="CE313" s="17">
        <f t="shared" si="840"/>
        <v>0</v>
      </c>
      <c r="CF313" s="17">
        <f t="shared" si="840"/>
        <v>0</v>
      </c>
      <c r="CG313" s="17">
        <f t="shared" si="840"/>
        <v>0</v>
      </c>
      <c r="CH313" s="17">
        <f t="shared" si="840"/>
        <v>0</v>
      </c>
      <c r="CI313" s="17">
        <f t="shared" si="840"/>
        <v>0</v>
      </c>
      <c r="CJ313" s="17">
        <f t="shared" si="840"/>
        <v>0</v>
      </c>
      <c r="CK313" s="17">
        <f t="shared" si="840"/>
        <v>0</v>
      </c>
      <c r="CL313" s="17">
        <f t="shared" si="840"/>
        <v>0</v>
      </c>
      <c r="CM313" s="17">
        <f t="shared" si="840"/>
        <v>0</v>
      </c>
      <c r="CN313" s="17">
        <f t="shared" si="840"/>
        <v>0</v>
      </c>
      <c r="CO313" s="64"/>
      <c r="CP313" s="64"/>
      <c r="CQ313" s="64"/>
      <c r="CR313" s="64"/>
      <c r="CS313" s="46"/>
      <c r="GP313" s="46"/>
    </row>
    <row r="314" spans="1:199" s="52" customFormat="1" ht="15.6" x14ac:dyDescent="0.3">
      <c r="A314" s="90" t="s">
        <v>1</v>
      </c>
      <c r="B314" s="19" t="s">
        <v>265</v>
      </c>
      <c r="C314" s="20" t="s">
        <v>309</v>
      </c>
      <c r="D314" s="18">
        <f>SUM(E314+CA314)</f>
        <v>4684018</v>
      </c>
      <c r="E314" s="18">
        <f>SUM(F314+BA314)</f>
        <v>4684018</v>
      </c>
      <c r="F314" s="18">
        <f>SUM(G314+H314+I314+P314+S314+T314+U314+AE314+AD314)</f>
        <v>0</v>
      </c>
      <c r="G314" s="18">
        <v>0</v>
      </c>
      <c r="H314" s="18">
        <v>0</v>
      </c>
      <c r="I314" s="18">
        <f t="shared" si="822"/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f t="shared" si="823"/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f t="shared" ref="U314" si="841">SUM(V314:AC314)</f>
        <v>0</v>
      </c>
      <c r="V314" s="18">
        <v>0</v>
      </c>
      <c r="W314" s="18">
        <v>0</v>
      </c>
      <c r="X314" s="18">
        <v>0</v>
      </c>
      <c r="Y314" s="18">
        <v>0</v>
      </c>
      <c r="Z314" s="18">
        <v>0</v>
      </c>
      <c r="AA314" s="18">
        <v>0</v>
      </c>
      <c r="AB314" s="18">
        <v>0</v>
      </c>
      <c r="AC314" s="18">
        <v>0</v>
      </c>
      <c r="AD314" s="18">
        <v>0</v>
      </c>
      <c r="AE314" s="18">
        <f>SUM(AF314:AZ314)</f>
        <v>0</v>
      </c>
      <c r="AF314" s="18">
        <v>0</v>
      </c>
      <c r="AG314" s="18">
        <v>0</v>
      </c>
      <c r="AH314" s="18">
        <v>0</v>
      </c>
      <c r="AI314" s="18">
        <v>0</v>
      </c>
      <c r="AJ314" s="18">
        <v>0</v>
      </c>
      <c r="AK314" s="18">
        <v>0</v>
      </c>
      <c r="AL314" s="18">
        <v>0</v>
      </c>
      <c r="AM314" s="18">
        <v>0</v>
      </c>
      <c r="AN314" s="18">
        <v>0</v>
      </c>
      <c r="AO314" s="18">
        <v>0</v>
      </c>
      <c r="AP314" s="18">
        <v>0</v>
      </c>
      <c r="AQ314" s="18">
        <v>0</v>
      </c>
      <c r="AR314" s="18">
        <v>0</v>
      </c>
      <c r="AS314" s="18">
        <v>0</v>
      </c>
      <c r="AT314" s="18">
        <v>0</v>
      </c>
      <c r="AU314" s="18">
        <v>0</v>
      </c>
      <c r="AV314" s="18">
        <v>0</v>
      </c>
      <c r="AW314" s="18">
        <v>0</v>
      </c>
      <c r="AX314" s="18">
        <v>0</v>
      </c>
      <c r="AY314" s="18"/>
      <c r="AZ314" s="18">
        <v>0</v>
      </c>
      <c r="BA314" s="18">
        <f>SUM(BB314+BF314+BJ314+BL314+BO314)</f>
        <v>4684018</v>
      </c>
      <c r="BB314" s="18">
        <f>SUM(BC314:BE314)</f>
        <v>0</v>
      </c>
      <c r="BC314" s="18">
        <v>0</v>
      </c>
      <c r="BD314" s="18">
        <v>0</v>
      </c>
      <c r="BE314" s="18">
        <v>0</v>
      </c>
      <c r="BF314" s="18">
        <f>SUM(BI314:BI314)</f>
        <v>0</v>
      </c>
      <c r="BG314" s="18">
        <v>0</v>
      </c>
      <c r="BH314" s="18">
        <v>0</v>
      </c>
      <c r="BI314" s="18">
        <v>0</v>
      </c>
      <c r="BJ314" s="18">
        <v>0</v>
      </c>
      <c r="BK314" s="18">
        <v>0</v>
      </c>
      <c r="BL314" s="18">
        <f t="shared" si="825"/>
        <v>0</v>
      </c>
      <c r="BM314" s="18">
        <v>0</v>
      </c>
      <c r="BN314" s="18">
        <v>0</v>
      </c>
      <c r="BO314" s="18">
        <f>SUM(BP314:BZ314)</f>
        <v>4684018</v>
      </c>
      <c r="BP314" s="18">
        <v>0</v>
      </c>
      <c r="BQ314" s="18">
        <v>0</v>
      </c>
      <c r="BR314" s="18">
        <v>0</v>
      </c>
      <c r="BS314" s="18">
        <v>0</v>
      </c>
      <c r="BT314" s="18">
        <v>0</v>
      </c>
      <c r="BU314" s="18">
        <v>0</v>
      </c>
      <c r="BV314" s="18">
        <v>0</v>
      </c>
      <c r="BW314" s="18">
        <v>0</v>
      </c>
      <c r="BX314" s="18">
        <v>0</v>
      </c>
      <c r="BY314" s="18">
        <v>0</v>
      </c>
      <c r="BZ314" s="18">
        <f>7937468-2106177-1147273</f>
        <v>4684018</v>
      </c>
      <c r="CA314" s="18">
        <f t="shared" si="826"/>
        <v>0</v>
      </c>
      <c r="CB314" s="18">
        <f>SUM(CC314+CF314+CK314)</f>
        <v>0</v>
      </c>
      <c r="CC314" s="18">
        <f t="shared" si="827"/>
        <v>0</v>
      </c>
      <c r="CD314" s="18">
        <v>0</v>
      </c>
      <c r="CE314" s="18">
        <v>0</v>
      </c>
      <c r="CF314" s="18">
        <f>SUM(CG314:CJ314)</f>
        <v>0</v>
      </c>
      <c r="CG314" s="18">
        <v>0</v>
      </c>
      <c r="CH314" s="18">
        <v>0</v>
      </c>
      <c r="CI314" s="18">
        <v>0</v>
      </c>
      <c r="CJ314" s="18">
        <v>0</v>
      </c>
      <c r="CK314" s="18">
        <f>SUM(CL314:CM314)</f>
        <v>0</v>
      </c>
      <c r="CL314" s="18">
        <v>0</v>
      </c>
      <c r="CM314" s="18">
        <v>0</v>
      </c>
      <c r="CN314" s="18">
        <v>0</v>
      </c>
      <c r="CO314" s="65"/>
      <c r="CP314" s="65"/>
      <c r="CQ314" s="65"/>
      <c r="CR314" s="65"/>
      <c r="CS314" s="51"/>
      <c r="GP314" s="51"/>
    </row>
    <row r="315" spans="1:199" ht="15.6" x14ac:dyDescent="0.3">
      <c r="A315" s="89" t="s">
        <v>310</v>
      </c>
      <c r="B315" s="15" t="s">
        <v>1</v>
      </c>
      <c r="C315" s="26" t="s">
        <v>311</v>
      </c>
      <c r="D315" s="17">
        <f t="shared" ref="D315:AI315" si="842">SUM(D316)</f>
        <v>9114253</v>
      </c>
      <c r="E315" s="17">
        <f t="shared" si="842"/>
        <v>9114253</v>
      </c>
      <c r="F315" s="17">
        <f t="shared" si="842"/>
        <v>9114253</v>
      </c>
      <c r="G315" s="17">
        <f t="shared" si="842"/>
        <v>0</v>
      </c>
      <c r="H315" s="17">
        <f t="shared" si="842"/>
        <v>0</v>
      </c>
      <c r="I315" s="17">
        <f t="shared" si="842"/>
        <v>0</v>
      </c>
      <c r="J315" s="17">
        <f t="shared" si="842"/>
        <v>0</v>
      </c>
      <c r="K315" s="17">
        <f t="shared" si="842"/>
        <v>0</v>
      </c>
      <c r="L315" s="17">
        <f t="shared" si="842"/>
        <v>0</v>
      </c>
      <c r="M315" s="17">
        <f t="shared" si="842"/>
        <v>0</v>
      </c>
      <c r="N315" s="17">
        <f t="shared" si="842"/>
        <v>0</v>
      </c>
      <c r="O315" s="17">
        <f t="shared" si="842"/>
        <v>0</v>
      </c>
      <c r="P315" s="17">
        <f t="shared" si="842"/>
        <v>0</v>
      </c>
      <c r="Q315" s="17">
        <f t="shared" si="842"/>
        <v>0</v>
      </c>
      <c r="R315" s="17">
        <f t="shared" si="842"/>
        <v>0</v>
      </c>
      <c r="S315" s="17">
        <f t="shared" si="842"/>
        <v>0</v>
      </c>
      <c r="T315" s="17">
        <f t="shared" si="842"/>
        <v>0</v>
      </c>
      <c r="U315" s="17">
        <f t="shared" si="842"/>
        <v>0</v>
      </c>
      <c r="V315" s="17">
        <f t="shared" si="842"/>
        <v>0</v>
      </c>
      <c r="W315" s="17">
        <f t="shared" si="842"/>
        <v>0</v>
      </c>
      <c r="X315" s="17">
        <f t="shared" si="842"/>
        <v>0</v>
      </c>
      <c r="Y315" s="17">
        <f t="shared" si="842"/>
        <v>0</v>
      </c>
      <c r="Z315" s="17">
        <f t="shared" si="842"/>
        <v>0</v>
      </c>
      <c r="AA315" s="17">
        <f t="shared" si="842"/>
        <v>0</v>
      </c>
      <c r="AB315" s="17">
        <f t="shared" si="842"/>
        <v>0</v>
      </c>
      <c r="AC315" s="17">
        <f t="shared" si="842"/>
        <v>0</v>
      </c>
      <c r="AD315" s="17">
        <f t="shared" si="842"/>
        <v>0</v>
      </c>
      <c r="AE315" s="17">
        <f t="shared" si="842"/>
        <v>9114253</v>
      </c>
      <c r="AF315" s="17">
        <f t="shared" si="842"/>
        <v>0</v>
      </c>
      <c r="AG315" s="17">
        <f t="shared" si="842"/>
        <v>0</v>
      </c>
      <c r="AH315" s="17">
        <f t="shared" si="842"/>
        <v>0</v>
      </c>
      <c r="AI315" s="17">
        <f t="shared" si="842"/>
        <v>0</v>
      </c>
      <c r="AJ315" s="17">
        <f t="shared" ref="AJ315:CN315" si="843">SUM(AJ316)</f>
        <v>0</v>
      </c>
      <c r="AK315" s="17">
        <f t="shared" si="843"/>
        <v>0</v>
      </c>
      <c r="AL315" s="17">
        <f t="shared" si="843"/>
        <v>0</v>
      </c>
      <c r="AM315" s="17">
        <f t="shared" si="843"/>
        <v>0</v>
      </c>
      <c r="AN315" s="17">
        <f t="shared" si="843"/>
        <v>0</v>
      </c>
      <c r="AO315" s="17">
        <f t="shared" si="843"/>
        <v>0</v>
      </c>
      <c r="AP315" s="17">
        <f t="shared" si="843"/>
        <v>0</v>
      </c>
      <c r="AQ315" s="17">
        <f t="shared" si="843"/>
        <v>0</v>
      </c>
      <c r="AR315" s="17">
        <f t="shared" si="843"/>
        <v>0</v>
      </c>
      <c r="AS315" s="17">
        <f t="shared" si="843"/>
        <v>0</v>
      </c>
      <c r="AT315" s="17">
        <f t="shared" si="843"/>
        <v>0</v>
      </c>
      <c r="AU315" s="17">
        <f t="shared" si="843"/>
        <v>0</v>
      </c>
      <c r="AV315" s="17">
        <f t="shared" si="843"/>
        <v>0</v>
      </c>
      <c r="AW315" s="17">
        <f t="shared" si="843"/>
        <v>0</v>
      </c>
      <c r="AX315" s="17">
        <f t="shared" si="843"/>
        <v>0</v>
      </c>
      <c r="AY315" s="17"/>
      <c r="AZ315" s="17">
        <f t="shared" si="843"/>
        <v>9114253</v>
      </c>
      <c r="BA315" s="17">
        <f t="shared" si="843"/>
        <v>0</v>
      </c>
      <c r="BB315" s="17">
        <f t="shared" si="843"/>
        <v>0</v>
      </c>
      <c r="BC315" s="17">
        <f t="shared" si="843"/>
        <v>0</v>
      </c>
      <c r="BD315" s="17">
        <f t="shared" si="843"/>
        <v>0</v>
      </c>
      <c r="BE315" s="17">
        <f t="shared" si="843"/>
        <v>0</v>
      </c>
      <c r="BF315" s="17">
        <f t="shared" si="843"/>
        <v>0</v>
      </c>
      <c r="BG315" s="17">
        <f t="shared" si="843"/>
        <v>0</v>
      </c>
      <c r="BH315" s="17">
        <f t="shared" si="843"/>
        <v>0</v>
      </c>
      <c r="BI315" s="17">
        <f t="shared" si="843"/>
        <v>0</v>
      </c>
      <c r="BJ315" s="17">
        <f t="shared" si="843"/>
        <v>0</v>
      </c>
      <c r="BK315" s="17">
        <f t="shared" si="843"/>
        <v>0</v>
      </c>
      <c r="BL315" s="17">
        <f t="shared" si="843"/>
        <v>0</v>
      </c>
      <c r="BM315" s="17">
        <f t="shared" si="843"/>
        <v>0</v>
      </c>
      <c r="BN315" s="17">
        <f t="shared" si="843"/>
        <v>0</v>
      </c>
      <c r="BO315" s="17">
        <f t="shared" si="843"/>
        <v>0</v>
      </c>
      <c r="BP315" s="17">
        <f t="shared" si="843"/>
        <v>0</v>
      </c>
      <c r="BQ315" s="17">
        <f t="shared" si="843"/>
        <v>0</v>
      </c>
      <c r="BR315" s="17">
        <f t="shared" si="843"/>
        <v>0</v>
      </c>
      <c r="BS315" s="17">
        <f t="shared" si="843"/>
        <v>0</v>
      </c>
      <c r="BT315" s="17">
        <f t="shared" si="843"/>
        <v>0</v>
      </c>
      <c r="BU315" s="17">
        <f t="shared" si="843"/>
        <v>0</v>
      </c>
      <c r="BV315" s="17">
        <f t="shared" si="843"/>
        <v>0</v>
      </c>
      <c r="BW315" s="17">
        <f t="shared" si="843"/>
        <v>0</v>
      </c>
      <c r="BX315" s="17">
        <f t="shared" si="843"/>
        <v>0</v>
      </c>
      <c r="BY315" s="17">
        <f t="shared" si="843"/>
        <v>0</v>
      </c>
      <c r="BZ315" s="17">
        <f t="shared" si="843"/>
        <v>0</v>
      </c>
      <c r="CA315" s="17">
        <f t="shared" si="826"/>
        <v>0</v>
      </c>
      <c r="CB315" s="17">
        <f t="shared" si="843"/>
        <v>0</v>
      </c>
      <c r="CC315" s="17">
        <f t="shared" si="843"/>
        <v>0</v>
      </c>
      <c r="CD315" s="17">
        <f t="shared" si="843"/>
        <v>0</v>
      </c>
      <c r="CE315" s="17">
        <f t="shared" si="843"/>
        <v>0</v>
      </c>
      <c r="CF315" s="17">
        <f t="shared" si="843"/>
        <v>0</v>
      </c>
      <c r="CG315" s="17">
        <f t="shared" si="843"/>
        <v>0</v>
      </c>
      <c r="CH315" s="17">
        <f t="shared" si="843"/>
        <v>0</v>
      </c>
      <c r="CI315" s="17">
        <f t="shared" si="843"/>
        <v>0</v>
      </c>
      <c r="CJ315" s="17">
        <f t="shared" si="843"/>
        <v>0</v>
      </c>
      <c r="CK315" s="17">
        <f t="shared" si="843"/>
        <v>0</v>
      </c>
      <c r="CL315" s="17">
        <f t="shared" si="843"/>
        <v>0</v>
      </c>
      <c r="CM315" s="17">
        <f t="shared" si="843"/>
        <v>0</v>
      </c>
      <c r="CN315" s="17">
        <f t="shared" si="843"/>
        <v>0</v>
      </c>
      <c r="CO315" s="64"/>
      <c r="CP315" s="64"/>
      <c r="CQ315" s="64"/>
      <c r="CR315" s="64"/>
      <c r="CS315" s="46"/>
      <c r="GP315" s="46"/>
    </row>
    <row r="316" spans="1:199" s="52" customFormat="1" ht="15.6" x14ac:dyDescent="0.3">
      <c r="A316" s="90" t="s">
        <v>1</v>
      </c>
      <c r="B316" s="19" t="s">
        <v>62</v>
      </c>
      <c r="C316" s="27" t="s">
        <v>311</v>
      </c>
      <c r="D316" s="18">
        <f>SUM(E316+CA316)</f>
        <v>9114253</v>
      </c>
      <c r="E316" s="18">
        <f>SUM(F316+BA316)</f>
        <v>9114253</v>
      </c>
      <c r="F316" s="18">
        <f>SUM(G316+H316+I316+P316+S316+T316+U316+AE316+AD316)</f>
        <v>9114253</v>
      </c>
      <c r="G316" s="18"/>
      <c r="H316" s="18"/>
      <c r="I316" s="18">
        <f>SUM(J316:O316)</f>
        <v>0</v>
      </c>
      <c r="J316" s="18"/>
      <c r="K316" s="18"/>
      <c r="L316" s="18"/>
      <c r="M316" s="18"/>
      <c r="N316" s="18"/>
      <c r="O316" s="18"/>
      <c r="P316" s="18">
        <f>SUM(Q316:R316)</f>
        <v>0</v>
      </c>
      <c r="Q316" s="18"/>
      <c r="R316" s="18"/>
      <c r="S316" s="18"/>
      <c r="T316" s="18"/>
      <c r="U316" s="18">
        <f t="shared" ref="U316" si="844">SUM(V316:AC316)</f>
        <v>0</v>
      </c>
      <c r="V316" s="18"/>
      <c r="W316" s="18"/>
      <c r="X316" s="18"/>
      <c r="Y316" s="18"/>
      <c r="Z316" s="18"/>
      <c r="AA316" s="18"/>
      <c r="AB316" s="18"/>
      <c r="AC316" s="18"/>
      <c r="AD316" s="18"/>
      <c r="AE316" s="18">
        <f>SUM(AF316:AZ316)</f>
        <v>9114253</v>
      </c>
      <c r="AF316" s="18">
        <v>0</v>
      </c>
      <c r="AG316" s="18">
        <v>0</v>
      </c>
      <c r="AH316" s="18">
        <v>0</v>
      </c>
      <c r="AI316" s="18">
        <v>0</v>
      </c>
      <c r="AJ316" s="18">
        <v>0</v>
      </c>
      <c r="AK316" s="18">
        <v>0</v>
      </c>
      <c r="AL316" s="18">
        <v>0</v>
      </c>
      <c r="AM316" s="18">
        <v>0</v>
      </c>
      <c r="AN316" s="18">
        <v>0</v>
      </c>
      <c r="AO316" s="18">
        <v>0</v>
      </c>
      <c r="AP316" s="18">
        <v>0</v>
      </c>
      <c r="AQ316" s="18">
        <v>0</v>
      </c>
      <c r="AR316" s="18">
        <v>0</v>
      </c>
      <c r="AS316" s="18">
        <v>0</v>
      </c>
      <c r="AT316" s="18">
        <v>0</v>
      </c>
      <c r="AU316" s="18">
        <v>0</v>
      </c>
      <c r="AV316" s="18">
        <v>0</v>
      </c>
      <c r="AW316" s="18">
        <v>0</v>
      </c>
      <c r="AX316" s="18">
        <v>0</v>
      </c>
      <c r="AY316" s="18">
        <v>0</v>
      </c>
      <c r="AZ316" s="22">
        <f>21925000-9998527-2812220</f>
        <v>9114253</v>
      </c>
      <c r="BA316" s="18">
        <f>SUM(BB316+BF316+BJ316+BL316+BO316)</f>
        <v>0</v>
      </c>
      <c r="BB316" s="18">
        <f>SUM(BC316:BE316)</f>
        <v>0</v>
      </c>
      <c r="BC316" s="22"/>
      <c r="BD316" s="18">
        <v>0</v>
      </c>
      <c r="BE316" s="18">
        <v>0</v>
      </c>
      <c r="BF316" s="18">
        <f>SUM(BI316:BI316)</f>
        <v>0</v>
      </c>
      <c r="BG316" s="18">
        <v>0</v>
      </c>
      <c r="BH316" s="18">
        <v>0</v>
      </c>
      <c r="BI316" s="18">
        <v>0</v>
      </c>
      <c r="BJ316" s="18">
        <v>0</v>
      </c>
      <c r="BK316" s="18">
        <v>0</v>
      </c>
      <c r="BL316" s="18">
        <f>SUM(BM316)</f>
        <v>0</v>
      </c>
      <c r="BM316" s="18">
        <v>0</v>
      </c>
      <c r="BN316" s="18">
        <v>0</v>
      </c>
      <c r="BO316" s="18">
        <f>SUM(BP316:BZ316)</f>
        <v>0</v>
      </c>
      <c r="BP316" s="18">
        <v>0</v>
      </c>
      <c r="BQ316" s="18">
        <v>0</v>
      </c>
      <c r="BR316" s="18">
        <v>0</v>
      </c>
      <c r="BS316" s="18">
        <v>0</v>
      </c>
      <c r="BT316" s="18">
        <v>0</v>
      </c>
      <c r="BU316" s="18">
        <v>0</v>
      </c>
      <c r="BV316" s="18">
        <v>0</v>
      </c>
      <c r="BW316" s="18">
        <v>0</v>
      </c>
      <c r="BX316" s="18">
        <v>0</v>
      </c>
      <c r="BY316" s="18"/>
      <c r="BZ316" s="18"/>
      <c r="CA316" s="18">
        <f t="shared" si="826"/>
        <v>0</v>
      </c>
      <c r="CB316" s="18">
        <f>SUM(CC316+CF316+CK316)</f>
        <v>0</v>
      </c>
      <c r="CC316" s="18">
        <f>SUM(CD316:CE316)</f>
        <v>0</v>
      </c>
      <c r="CD316" s="18">
        <v>0</v>
      </c>
      <c r="CE316" s="18"/>
      <c r="CF316" s="18">
        <f>SUM(CG316:CJ316)</f>
        <v>0</v>
      </c>
      <c r="CG316" s="18">
        <v>0</v>
      </c>
      <c r="CH316" s="18"/>
      <c r="CI316" s="18"/>
      <c r="CJ316" s="18"/>
      <c r="CK316" s="18">
        <f>SUM(CL316:CM316)</f>
        <v>0</v>
      </c>
      <c r="CL316" s="18"/>
      <c r="CM316" s="18"/>
      <c r="CN316" s="18">
        <v>0</v>
      </c>
      <c r="CO316" s="65"/>
      <c r="CP316" s="65"/>
      <c r="CQ316" s="65"/>
      <c r="CR316" s="65"/>
      <c r="CS316" s="51"/>
    </row>
    <row r="317" spans="1:199" ht="13.2" customHeight="1" x14ac:dyDescent="0.3">
      <c r="A317" s="89" t="s">
        <v>312</v>
      </c>
      <c r="B317" s="15" t="s">
        <v>1</v>
      </c>
      <c r="C317" s="26" t="s">
        <v>313</v>
      </c>
      <c r="D317" s="17">
        <f t="shared" ref="D317:AK317" si="845">SUM(D318)</f>
        <v>47635629</v>
      </c>
      <c r="E317" s="17">
        <f t="shared" si="845"/>
        <v>47635629</v>
      </c>
      <c r="F317" s="17">
        <f t="shared" si="845"/>
        <v>1428973</v>
      </c>
      <c r="G317" s="17">
        <f t="shared" si="845"/>
        <v>0</v>
      </c>
      <c r="H317" s="17">
        <f t="shared" si="845"/>
        <v>0</v>
      </c>
      <c r="I317" s="17">
        <f t="shared" si="845"/>
        <v>0</v>
      </c>
      <c r="J317" s="17">
        <f t="shared" si="845"/>
        <v>0</v>
      </c>
      <c r="K317" s="17">
        <f t="shared" si="845"/>
        <v>0</v>
      </c>
      <c r="L317" s="17">
        <f t="shared" si="845"/>
        <v>0</v>
      </c>
      <c r="M317" s="17">
        <f t="shared" si="845"/>
        <v>0</v>
      </c>
      <c r="N317" s="17">
        <f t="shared" si="845"/>
        <v>0</v>
      </c>
      <c r="O317" s="17">
        <f t="shared" si="845"/>
        <v>0</v>
      </c>
      <c r="P317" s="17">
        <f t="shared" si="845"/>
        <v>0</v>
      </c>
      <c r="Q317" s="17">
        <f t="shared" si="845"/>
        <v>0</v>
      </c>
      <c r="R317" s="17">
        <f t="shared" si="845"/>
        <v>0</v>
      </c>
      <c r="S317" s="17">
        <f t="shared" si="845"/>
        <v>0</v>
      </c>
      <c r="T317" s="17">
        <f t="shared" si="845"/>
        <v>0</v>
      </c>
      <c r="U317" s="17">
        <f t="shared" si="845"/>
        <v>0</v>
      </c>
      <c r="V317" s="17">
        <f t="shared" si="845"/>
        <v>0</v>
      </c>
      <c r="W317" s="17">
        <f t="shared" si="845"/>
        <v>0</v>
      </c>
      <c r="X317" s="17">
        <f t="shared" si="845"/>
        <v>0</v>
      </c>
      <c r="Y317" s="17">
        <f t="shared" si="845"/>
        <v>0</v>
      </c>
      <c r="Z317" s="17">
        <f t="shared" si="845"/>
        <v>0</v>
      </c>
      <c r="AA317" s="17">
        <f t="shared" si="845"/>
        <v>0</v>
      </c>
      <c r="AB317" s="17">
        <f t="shared" si="845"/>
        <v>0</v>
      </c>
      <c r="AC317" s="17">
        <f t="shared" si="845"/>
        <v>0</v>
      </c>
      <c r="AD317" s="17">
        <f t="shared" si="845"/>
        <v>0</v>
      </c>
      <c r="AE317" s="17">
        <f t="shared" si="845"/>
        <v>1428973</v>
      </c>
      <c r="AF317" s="17">
        <f t="shared" si="845"/>
        <v>0</v>
      </c>
      <c r="AG317" s="17">
        <f t="shared" si="845"/>
        <v>0</v>
      </c>
      <c r="AH317" s="17">
        <f t="shared" si="845"/>
        <v>0</v>
      </c>
      <c r="AI317" s="17">
        <f t="shared" si="845"/>
        <v>0</v>
      </c>
      <c r="AJ317" s="17">
        <f t="shared" si="845"/>
        <v>0</v>
      </c>
      <c r="AK317" s="17">
        <f t="shared" si="845"/>
        <v>0</v>
      </c>
      <c r="AL317" s="17">
        <f t="shared" ref="AL317:CN317" si="846">SUM(AL318)</f>
        <v>0</v>
      </c>
      <c r="AM317" s="17">
        <f t="shared" si="846"/>
        <v>0</v>
      </c>
      <c r="AN317" s="17">
        <f t="shared" si="846"/>
        <v>0</v>
      </c>
      <c r="AO317" s="17">
        <f t="shared" si="846"/>
        <v>0</v>
      </c>
      <c r="AP317" s="17">
        <f t="shared" si="846"/>
        <v>0</v>
      </c>
      <c r="AQ317" s="17">
        <f t="shared" si="846"/>
        <v>0</v>
      </c>
      <c r="AR317" s="17">
        <f t="shared" si="846"/>
        <v>0</v>
      </c>
      <c r="AS317" s="17">
        <f t="shared" si="846"/>
        <v>0</v>
      </c>
      <c r="AT317" s="17">
        <f t="shared" si="846"/>
        <v>0</v>
      </c>
      <c r="AU317" s="17">
        <f t="shared" si="846"/>
        <v>0</v>
      </c>
      <c r="AV317" s="17">
        <f t="shared" si="846"/>
        <v>0</v>
      </c>
      <c r="AW317" s="17">
        <f t="shared" si="846"/>
        <v>0</v>
      </c>
      <c r="AX317" s="17">
        <f t="shared" si="846"/>
        <v>0</v>
      </c>
      <c r="AY317" s="17"/>
      <c r="AZ317" s="17">
        <f t="shared" si="846"/>
        <v>1428973</v>
      </c>
      <c r="BA317" s="17">
        <f t="shared" si="846"/>
        <v>46206656</v>
      </c>
      <c r="BB317" s="17">
        <f t="shared" si="846"/>
        <v>46206656</v>
      </c>
      <c r="BC317" s="17">
        <f t="shared" si="846"/>
        <v>46206656</v>
      </c>
      <c r="BD317" s="17">
        <f t="shared" si="846"/>
        <v>0</v>
      </c>
      <c r="BE317" s="17">
        <f t="shared" si="846"/>
        <v>0</v>
      </c>
      <c r="BF317" s="17">
        <f t="shared" si="846"/>
        <v>0</v>
      </c>
      <c r="BG317" s="17">
        <f t="shared" si="846"/>
        <v>0</v>
      </c>
      <c r="BH317" s="17">
        <f t="shared" si="846"/>
        <v>0</v>
      </c>
      <c r="BI317" s="17">
        <f t="shared" si="846"/>
        <v>0</v>
      </c>
      <c r="BJ317" s="17">
        <f t="shared" si="846"/>
        <v>0</v>
      </c>
      <c r="BK317" s="17">
        <f t="shared" si="846"/>
        <v>0</v>
      </c>
      <c r="BL317" s="17">
        <f t="shared" si="846"/>
        <v>0</v>
      </c>
      <c r="BM317" s="17">
        <f t="shared" si="846"/>
        <v>0</v>
      </c>
      <c r="BN317" s="17">
        <f t="shared" si="846"/>
        <v>0</v>
      </c>
      <c r="BO317" s="17">
        <f t="shared" si="846"/>
        <v>0</v>
      </c>
      <c r="BP317" s="17">
        <f t="shared" si="846"/>
        <v>0</v>
      </c>
      <c r="BQ317" s="17">
        <f t="shared" si="846"/>
        <v>0</v>
      </c>
      <c r="BR317" s="17">
        <f t="shared" si="846"/>
        <v>0</v>
      </c>
      <c r="BS317" s="17">
        <f t="shared" si="846"/>
        <v>0</v>
      </c>
      <c r="BT317" s="17">
        <f t="shared" si="846"/>
        <v>0</v>
      </c>
      <c r="BU317" s="17">
        <f t="shared" si="846"/>
        <v>0</v>
      </c>
      <c r="BV317" s="17">
        <f t="shared" si="846"/>
        <v>0</v>
      </c>
      <c r="BW317" s="17">
        <f t="shared" si="846"/>
        <v>0</v>
      </c>
      <c r="BX317" s="17">
        <f t="shared" si="846"/>
        <v>0</v>
      </c>
      <c r="BY317" s="17">
        <f t="shared" si="846"/>
        <v>0</v>
      </c>
      <c r="BZ317" s="17">
        <f t="shared" si="846"/>
        <v>0</v>
      </c>
      <c r="CA317" s="17">
        <f t="shared" si="826"/>
        <v>0</v>
      </c>
      <c r="CB317" s="17">
        <f t="shared" si="846"/>
        <v>0</v>
      </c>
      <c r="CC317" s="17">
        <f t="shared" si="846"/>
        <v>0</v>
      </c>
      <c r="CD317" s="17">
        <f t="shared" si="846"/>
        <v>0</v>
      </c>
      <c r="CE317" s="17">
        <f t="shared" si="846"/>
        <v>0</v>
      </c>
      <c r="CF317" s="17">
        <f t="shared" si="846"/>
        <v>0</v>
      </c>
      <c r="CG317" s="17">
        <f t="shared" si="846"/>
        <v>0</v>
      </c>
      <c r="CH317" s="17">
        <f t="shared" si="846"/>
        <v>0</v>
      </c>
      <c r="CI317" s="17">
        <f t="shared" si="846"/>
        <v>0</v>
      </c>
      <c r="CJ317" s="17">
        <f t="shared" si="846"/>
        <v>0</v>
      </c>
      <c r="CK317" s="17">
        <f t="shared" si="846"/>
        <v>0</v>
      </c>
      <c r="CL317" s="17">
        <f t="shared" si="846"/>
        <v>0</v>
      </c>
      <c r="CM317" s="17">
        <f t="shared" si="846"/>
        <v>0</v>
      </c>
      <c r="CN317" s="17">
        <f t="shared" si="846"/>
        <v>0</v>
      </c>
      <c r="CO317" s="64"/>
      <c r="CP317" s="64"/>
      <c r="CQ317" s="64"/>
      <c r="CR317" s="64"/>
      <c r="CS317" s="46"/>
    </row>
    <row r="318" spans="1:199" ht="15.6" x14ac:dyDescent="0.3">
      <c r="A318" s="90" t="s">
        <v>1</v>
      </c>
      <c r="B318" s="19" t="s">
        <v>62</v>
      </c>
      <c r="C318" s="27" t="s">
        <v>313</v>
      </c>
      <c r="D318" s="18">
        <f>SUM(E318+CA318)</f>
        <v>47635629</v>
      </c>
      <c r="E318" s="18">
        <f>SUM(F318+BA318)</f>
        <v>47635629</v>
      </c>
      <c r="F318" s="18">
        <f>SUM(G318+H318+I318+P318+S318+T318+U318+AE318+AD318)</f>
        <v>1428973</v>
      </c>
      <c r="G318" s="18">
        <v>0</v>
      </c>
      <c r="H318" s="18">
        <v>0</v>
      </c>
      <c r="I318" s="18">
        <f t="shared" si="822"/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f t="shared" si="823"/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f t="shared" ref="U318" si="847">SUM(V318:AC318)</f>
        <v>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f>SUM(AF318:AZ318)</f>
        <v>1428973</v>
      </c>
      <c r="AF318" s="18">
        <v>0</v>
      </c>
      <c r="AG318" s="18">
        <v>0</v>
      </c>
      <c r="AH318" s="18">
        <v>0</v>
      </c>
      <c r="AI318" s="18">
        <v>0</v>
      </c>
      <c r="AJ318" s="18">
        <v>0</v>
      </c>
      <c r="AK318" s="18">
        <v>0</v>
      </c>
      <c r="AL318" s="18">
        <v>0</v>
      </c>
      <c r="AM318" s="18">
        <v>0</v>
      </c>
      <c r="AN318" s="18">
        <v>0</v>
      </c>
      <c r="AO318" s="18">
        <v>0</v>
      </c>
      <c r="AP318" s="18">
        <v>0</v>
      </c>
      <c r="AQ318" s="18">
        <v>0</v>
      </c>
      <c r="AR318" s="18">
        <v>0</v>
      </c>
      <c r="AS318" s="18">
        <v>0</v>
      </c>
      <c r="AT318" s="18">
        <v>0</v>
      </c>
      <c r="AU318" s="18">
        <v>0</v>
      </c>
      <c r="AV318" s="18">
        <v>0</v>
      </c>
      <c r="AW318" s="18">
        <v>0</v>
      </c>
      <c r="AX318" s="18">
        <v>0</v>
      </c>
      <c r="AY318" s="18">
        <v>0</v>
      </c>
      <c r="AZ318" s="21">
        <f>14010000+1620629-14201656</f>
        <v>1428973</v>
      </c>
      <c r="BA318" s="18">
        <f>SUM(BB318+BF318+BJ318+BL318+BO318)</f>
        <v>46206656</v>
      </c>
      <c r="BB318" s="18">
        <f>SUM(BC318:BE318)</f>
        <v>46206656</v>
      </c>
      <c r="BC318" s="21">
        <f>32005000+14201656</f>
        <v>46206656</v>
      </c>
      <c r="BD318" s="18">
        <v>0</v>
      </c>
      <c r="BE318" s="18">
        <v>0</v>
      </c>
      <c r="BF318" s="18">
        <f>SUM(BI318:BI318)</f>
        <v>0</v>
      </c>
      <c r="BG318" s="18">
        <v>0</v>
      </c>
      <c r="BH318" s="18">
        <v>0</v>
      </c>
      <c r="BI318" s="18">
        <v>0</v>
      </c>
      <c r="BJ318" s="18"/>
      <c r="BK318" s="18">
        <v>0</v>
      </c>
      <c r="BL318" s="18">
        <f t="shared" si="825"/>
        <v>0</v>
      </c>
      <c r="BM318" s="18">
        <v>0</v>
      </c>
      <c r="BN318" s="18">
        <v>0</v>
      </c>
      <c r="BO318" s="18">
        <f>SUM(BP318:BZ318)</f>
        <v>0</v>
      </c>
      <c r="BP318" s="18">
        <v>0</v>
      </c>
      <c r="BQ318" s="18">
        <v>0</v>
      </c>
      <c r="BR318" s="18">
        <v>0</v>
      </c>
      <c r="BS318" s="18">
        <v>0</v>
      </c>
      <c r="BT318" s="18">
        <v>0</v>
      </c>
      <c r="BU318" s="18">
        <v>0</v>
      </c>
      <c r="BV318" s="18">
        <v>0</v>
      </c>
      <c r="BW318" s="18">
        <v>0</v>
      </c>
      <c r="BX318" s="18">
        <v>0</v>
      </c>
      <c r="BY318" s="18">
        <v>0</v>
      </c>
      <c r="BZ318" s="18"/>
      <c r="CA318" s="18">
        <f t="shared" si="826"/>
        <v>0</v>
      </c>
      <c r="CB318" s="18">
        <f>SUM(CC318+CF318+CK318)</f>
        <v>0</v>
      </c>
      <c r="CC318" s="18">
        <f t="shared" si="827"/>
        <v>0</v>
      </c>
      <c r="CD318" s="18">
        <v>0</v>
      </c>
      <c r="CE318" s="18">
        <v>0</v>
      </c>
      <c r="CF318" s="18">
        <f>SUM(CG318:CJ318)</f>
        <v>0</v>
      </c>
      <c r="CG318" s="18">
        <v>0</v>
      </c>
      <c r="CH318" s="18">
        <v>0</v>
      </c>
      <c r="CI318" s="18">
        <v>0</v>
      </c>
      <c r="CJ318" s="18">
        <v>0</v>
      </c>
      <c r="CK318" s="18">
        <f>SUM(CL318:CM318)</f>
        <v>0</v>
      </c>
      <c r="CL318" s="18">
        <v>0</v>
      </c>
      <c r="CM318" s="18">
        <v>0</v>
      </c>
      <c r="CN318" s="18">
        <v>0</v>
      </c>
      <c r="CO318" s="65"/>
      <c r="CP318" s="65"/>
      <c r="CQ318" s="65"/>
      <c r="CR318" s="65"/>
      <c r="CS318" s="51"/>
      <c r="GP318" s="52"/>
    </row>
    <row r="319" spans="1:199" ht="16.2" thickBot="1" x14ac:dyDescent="0.35">
      <c r="A319" s="95" t="s">
        <v>1</v>
      </c>
      <c r="B319" s="41" t="s">
        <v>1</v>
      </c>
      <c r="C319" s="42" t="s">
        <v>314</v>
      </c>
      <c r="D319" s="43">
        <f t="shared" ref="D319:AI319" si="848">D23+D55+D66+D69+D74+D92+D104+D109+D112+D119+D130+D152+D166+D175+D188+D222+D226+D290</f>
        <v>5699579533</v>
      </c>
      <c r="E319" s="43">
        <f t="shared" si="848"/>
        <v>5185240769</v>
      </c>
      <c r="F319" s="43">
        <f t="shared" si="848"/>
        <v>3321100605</v>
      </c>
      <c r="G319" s="43">
        <f t="shared" si="848"/>
        <v>1934815460</v>
      </c>
      <c r="H319" s="43">
        <f t="shared" si="848"/>
        <v>313620090</v>
      </c>
      <c r="I319" s="43">
        <f t="shared" si="848"/>
        <v>390842831</v>
      </c>
      <c r="J319" s="43">
        <f t="shared" si="848"/>
        <v>120451193</v>
      </c>
      <c r="K319" s="43">
        <f t="shared" si="848"/>
        <v>31138667</v>
      </c>
      <c r="L319" s="43">
        <f t="shared" si="848"/>
        <v>98733580</v>
      </c>
      <c r="M319" s="43">
        <f t="shared" si="848"/>
        <v>8746805</v>
      </c>
      <c r="N319" s="43">
        <f t="shared" si="848"/>
        <v>87683241</v>
      </c>
      <c r="O319" s="43">
        <f t="shared" si="848"/>
        <v>44089345</v>
      </c>
      <c r="P319" s="43">
        <f t="shared" si="848"/>
        <v>9196430</v>
      </c>
      <c r="Q319" s="43">
        <f t="shared" si="848"/>
        <v>214460</v>
      </c>
      <c r="R319" s="43">
        <f t="shared" si="848"/>
        <v>8981970</v>
      </c>
      <c r="S319" s="43">
        <f t="shared" si="848"/>
        <v>157017</v>
      </c>
      <c r="T319" s="43">
        <f t="shared" si="848"/>
        <v>15221819</v>
      </c>
      <c r="U319" s="43">
        <f t="shared" si="848"/>
        <v>329526540</v>
      </c>
      <c r="V319" s="43">
        <f t="shared" si="848"/>
        <v>8278574</v>
      </c>
      <c r="W319" s="43">
        <f t="shared" si="848"/>
        <v>46263603</v>
      </c>
      <c r="X319" s="43">
        <f t="shared" si="848"/>
        <v>53394693</v>
      </c>
      <c r="Y319" s="43">
        <f t="shared" si="848"/>
        <v>17546712</v>
      </c>
      <c r="Z319" s="43">
        <f t="shared" si="848"/>
        <v>2452763</v>
      </c>
      <c r="AA319" s="43">
        <f t="shared" si="848"/>
        <v>1118793</v>
      </c>
      <c r="AB319" s="43">
        <f t="shared" si="848"/>
        <v>195712492</v>
      </c>
      <c r="AC319" s="43">
        <f t="shared" si="848"/>
        <v>4758910</v>
      </c>
      <c r="AD319" s="43">
        <f t="shared" si="848"/>
        <v>10341</v>
      </c>
      <c r="AE319" s="43">
        <f t="shared" si="848"/>
        <v>327710077</v>
      </c>
      <c r="AF319" s="43">
        <f t="shared" si="848"/>
        <v>50000</v>
      </c>
      <c r="AG319" s="43">
        <f t="shared" si="848"/>
        <v>11408949</v>
      </c>
      <c r="AH319" s="43">
        <f t="shared" si="848"/>
        <v>7001598</v>
      </c>
      <c r="AI319" s="43">
        <f t="shared" si="848"/>
        <v>10722045</v>
      </c>
      <c r="AJ319" s="43">
        <f t="shared" ref="AJ319:BO319" si="849">AJ23+AJ55+AJ66+AJ69+AJ74+AJ92+AJ104+AJ109+AJ112+AJ119+AJ130+AJ152+AJ166+AJ175+AJ188+AJ222+AJ226+AJ290</f>
        <v>448021</v>
      </c>
      <c r="AK319" s="43">
        <f t="shared" si="849"/>
        <v>869225</v>
      </c>
      <c r="AL319" s="43">
        <f t="shared" si="849"/>
        <v>895760</v>
      </c>
      <c r="AM319" s="43">
        <f t="shared" si="849"/>
        <v>482522</v>
      </c>
      <c r="AN319" s="43">
        <f t="shared" si="849"/>
        <v>6444253</v>
      </c>
      <c r="AO319" s="43">
        <f t="shared" si="849"/>
        <v>8107112</v>
      </c>
      <c r="AP319" s="43">
        <f t="shared" si="849"/>
        <v>76830</v>
      </c>
      <c r="AQ319" s="43">
        <f t="shared" si="849"/>
        <v>19416077</v>
      </c>
      <c r="AR319" s="43">
        <f t="shared" si="849"/>
        <v>7849832</v>
      </c>
      <c r="AS319" s="43">
        <f t="shared" si="849"/>
        <v>1699308</v>
      </c>
      <c r="AT319" s="43">
        <f t="shared" si="849"/>
        <v>738677</v>
      </c>
      <c r="AU319" s="43">
        <f t="shared" si="849"/>
        <v>1926205</v>
      </c>
      <c r="AV319" s="43">
        <f t="shared" si="849"/>
        <v>13186737</v>
      </c>
      <c r="AW319" s="43">
        <f t="shared" si="849"/>
        <v>49996576</v>
      </c>
      <c r="AX319" s="43">
        <f t="shared" si="849"/>
        <v>3405514</v>
      </c>
      <c r="AY319" s="43">
        <f t="shared" si="849"/>
        <v>29402665</v>
      </c>
      <c r="AZ319" s="43">
        <f t="shared" si="849"/>
        <v>153582171</v>
      </c>
      <c r="BA319" s="43">
        <f t="shared" si="849"/>
        <v>1864140164</v>
      </c>
      <c r="BB319" s="43">
        <f t="shared" si="849"/>
        <v>284795648</v>
      </c>
      <c r="BC319" s="43">
        <f t="shared" si="849"/>
        <v>259647167</v>
      </c>
      <c r="BD319" s="43">
        <f t="shared" si="849"/>
        <v>6033387</v>
      </c>
      <c r="BE319" s="43">
        <f t="shared" si="849"/>
        <v>19115094</v>
      </c>
      <c r="BF319" s="43">
        <f t="shared" si="849"/>
        <v>26013913</v>
      </c>
      <c r="BG319" s="43">
        <f t="shared" si="849"/>
        <v>22781669</v>
      </c>
      <c r="BH319" s="43">
        <f t="shared" si="849"/>
        <v>1310018</v>
      </c>
      <c r="BI319" s="43">
        <f t="shared" si="849"/>
        <v>1922226</v>
      </c>
      <c r="BJ319" s="43">
        <f t="shared" si="849"/>
        <v>927000512</v>
      </c>
      <c r="BK319" s="43">
        <f t="shared" si="849"/>
        <v>509352</v>
      </c>
      <c r="BL319" s="43">
        <f t="shared" si="849"/>
        <v>3510314</v>
      </c>
      <c r="BM319" s="43">
        <f t="shared" si="849"/>
        <v>1104463</v>
      </c>
      <c r="BN319" s="43">
        <f t="shared" si="849"/>
        <v>2405851</v>
      </c>
      <c r="BO319" s="43">
        <f t="shared" si="849"/>
        <v>622819777</v>
      </c>
      <c r="BP319" s="43">
        <f t="shared" ref="BP319:CR319" si="850">BP23+BP55+BP66+BP69+BP74+BP92+BP104+BP109+BP112+BP119+BP130+BP152+BP166+BP175+BP188+BP222+BP226+BP290</f>
        <v>61287239</v>
      </c>
      <c r="BQ319" s="43">
        <f t="shared" si="850"/>
        <v>9336120</v>
      </c>
      <c r="BR319" s="43">
        <f t="shared" si="850"/>
        <v>13219849</v>
      </c>
      <c r="BS319" s="43">
        <f t="shared" si="850"/>
        <v>17500000</v>
      </c>
      <c r="BT319" s="43">
        <f t="shared" si="850"/>
        <v>15000</v>
      </c>
      <c r="BU319" s="43">
        <f t="shared" si="850"/>
        <v>112795</v>
      </c>
      <c r="BV319" s="43">
        <f t="shared" si="850"/>
        <v>178334978</v>
      </c>
      <c r="BW319" s="43">
        <f t="shared" si="850"/>
        <v>1013250</v>
      </c>
      <c r="BX319" s="43">
        <f t="shared" si="850"/>
        <v>286944</v>
      </c>
      <c r="BY319" s="43">
        <f t="shared" si="850"/>
        <v>207409398</v>
      </c>
      <c r="BZ319" s="43">
        <f t="shared" si="850"/>
        <v>134304204</v>
      </c>
      <c r="CA319" s="43">
        <f t="shared" si="850"/>
        <v>251848638</v>
      </c>
      <c r="CB319" s="43">
        <f t="shared" si="850"/>
        <v>164495027</v>
      </c>
      <c r="CC319" s="43">
        <f t="shared" si="850"/>
        <v>23863777</v>
      </c>
      <c r="CD319" s="43">
        <f t="shared" si="850"/>
        <v>310560</v>
      </c>
      <c r="CE319" s="43">
        <f t="shared" si="850"/>
        <v>23553217</v>
      </c>
      <c r="CF319" s="43">
        <f t="shared" si="850"/>
        <v>82892781</v>
      </c>
      <c r="CG319" s="43">
        <f t="shared" si="850"/>
        <v>76254170</v>
      </c>
      <c r="CH319" s="43">
        <f t="shared" si="850"/>
        <v>543303</v>
      </c>
      <c r="CI319" s="43">
        <f t="shared" si="850"/>
        <v>5015526</v>
      </c>
      <c r="CJ319" s="43">
        <f t="shared" si="850"/>
        <v>1079782</v>
      </c>
      <c r="CK319" s="43">
        <f t="shared" si="850"/>
        <v>57738469</v>
      </c>
      <c r="CL319" s="43">
        <f t="shared" si="850"/>
        <v>42478996</v>
      </c>
      <c r="CM319" s="43">
        <f t="shared" si="850"/>
        <v>15259473</v>
      </c>
      <c r="CN319" s="43">
        <f t="shared" si="850"/>
        <v>87353611</v>
      </c>
      <c r="CO319" s="43">
        <f t="shared" si="850"/>
        <v>262490126</v>
      </c>
      <c r="CP319" s="43">
        <f t="shared" si="850"/>
        <v>262490126</v>
      </c>
      <c r="CQ319" s="43">
        <f t="shared" si="850"/>
        <v>148698385</v>
      </c>
      <c r="CR319" s="43">
        <f t="shared" si="850"/>
        <v>113791741</v>
      </c>
      <c r="CS319" s="46"/>
    </row>
    <row r="320" spans="1:199" s="71" customFormat="1" x14ac:dyDescent="0.3">
      <c r="A320" s="44"/>
      <c r="B320" s="44"/>
      <c r="C320" s="44"/>
      <c r="D320" s="53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4"/>
      <c r="BV320" s="44"/>
      <c r="BW320" s="44"/>
      <c r="BX320" s="44"/>
      <c r="BY320" s="44"/>
      <c r="BZ320" s="44"/>
      <c r="CA320" s="44"/>
      <c r="CB320" s="44"/>
      <c r="CC320" s="44"/>
      <c r="CD320" s="44"/>
      <c r="CE320" s="44"/>
      <c r="CF320" s="44"/>
      <c r="CG320" s="44"/>
      <c r="CH320" s="44"/>
      <c r="CI320" s="44"/>
      <c r="CJ320" s="44"/>
      <c r="CK320" s="44"/>
      <c r="CL320" s="44"/>
      <c r="CM320" s="44"/>
      <c r="CN320" s="44"/>
      <c r="CO320" s="44"/>
      <c r="CP320" s="68"/>
      <c r="CQ320" s="68"/>
      <c r="CR320" s="68"/>
      <c r="CS320" s="44"/>
      <c r="CT320" s="44"/>
      <c r="CU320" s="44"/>
      <c r="CV320" s="44"/>
      <c r="CW320" s="44"/>
      <c r="CX320" s="44"/>
      <c r="CY320" s="44"/>
      <c r="CZ320" s="44"/>
      <c r="DA320" s="44"/>
      <c r="DB320" s="44"/>
      <c r="DC320" s="44"/>
      <c r="DD320" s="44"/>
      <c r="DE320" s="44"/>
      <c r="DF320" s="44"/>
      <c r="DG320" s="44"/>
      <c r="DH320" s="44"/>
      <c r="DI320" s="44"/>
      <c r="DJ320" s="44"/>
      <c r="DK320" s="44"/>
      <c r="DL320" s="44"/>
      <c r="DM320" s="44"/>
      <c r="DN320" s="44"/>
      <c r="DO320" s="44"/>
      <c r="DP320" s="44"/>
      <c r="DQ320" s="44"/>
      <c r="DR320" s="44"/>
      <c r="DS320" s="44"/>
      <c r="DT320" s="44"/>
      <c r="DU320" s="44"/>
      <c r="DV320" s="44"/>
      <c r="DW320" s="44"/>
      <c r="DX320" s="44"/>
      <c r="DY320" s="44"/>
      <c r="DZ320" s="44"/>
      <c r="EA320" s="44"/>
      <c r="EB320" s="44"/>
      <c r="EC320" s="44"/>
      <c r="ED320" s="44"/>
      <c r="EE320" s="44"/>
      <c r="EF320" s="44"/>
      <c r="EG320" s="44"/>
      <c r="EH320" s="44"/>
      <c r="EI320" s="44"/>
      <c r="EJ320" s="44"/>
      <c r="EK320" s="44"/>
      <c r="EL320" s="44"/>
      <c r="EM320" s="44"/>
      <c r="EN320" s="44"/>
      <c r="EO320" s="44"/>
      <c r="EP320" s="44"/>
      <c r="EQ320" s="44"/>
      <c r="ER320" s="44"/>
      <c r="ES320" s="44"/>
      <c r="ET320" s="44"/>
      <c r="EU320" s="44"/>
      <c r="EV320" s="44"/>
      <c r="EW320" s="44"/>
      <c r="EX320" s="44"/>
      <c r="EY320" s="44"/>
      <c r="EZ320" s="44"/>
      <c r="FA320" s="44"/>
      <c r="FB320" s="44"/>
      <c r="FC320" s="44"/>
      <c r="FD320" s="44"/>
      <c r="FE320" s="44"/>
      <c r="FF320" s="44"/>
      <c r="FG320" s="44"/>
      <c r="FH320" s="44"/>
      <c r="FI320" s="44"/>
      <c r="FJ320" s="44"/>
      <c r="FK320" s="44"/>
      <c r="FL320" s="44"/>
      <c r="FM320" s="44"/>
      <c r="FN320" s="44"/>
      <c r="FO320" s="44"/>
      <c r="FP320" s="44"/>
      <c r="FQ320" s="44"/>
      <c r="FR320" s="44"/>
      <c r="FS320" s="44"/>
      <c r="FT320" s="44"/>
      <c r="FU320" s="44"/>
      <c r="FV320" s="44"/>
      <c r="FW320" s="44"/>
      <c r="FX320" s="44"/>
      <c r="FY320" s="44"/>
      <c r="FZ320" s="44"/>
      <c r="GA320" s="44"/>
      <c r="GB320" s="44"/>
      <c r="GC320" s="44"/>
      <c r="GD320" s="44"/>
      <c r="GE320" s="44"/>
      <c r="GF320" s="44"/>
      <c r="GG320" s="44"/>
      <c r="GH320" s="44"/>
      <c r="GI320" s="44"/>
      <c r="GJ320" s="44"/>
      <c r="GK320" s="44"/>
      <c r="GL320" s="44"/>
      <c r="GM320" s="44"/>
      <c r="GN320" s="44"/>
      <c r="GO320" s="44"/>
      <c r="GP320" s="52"/>
      <c r="GQ320" s="44"/>
    </row>
    <row r="321" spans="1:196" x14ac:dyDescent="0.3">
      <c r="C321" s="72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T321" s="61"/>
      <c r="AU321" s="61"/>
      <c r="AV321" s="61"/>
      <c r="AW321" s="61"/>
      <c r="AX321" s="61"/>
      <c r="AY321" s="61"/>
      <c r="AZ321" s="61"/>
      <c r="BA321" s="61"/>
      <c r="BB321" s="61"/>
      <c r="BC321" s="61"/>
      <c r="BD321" s="61"/>
      <c r="BE321" s="61"/>
      <c r="BF321" s="61"/>
      <c r="BG321" s="61"/>
      <c r="BH321" s="61"/>
      <c r="BI321" s="61"/>
      <c r="BJ321" s="61"/>
      <c r="BK321" s="61"/>
      <c r="BL321" s="61"/>
      <c r="BM321" s="61"/>
      <c r="BN321" s="61"/>
      <c r="BO321" s="61"/>
      <c r="BP321" s="61"/>
      <c r="BQ321" s="61"/>
      <c r="BR321" s="61"/>
      <c r="BS321" s="61"/>
      <c r="BT321" s="61"/>
      <c r="BU321" s="61"/>
      <c r="BV321" s="61"/>
      <c r="BW321" s="61"/>
      <c r="BX321" s="61"/>
      <c r="BY321" s="61"/>
      <c r="BZ321" s="61"/>
      <c r="CA321" s="61"/>
      <c r="CB321" s="61"/>
      <c r="CC321" s="61"/>
      <c r="CD321" s="61"/>
      <c r="CE321" s="61"/>
      <c r="CF321" s="61"/>
      <c r="CG321" s="61"/>
      <c r="CH321" s="61"/>
      <c r="CI321" s="61"/>
      <c r="CJ321" s="61"/>
      <c r="CK321" s="61"/>
      <c r="CL321" s="61"/>
      <c r="CM321" s="61"/>
      <c r="CN321" s="61"/>
      <c r="CO321" s="61"/>
      <c r="CP321" s="61"/>
      <c r="CQ321" s="78"/>
      <c r="CR321" s="78"/>
      <c r="CT321" s="52"/>
    </row>
    <row r="322" spans="1:196" s="69" customFormat="1" x14ac:dyDescent="0.3">
      <c r="A322" s="85"/>
      <c r="B322" s="85"/>
      <c r="C322" s="96"/>
      <c r="D322" s="85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  <c r="AE322" s="86"/>
      <c r="AF322" s="86"/>
      <c r="AG322" s="86"/>
      <c r="AH322" s="86"/>
      <c r="AI322" s="86"/>
      <c r="AJ322" s="86"/>
      <c r="AK322" s="86"/>
      <c r="AL322" s="86"/>
      <c r="AM322" s="86"/>
      <c r="AN322" s="86"/>
      <c r="AO322" s="86"/>
      <c r="AP322" s="86"/>
      <c r="AQ322" s="86"/>
      <c r="AR322" s="86"/>
      <c r="AS322" s="86"/>
      <c r="AT322" s="86"/>
      <c r="AU322" s="86"/>
      <c r="AV322" s="86"/>
      <c r="AW322" s="86"/>
      <c r="AX322" s="86"/>
      <c r="AY322" s="86"/>
      <c r="AZ322" s="86"/>
      <c r="BA322" s="86"/>
      <c r="BB322" s="86"/>
      <c r="BC322" s="86"/>
      <c r="BD322" s="86"/>
      <c r="BE322" s="86"/>
      <c r="BF322" s="86"/>
      <c r="BG322" s="86"/>
      <c r="BH322" s="86"/>
      <c r="BI322" s="86"/>
      <c r="BJ322" s="86"/>
      <c r="BK322" s="86"/>
      <c r="BL322" s="86"/>
      <c r="BM322" s="86"/>
      <c r="BN322" s="86"/>
      <c r="BO322" s="86"/>
      <c r="BP322" s="86"/>
      <c r="BQ322" s="86"/>
      <c r="BR322" s="86"/>
      <c r="BS322" s="86"/>
      <c r="BT322" s="86"/>
      <c r="BU322" s="86"/>
      <c r="BV322" s="86"/>
      <c r="BW322" s="86"/>
      <c r="BX322" s="86"/>
      <c r="BY322" s="86"/>
      <c r="BZ322" s="86"/>
      <c r="CA322" s="86"/>
      <c r="CB322" s="86"/>
      <c r="CC322" s="86"/>
      <c r="CD322" s="86"/>
      <c r="CE322" s="86"/>
      <c r="CF322" s="86"/>
      <c r="CG322" s="86"/>
      <c r="CH322" s="86"/>
      <c r="CI322" s="86"/>
      <c r="CJ322" s="86"/>
      <c r="CK322" s="86"/>
      <c r="CL322" s="86"/>
      <c r="CM322" s="86"/>
      <c r="CN322" s="68"/>
      <c r="CO322" s="44"/>
      <c r="CP322" s="44"/>
      <c r="CQ322" s="44"/>
      <c r="CR322" s="44"/>
      <c r="CS322" s="52"/>
      <c r="CT322" s="44"/>
      <c r="CU322" s="44"/>
      <c r="CV322" s="44"/>
      <c r="CW322" s="44"/>
      <c r="CX322" s="44"/>
      <c r="CY322" s="44"/>
      <c r="CZ322" s="44"/>
      <c r="DA322" s="44"/>
      <c r="DB322" s="44"/>
      <c r="DC322" s="44"/>
      <c r="DD322" s="44"/>
      <c r="DE322" s="44"/>
      <c r="DF322" s="44"/>
      <c r="DG322" s="44"/>
      <c r="DH322" s="44"/>
      <c r="DI322" s="44"/>
      <c r="DJ322" s="44"/>
      <c r="DK322" s="44"/>
      <c r="DL322" s="44"/>
      <c r="DM322" s="44"/>
      <c r="DN322" s="44"/>
      <c r="DO322" s="44"/>
      <c r="DP322" s="44"/>
      <c r="DQ322" s="44"/>
      <c r="DR322" s="44"/>
      <c r="DS322" s="44"/>
      <c r="DT322" s="44"/>
      <c r="DU322" s="44"/>
      <c r="DV322" s="44"/>
      <c r="DW322" s="44"/>
      <c r="DX322" s="44"/>
      <c r="DY322" s="44"/>
      <c r="DZ322" s="44"/>
      <c r="EA322" s="44"/>
      <c r="EB322" s="44"/>
      <c r="EC322" s="44"/>
      <c r="ED322" s="44"/>
      <c r="EE322" s="44"/>
      <c r="EF322" s="44"/>
      <c r="EG322" s="44"/>
      <c r="EH322" s="44"/>
      <c r="EI322" s="44"/>
      <c r="EJ322" s="44"/>
      <c r="EK322" s="44"/>
      <c r="EL322" s="44"/>
      <c r="EM322" s="44"/>
      <c r="EN322" s="44"/>
      <c r="EO322" s="44"/>
      <c r="EP322" s="44"/>
      <c r="EQ322" s="44"/>
      <c r="ER322" s="44"/>
      <c r="ES322" s="44"/>
      <c r="ET322" s="44"/>
      <c r="EU322" s="44"/>
      <c r="EV322" s="44"/>
      <c r="EW322" s="44"/>
      <c r="EX322" s="44"/>
      <c r="EY322" s="44"/>
      <c r="EZ322" s="44"/>
      <c r="FA322" s="44"/>
      <c r="FB322" s="44"/>
      <c r="FC322" s="44"/>
      <c r="FD322" s="44"/>
      <c r="FE322" s="44"/>
      <c r="FF322" s="44"/>
      <c r="FG322" s="44"/>
      <c r="FH322" s="44"/>
      <c r="FI322" s="44"/>
      <c r="FJ322" s="44"/>
      <c r="FK322" s="44"/>
      <c r="FL322" s="44"/>
      <c r="FM322" s="44"/>
      <c r="FN322" s="44"/>
      <c r="FO322" s="44"/>
      <c r="FP322" s="44"/>
      <c r="FQ322" s="44"/>
      <c r="FR322" s="44"/>
      <c r="FS322" s="44"/>
      <c r="FT322" s="44"/>
      <c r="FU322" s="44"/>
      <c r="FV322" s="44"/>
      <c r="FW322" s="44"/>
      <c r="FX322" s="44"/>
      <c r="FY322" s="44"/>
      <c r="FZ322" s="44"/>
      <c r="GA322" s="44"/>
      <c r="GB322" s="44"/>
      <c r="GC322" s="44"/>
      <c r="GD322" s="44"/>
      <c r="GE322" s="44"/>
      <c r="GF322" s="44"/>
      <c r="GG322" s="44"/>
      <c r="GH322" s="44"/>
      <c r="GI322" s="44"/>
      <c r="GJ322" s="44"/>
      <c r="GK322" s="44"/>
      <c r="GL322" s="52"/>
      <c r="GM322" s="71"/>
      <c r="GN322" s="44"/>
    </row>
  </sheetData>
  <mergeCells count="102">
    <mergeCell ref="A20:A21"/>
    <mergeCell ref="S19:S20"/>
    <mergeCell ref="Z19:Z20"/>
    <mergeCell ref="V19:V20"/>
    <mergeCell ref="W19:W20"/>
    <mergeCell ref="B19:B21"/>
    <mergeCell ref="C19:C21"/>
    <mergeCell ref="D19:D21"/>
    <mergeCell ref="E19:E20"/>
    <mergeCell ref="T19:T20"/>
    <mergeCell ref="U19:U20"/>
    <mergeCell ref="I19:I20"/>
    <mergeCell ref="P19:P20"/>
    <mergeCell ref="Q19:Q20"/>
    <mergeCell ref="R19:R20"/>
    <mergeCell ref="O19:O20"/>
    <mergeCell ref="F19:F20"/>
    <mergeCell ref="G19:G20"/>
    <mergeCell ref="H19:H20"/>
    <mergeCell ref="AC19:AC20"/>
    <mergeCell ref="AB19:AB20"/>
    <mergeCell ref="AE19:AE20"/>
    <mergeCell ref="AD19:AD20"/>
    <mergeCell ref="AQ19:AQ20"/>
    <mergeCell ref="AK19:AK20"/>
    <mergeCell ref="AL19:AL20"/>
    <mergeCell ref="AM19:AM20"/>
    <mergeCell ref="AI19:AI20"/>
    <mergeCell ref="CR19:CR20"/>
    <mergeCell ref="CA19:CA20"/>
    <mergeCell ref="AN19:AN20"/>
    <mergeCell ref="BD19:BD20"/>
    <mergeCell ref="AO19:AO20"/>
    <mergeCell ref="BO19:BO20"/>
    <mergeCell ref="BP19:BP20"/>
    <mergeCell ref="BQ19:BQ20"/>
    <mergeCell ref="BC19:BC20"/>
    <mergeCell ref="AS19:AS20"/>
    <mergeCell ref="AT19:AT20"/>
    <mergeCell ref="AU19:AU20"/>
    <mergeCell ref="BL19:BL20"/>
    <mergeCell ref="BK19:BK20"/>
    <mergeCell ref="BR19:BR20"/>
    <mergeCell ref="AZ19:AZ20"/>
    <mergeCell ref="CN19:CN20"/>
    <mergeCell ref="CM19:CM20"/>
    <mergeCell ref="CI19:CI20"/>
    <mergeCell ref="CK19:CK20"/>
    <mergeCell ref="CB19:CB20"/>
    <mergeCell ref="CC19:CC20"/>
    <mergeCell ref="CD19:CD20"/>
    <mergeCell ref="CE19:CE20"/>
    <mergeCell ref="BJ19:BJ20"/>
    <mergeCell ref="BN19:BN20"/>
    <mergeCell ref="AF19:AF20"/>
    <mergeCell ref="AG19:AG20"/>
    <mergeCell ref="BU19:BU20"/>
    <mergeCell ref="AR19:AR20"/>
    <mergeCell ref="BE19:BE20"/>
    <mergeCell ref="BF19:BF20"/>
    <mergeCell ref="BS19:BS20"/>
    <mergeCell ref="BT19:BT20"/>
    <mergeCell ref="AH19:AH20"/>
    <mergeCell ref="AJ19:AJ20"/>
    <mergeCell ref="AP19:AP20"/>
    <mergeCell ref="BM19:BM20"/>
    <mergeCell ref="AV19:AV20"/>
    <mergeCell ref="AX19:AX20"/>
    <mergeCell ref="AW19:AW20"/>
    <mergeCell ref="BB19:BB20"/>
    <mergeCell ref="BA19:BA20"/>
    <mergeCell ref="AY19:AY20"/>
    <mergeCell ref="BG19:BG20"/>
    <mergeCell ref="BI19:BI20"/>
    <mergeCell ref="BH19:BH20"/>
    <mergeCell ref="CO19:CO20"/>
    <mergeCell ref="CP19:CP20"/>
    <mergeCell ref="CQ19:CQ20"/>
    <mergeCell ref="CH19:CH20"/>
    <mergeCell ref="BX19:BX20"/>
    <mergeCell ref="BY19:BY20"/>
    <mergeCell ref="BZ19:BZ20"/>
    <mergeCell ref="BW19:BW20"/>
    <mergeCell ref="BV19:BV20"/>
    <mergeCell ref="CF19:CF20"/>
    <mergeCell ref="CL19:CL20"/>
    <mergeCell ref="CJ19:CJ20"/>
    <mergeCell ref="CG19:CG20"/>
    <mergeCell ref="AA19:AA20"/>
    <mergeCell ref="K7:L7"/>
    <mergeCell ref="J19:J20"/>
    <mergeCell ref="K19:K20"/>
    <mergeCell ref="L19:L20"/>
    <mergeCell ref="M19:M20"/>
    <mergeCell ref="N19:N20"/>
    <mergeCell ref="X19:X20"/>
    <mergeCell ref="Y19:Y20"/>
    <mergeCell ref="G8:L8"/>
    <mergeCell ref="G9:L9"/>
    <mergeCell ref="G10:L10"/>
    <mergeCell ref="H11:L11"/>
    <mergeCell ref="K13:L13"/>
  </mergeCells>
  <pageMargins left="0.39370078740157483" right="0.39370078740157483" top="0.39370078740157483" bottom="0.39370078740157483" header="0.19685039370078741" footer="0.19685039370078741"/>
  <pageSetup paperSize="9" scale="92" firstPageNumber="9" fitToWidth="0" fitToHeight="13" orientation="landscape" useFirstPageNumber="1" r:id="rId1"/>
  <headerFooter>
    <oddHeader>&amp;C&amp;"Times New Roman,обычный"&amp;P</oddHeader>
  </headerFooter>
  <rowBreaks count="1" manualBreakCount="1">
    <brk id="129" max="9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 (16)</vt:lpstr>
      <vt:lpstr>'Приложение № 2 (16)'!Заголовки_для_печати</vt:lpstr>
      <vt:lpstr>'Приложение № 2 (16)'!Область_печати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2026-03-09T13:33:22Z</dcterms:modified>
</cp:coreProperties>
</file>