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4240" windowHeight="13140"/>
  </bookViews>
  <sheets>
    <sheet name="приложение № 1 (16)" sheetId="2" r:id="rId1"/>
  </sheets>
  <definedNames>
    <definedName name="_xlnm.Print_Titles" localSheetId="0">'приложение № 1 (16)'!$13:$13</definedName>
    <definedName name="_xlnm.Print_Area" localSheetId="0">'приложение № 1 (16)'!$A$1:$K$91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9" i="2" l="1"/>
  <c r="J73" i="2" l="1"/>
  <c r="I73" i="2"/>
  <c r="H73" i="2"/>
  <c r="G73" i="2"/>
  <c r="F73" i="2"/>
  <c r="E73" i="2"/>
  <c r="D73" i="2"/>
  <c r="C73" i="2"/>
  <c r="C67" i="2" l="1"/>
  <c r="C66" i="2"/>
  <c r="K67" i="2" l="1"/>
  <c r="J71" i="2" l="1"/>
  <c r="J70" i="2"/>
  <c r="I71" i="2"/>
  <c r="I70" i="2"/>
  <c r="H71" i="2"/>
  <c r="H70" i="2"/>
  <c r="G71" i="2"/>
  <c r="G70" i="2"/>
  <c r="F71" i="2"/>
  <c r="F70" i="2"/>
  <c r="E71" i="2"/>
  <c r="E70" i="2"/>
  <c r="D71" i="2"/>
  <c r="D70" i="2"/>
  <c r="K89" i="2"/>
  <c r="H87" i="2"/>
  <c r="C87" i="2"/>
  <c r="F87" i="2"/>
  <c r="J87" i="2"/>
  <c r="G87" i="2"/>
  <c r="E87" i="2"/>
  <c r="D87" i="2"/>
  <c r="K66" i="2"/>
  <c r="D65" i="2"/>
  <c r="E65" i="2"/>
  <c r="F65" i="2"/>
  <c r="G65" i="2"/>
  <c r="H65" i="2"/>
  <c r="I65" i="2"/>
  <c r="J65" i="2"/>
  <c r="C65" i="2"/>
  <c r="K65" i="2" l="1"/>
  <c r="C56" i="2"/>
  <c r="C48" i="2"/>
  <c r="C54" i="2" l="1"/>
  <c r="C30" i="2"/>
  <c r="I23" i="2"/>
  <c r="E23" i="2"/>
  <c r="D23" i="2"/>
  <c r="C23" i="2"/>
  <c r="D22" i="2"/>
  <c r="J17" i="2"/>
  <c r="I17" i="2"/>
  <c r="H17" i="2"/>
  <c r="G17" i="2"/>
  <c r="F17" i="2"/>
  <c r="E17" i="2"/>
  <c r="D17" i="2"/>
  <c r="C58" i="2" l="1"/>
  <c r="C62" i="2"/>
  <c r="C47" i="2" s="1"/>
  <c r="C63" i="2"/>
  <c r="J63" i="2"/>
  <c r="I63" i="2"/>
  <c r="H63" i="2"/>
  <c r="F63" i="2"/>
  <c r="K63" i="2" s="1"/>
  <c r="E63" i="2"/>
  <c r="D63" i="2"/>
  <c r="K58" i="2"/>
  <c r="C42" i="2" l="1"/>
  <c r="C77" i="2"/>
  <c r="C70" i="2"/>
  <c r="C83" i="2" l="1"/>
  <c r="C51" i="2"/>
  <c r="C81" i="2" l="1"/>
  <c r="C79" i="2"/>
  <c r="C22" i="2"/>
  <c r="C85" i="2" l="1"/>
  <c r="E15" i="2" l="1"/>
  <c r="F15" i="2"/>
  <c r="G15" i="2"/>
  <c r="H15" i="2"/>
  <c r="I15" i="2"/>
  <c r="J15" i="2"/>
  <c r="C15" i="2"/>
  <c r="D15" i="2"/>
  <c r="K70" i="2" l="1"/>
  <c r="K71" i="2"/>
  <c r="K73" i="2"/>
  <c r="C69" i="2"/>
  <c r="D69" i="2"/>
  <c r="E69" i="2"/>
  <c r="F69" i="2"/>
  <c r="G69" i="2"/>
  <c r="H69" i="2"/>
  <c r="I69" i="2"/>
  <c r="J69" i="2"/>
  <c r="K17" i="2" l="1"/>
  <c r="K85" i="2" l="1"/>
  <c r="K83" i="2"/>
  <c r="K81" i="2"/>
  <c r="K79" i="2"/>
  <c r="K77" i="2"/>
  <c r="K75" i="2"/>
  <c r="K62" i="2"/>
  <c r="K60" i="2"/>
  <c r="K57" i="2"/>
  <c r="K56" i="2"/>
  <c r="K54" i="2"/>
  <c r="K53" i="2"/>
  <c r="K52" i="2"/>
  <c r="K51" i="2"/>
  <c r="K50" i="2"/>
  <c r="K49" i="2"/>
  <c r="K48" i="2"/>
  <c r="J47" i="2"/>
  <c r="I47" i="2"/>
  <c r="H47" i="2"/>
  <c r="G47" i="2"/>
  <c r="F47" i="2"/>
  <c r="E47" i="2"/>
  <c r="D47" i="2"/>
  <c r="K45" i="2"/>
  <c r="J44" i="2"/>
  <c r="I44" i="2"/>
  <c r="H44" i="2"/>
  <c r="G44" i="2"/>
  <c r="F44" i="2"/>
  <c r="E44" i="2"/>
  <c r="D44" i="2"/>
  <c r="C44" i="2"/>
  <c r="K42" i="2"/>
  <c r="J41" i="2"/>
  <c r="I41" i="2"/>
  <c r="H41" i="2"/>
  <c r="G41" i="2"/>
  <c r="F41" i="2"/>
  <c r="E41" i="2"/>
  <c r="D41" i="2"/>
  <c r="C41" i="2"/>
  <c r="K39" i="2"/>
  <c r="K38" i="2"/>
  <c r="K37" i="2"/>
  <c r="K36" i="2"/>
  <c r="K35" i="2"/>
  <c r="K34" i="2"/>
  <c r="J33" i="2"/>
  <c r="I33" i="2"/>
  <c r="H33" i="2"/>
  <c r="G33" i="2"/>
  <c r="F33" i="2"/>
  <c r="E33" i="2"/>
  <c r="D33" i="2"/>
  <c r="C33" i="2"/>
  <c r="K32" i="2"/>
  <c r="K30" i="2"/>
  <c r="K29" i="2"/>
  <c r="K28" i="2"/>
  <c r="K27" i="2"/>
  <c r="J26" i="2"/>
  <c r="I26" i="2"/>
  <c r="H26" i="2"/>
  <c r="G26" i="2"/>
  <c r="F26" i="2"/>
  <c r="E26" i="2"/>
  <c r="D26" i="2"/>
  <c r="C26" i="2"/>
  <c r="K24" i="2"/>
  <c r="K23" i="2"/>
  <c r="K22" i="2"/>
  <c r="K21" i="2"/>
  <c r="K20" i="2"/>
  <c r="K19" i="2"/>
  <c r="K47" i="2" l="1"/>
  <c r="C14" i="2"/>
  <c r="C91" i="2" s="1"/>
  <c r="E14" i="2"/>
  <c r="E91" i="2" s="1"/>
  <c r="G14" i="2"/>
  <c r="G91" i="2" s="1"/>
  <c r="I14" i="2"/>
  <c r="I91" i="2" s="1"/>
  <c r="K69" i="2"/>
  <c r="K87" i="2"/>
  <c r="K15" i="2"/>
  <c r="K26" i="2"/>
  <c r="D14" i="2"/>
  <c r="D91" i="2" s="1"/>
  <c r="F14" i="2"/>
  <c r="F91" i="2" s="1"/>
  <c r="H14" i="2"/>
  <c r="H91" i="2" s="1"/>
  <c r="J14" i="2"/>
  <c r="J91" i="2" s="1"/>
  <c r="K44" i="2"/>
  <c r="K33" i="2"/>
  <c r="K41" i="2"/>
  <c r="K91" i="2" l="1"/>
  <c r="K14" i="2"/>
</calcChain>
</file>

<file path=xl/sharedStrings.xml><?xml version="1.0" encoding="utf-8"?>
<sst xmlns="http://schemas.openxmlformats.org/spreadsheetml/2006/main" count="79" uniqueCount="76">
  <si>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</si>
  <si>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</si>
  <si>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</si>
  <si>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</si>
  <si>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</si>
  <si>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</si>
  <si>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</si>
  <si>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</si>
  <si>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</si>
  <si>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</si>
  <si>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</si>
  <si>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</si>
  <si>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</si>
  <si>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</si>
  <si>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</si>
  <si>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</si>
  <si>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</si>
  <si>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</si>
  <si>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</si>
  <si>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</si>
  <si>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</si>
  <si>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</si>
  <si>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</si>
  <si>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</si>
  <si>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</si>
  <si>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</si>
  <si>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</si>
  <si>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</si>
  <si>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</si>
  <si>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</si>
  <si>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</si>
  <si>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</si>
  <si>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</si>
  <si>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</si>
  <si>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</si>
  <si>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</si>
  <si>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</si>
  <si>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</si>
  <si>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</si>
  <si>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</si>
  <si>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</si>
  <si>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</si>
  <si>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</si>
  <si>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</si>
  <si>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</si>
  <si>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</si>
  <si>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</si>
  <si>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</si>
  <si>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</si>
  <si>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</si>
  <si>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</si>
  <si>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</si>
  <si>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</si>
  <si>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</si>
  <si>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</si>
  <si>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</si>
  <si>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</si>
  <si>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</si>
  <si>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</si>
  <si>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</si>
  <si>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>Отчисления от единого социального налога на улучшение оснащенности учреждений здравоохранения медицинским оборудованием и приобретение специализированного медицинского автотранспорта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</si>
  <si>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</si>
  <si>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</si>
  <si>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Доходы от оказания платных услуг и иной приносящей доход деятельности</t>
  </si>
  <si>
    <t>Налог с выручки организаций, применяющих упрощенную систему налогообложения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</si>
  <si>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</si>
  <si>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</si>
  <si>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</si>
  <si>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поступления о реализации имущества и валюты</t>
  </si>
  <si>
    <t>Прочие административные штрафы и санкции, возмещение ущерба</t>
  </si>
  <si>
    <t>Безвозмездные перечисления</t>
  </si>
  <si>
    <t>От нерезидентов (гуманитарная помощь)</t>
  </si>
  <si>
    <t>Прочие безвозмездные перечисления</t>
  </si>
  <si>
    <t xml:space="preserve">Иные поступления, носящие нерегулярный характер </t>
  </si>
  <si>
    <t>в Закон Приднестровской Молдавской Республики</t>
  </si>
  <si>
    <t>"О внесении измененений и дополнений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</si>
</sst>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4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166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right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164" fontId="3" fillId="2" borderId="22" xfId="1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vertical="center" wrapText="1"/>
    </xf>
    <xf numFmtId="1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164" fontId="3" fillId="2" borderId="13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164" fontId="4" fillId="2" borderId="24" xfId="1" applyNumberFormat="1" applyFont="1" applyFill="1" applyBorder="1" applyAlignment="1">
      <alignment horizontal="center" vertical="center"/>
    </xf>
    <xf numFmtId="164" fontId="4" fillId="2" borderId="23" xfId="1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22" xfId="1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left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view="pageBreakPreview" zoomScaleNormal="100" zoomScaleSheetLayoutView="100" workbookViewId="0">
      <pane xSplit="2" ySplit="13" topLeftCell="C29" activePane="bottomRight" state="frozen"/>
      <selection pane="topRight" activeCell="C1" sqref="C1"/>
      <selection pane="bottomLeft" activeCell="A10" sqref="A10"/>
      <selection pane="bottomRight" activeCell="H5" sqref="H5:K5"/>
    </sheetView>
  </sheetViews>
  <sheetFormatPr defaultColWidth="58.33203125" defaultRowHeight="15.6" x14ac:dyDescent="0.3"/>
  <cols>
    <col min="1" max="1" width="9" style="1" customWidth="1"/>
    <col min="2" max="2" width="52.88671875" style="2" customWidth="1"/>
    <col min="3" max="3" width="15.6640625" style="3" bestFit="1" customWidth="1"/>
    <col min="4" max="6" width="14" style="3" bestFit="1" customWidth="1"/>
    <col min="7" max="7" width="12.6640625" style="3" bestFit="1" customWidth="1"/>
    <col min="8" max="8" width="14" style="3" bestFit="1" customWidth="1"/>
    <col min="9" max="9" width="15.5546875" style="3" bestFit="1" customWidth="1"/>
    <col min="10" max="10" width="12.6640625" style="3" bestFit="1" customWidth="1"/>
    <col min="11" max="11" width="15.6640625" style="3" customWidth="1"/>
    <col min="12" max="13" width="12.109375" style="3" customWidth="1"/>
    <col min="14" max="14" width="78.109375" style="3" customWidth="1"/>
    <col min="15" max="15" width="15.6640625" style="3" bestFit="1" customWidth="1"/>
    <col min="16" max="29" width="12.109375" style="3" customWidth="1"/>
    <col min="30" max="93" width="58.33203125" style="3"/>
    <col min="94" max="94" width="9" style="3" customWidth="1"/>
    <col min="95" max="95" width="60.33203125" style="3" customWidth="1"/>
    <col min="96" max="96" width="15.6640625" style="3" bestFit="1" customWidth="1"/>
    <col min="97" max="97" width="14.109375" style="3" bestFit="1" customWidth="1"/>
    <col min="98" max="98" width="14.109375" style="3" customWidth="1"/>
    <col min="99" max="99" width="14.109375" style="3" bestFit="1" customWidth="1"/>
    <col min="100" max="101" width="13.109375" style="3" bestFit="1" customWidth="1"/>
    <col min="102" max="102" width="14" style="3" customWidth="1"/>
    <col min="103" max="103" width="13.109375" style="3" customWidth="1"/>
    <col min="104" max="104" width="16.44140625" style="3" customWidth="1"/>
    <col min="105" max="105" width="18.5546875" style="3" customWidth="1"/>
    <col min="106" max="106" width="8.109375" style="3" bestFit="1" customWidth="1"/>
    <col min="107" max="349" width="58.33203125" style="3"/>
    <col min="350" max="350" width="9" style="3" customWidth="1"/>
    <col min="351" max="351" width="60.33203125" style="3" customWidth="1"/>
    <col min="352" max="352" width="15.6640625" style="3" bestFit="1" customWidth="1"/>
    <col min="353" max="353" width="14.109375" style="3" bestFit="1" customWidth="1"/>
    <col min="354" max="354" width="14.109375" style="3" customWidth="1"/>
    <col min="355" max="355" width="14.109375" style="3" bestFit="1" customWidth="1"/>
    <col min="356" max="357" width="13.109375" style="3" bestFit="1" customWidth="1"/>
    <col min="358" max="358" width="14" style="3" customWidth="1"/>
    <col min="359" max="359" width="13.109375" style="3" customWidth="1"/>
    <col min="360" max="360" width="16.44140625" style="3" customWidth="1"/>
    <col min="361" max="361" width="18.5546875" style="3" customWidth="1"/>
    <col min="362" max="362" width="8.109375" style="3" bestFit="1" customWidth="1"/>
    <col min="363" max="605" width="58.33203125" style="3"/>
    <col min="606" max="606" width="9" style="3" customWidth="1"/>
    <col min="607" max="607" width="60.33203125" style="3" customWidth="1"/>
    <col min="608" max="608" width="15.6640625" style="3" bestFit="1" customWidth="1"/>
    <col min="609" max="609" width="14.109375" style="3" bestFit="1" customWidth="1"/>
    <col min="610" max="610" width="14.109375" style="3" customWidth="1"/>
    <col min="611" max="611" width="14.109375" style="3" bestFit="1" customWidth="1"/>
    <col min="612" max="613" width="13.109375" style="3" bestFit="1" customWidth="1"/>
    <col min="614" max="614" width="14" style="3" customWidth="1"/>
    <col min="615" max="615" width="13.109375" style="3" customWidth="1"/>
    <col min="616" max="616" width="16.44140625" style="3" customWidth="1"/>
    <col min="617" max="617" width="18.5546875" style="3" customWidth="1"/>
    <col min="618" max="618" width="8.109375" style="3" bestFit="1" customWidth="1"/>
    <col min="619" max="861" width="58.33203125" style="3"/>
    <col min="862" max="862" width="9" style="3" customWidth="1"/>
    <col min="863" max="863" width="60.33203125" style="3" customWidth="1"/>
    <col min="864" max="864" width="15.6640625" style="3" bestFit="1" customWidth="1"/>
    <col min="865" max="865" width="14.109375" style="3" bestFit="1" customWidth="1"/>
    <col min="866" max="866" width="14.109375" style="3" customWidth="1"/>
    <col min="867" max="867" width="14.109375" style="3" bestFit="1" customWidth="1"/>
    <col min="868" max="869" width="13.109375" style="3" bestFit="1" customWidth="1"/>
    <col min="870" max="870" width="14" style="3" customWidth="1"/>
    <col min="871" max="871" width="13.109375" style="3" customWidth="1"/>
    <col min="872" max="872" width="16.44140625" style="3" customWidth="1"/>
    <col min="873" max="873" width="18.5546875" style="3" customWidth="1"/>
    <col min="874" max="874" width="8.109375" style="3" bestFit="1" customWidth="1"/>
    <col min="875" max="1117" width="58.33203125" style="3"/>
    <col min="1118" max="1118" width="9" style="3" customWidth="1"/>
    <col min="1119" max="1119" width="60.33203125" style="3" customWidth="1"/>
    <col min="1120" max="1120" width="15.6640625" style="3" bestFit="1" customWidth="1"/>
    <col min="1121" max="1121" width="14.109375" style="3" bestFit="1" customWidth="1"/>
    <col min="1122" max="1122" width="14.109375" style="3" customWidth="1"/>
    <col min="1123" max="1123" width="14.109375" style="3" bestFit="1" customWidth="1"/>
    <col min="1124" max="1125" width="13.109375" style="3" bestFit="1" customWidth="1"/>
    <col min="1126" max="1126" width="14" style="3" customWidth="1"/>
    <col min="1127" max="1127" width="13.109375" style="3" customWidth="1"/>
    <col min="1128" max="1128" width="16.44140625" style="3" customWidth="1"/>
    <col min="1129" max="1129" width="18.5546875" style="3" customWidth="1"/>
    <col min="1130" max="1130" width="8.109375" style="3" bestFit="1" customWidth="1"/>
    <col min="1131" max="1373" width="58.33203125" style="3"/>
    <col min="1374" max="1374" width="9" style="3" customWidth="1"/>
    <col min="1375" max="1375" width="60.33203125" style="3" customWidth="1"/>
    <col min="1376" max="1376" width="15.6640625" style="3" bestFit="1" customWidth="1"/>
    <col min="1377" max="1377" width="14.109375" style="3" bestFit="1" customWidth="1"/>
    <col min="1378" max="1378" width="14.109375" style="3" customWidth="1"/>
    <col min="1379" max="1379" width="14.109375" style="3" bestFit="1" customWidth="1"/>
    <col min="1380" max="1381" width="13.109375" style="3" bestFit="1" customWidth="1"/>
    <col min="1382" max="1382" width="14" style="3" customWidth="1"/>
    <col min="1383" max="1383" width="13.109375" style="3" customWidth="1"/>
    <col min="1384" max="1384" width="16.44140625" style="3" customWidth="1"/>
    <col min="1385" max="1385" width="18.5546875" style="3" customWidth="1"/>
    <col min="1386" max="1386" width="8.109375" style="3" bestFit="1" customWidth="1"/>
    <col min="1387" max="1629" width="58.33203125" style="3"/>
    <col min="1630" max="1630" width="9" style="3" customWidth="1"/>
    <col min="1631" max="1631" width="60.33203125" style="3" customWidth="1"/>
    <col min="1632" max="1632" width="15.6640625" style="3" bestFit="1" customWidth="1"/>
    <col min="1633" max="1633" width="14.109375" style="3" bestFit="1" customWidth="1"/>
    <col min="1634" max="1634" width="14.109375" style="3" customWidth="1"/>
    <col min="1635" max="1635" width="14.109375" style="3" bestFit="1" customWidth="1"/>
    <col min="1636" max="1637" width="13.109375" style="3" bestFit="1" customWidth="1"/>
    <col min="1638" max="1638" width="14" style="3" customWidth="1"/>
    <col min="1639" max="1639" width="13.109375" style="3" customWidth="1"/>
    <col min="1640" max="1640" width="16.44140625" style="3" customWidth="1"/>
    <col min="1641" max="1641" width="18.5546875" style="3" customWidth="1"/>
    <col min="1642" max="1642" width="8.109375" style="3" bestFit="1" customWidth="1"/>
    <col min="1643" max="1885" width="58.33203125" style="3"/>
    <col min="1886" max="1886" width="9" style="3" customWidth="1"/>
    <col min="1887" max="1887" width="60.33203125" style="3" customWidth="1"/>
    <col min="1888" max="1888" width="15.6640625" style="3" bestFit="1" customWidth="1"/>
    <col min="1889" max="1889" width="14.109375" style="3" bestFit="1" customWidth="1"/>
    <col min="1890" max="1890" width="14.109375" style="3" customWidth="1"/>
    <col min="1891" max="1891" width="14.109375" style="3" bestFit="1" customWidth="1"/>
    <col min="1892" max="1893" width="13.109375" style="3" bestFit="1" customWidth="1"/>
    <col min="1894" max="1894" width="14" style="3" customWidth="1"/>
    <col min="1895" max="1895" width="13.109375" style="3" customWidth="1"/>
    <col min="1896" max="1896" width="16.44140625" style="3" customWidth="1"/>
    <col min="1897" max="1897" width="18.5546875" style="3" customWidth="1"/>
    <col min="1898" max="1898" width="8.109375" style="3" bestFit="1" customWidth="1"/>
    <col min="1899" max="2141" width="58.33203125" style="3"/>
    <col min="2142" max="2142" width="9" style="3" customWidth="1"/>
    <col min="2143" max="2143" width="60.33203125" style="3" customWidth="1"/>
    <col min="2144" max="2144" width="15.6640625" style="3" bestFit="1" customWidth="1"/>
    <col min="2145" max="2145" width="14.109375" style="3" bestFit="1" customWidth="1"/>
    <col min="2146" max="2146" width="14.109375" style="3" customWidth="1"/>
    <col min="2147" max="2147" width="14.109375" style="3" bestFit="1" customWidth="1"/>
    <col min="2148" max="2149" width="13.109375" style="3" bestFit="1" customWidth="1"/>
    <col min="2150" max="2150" width="14" style="3" customWidth="1"/>
    <col min="2151" max="2151" width="13.109375" style="3" customWidth="1"/>
    <col min="2152" max="2152" width="16.44140625" style="3" customWidth="1"/>
    <col min="2153" max="2153" width="18.5546875" style="3" customWidth="1"/>
    <col min="2154" max="2154" width="8.109375" style="3" bestFit="1" customWidth="1"/>
    <col min="2155" max="2397" width="58.33203125" style="3"/>
    <col min="2398" max="2398" width="9" style="3" customWidth="1"/>
    <col min="2399" max="2399" width="60.33203125" style="3" customWidth="1"/>
    <col min="2400" max="2400" width="15.6640625" style="3" bestFit="1" customWidth="1"/>
    <col min="2401" max="2401" width="14.109375" style="3" bestFit="1" customWidth="1"/>
    <col min="2402" max="2402" width="14.109375" style="3" customWidth="1"/>
    <col min="2403" max="2403" width="14.109375" style="3" bestFit="1" customWidth="1"/>
    <col min="2404" max="2405" width="13.109375" style="3" bestFit="1" customWidth="1"/>
    <col min="2406" max="2406" width="14" style="3" customWidth="1"/>
    <col min="2407" max="2407" width="13.109375" style="3" customWidth="1"/>
    <col min="2408" max="2408" width="16.44140625" style="3" customWidth="1"/>
    <col min="2409" max="2409" width="18.5546875" style="3" customWidth="1"/>
    <col min="2410" max="2410" width="8.109375" style="3" bestFit="1" customWidth="1"/>
    <col min="2411" max="2653" width="58.33203125" style="3"/>
    <col min="2654" max="2654" width="9" style="3" customWidth="1"/>
    <col min="2655" max="2655" width="60.33203125" style="3" customWidth="1"/>
    <col min="2656" max="2656" width="15.6640625" style="3" bestFit="1" customWidth="1"/>
    <col min="2657" max="2657" width="14.109375" style="3" bestFit="1" customWidth="1"/>
    <col min="2658" max="2658" width="14.109375" style="3" customWidth="1"/>
    <col min="2659" max="2659" width="14.109375" style="3" bestFit="1" customWidth="1"/>
    <col min="2660" max="2661" width="13.109375" style="3" bestFit="1" customWidth="1"/>
    <col min="2662" max="2662" width="14" style="3" customWidth="1"/>
    <col min="2663" max="2663" width="13.109375" style="3" customWidth="1"/>
    <col min="2664" max="2664" width="16.44140625" style="3" customWidth="1"/>
    <col min="2665" max="2665" width="18.5546875" style="3" customWidth="1"/>
    <col min="2666" max="2666" width="8.109375" style="3" bestFit="1" customWidth="1"/>
    <col min="2667" max="2909" width="58.33203125" style="3"/>
    <col min="2910" max="2910" width="9" style="3" customWidth="1"/>
    <col min="2911" max="2911" width="60.33203125" style="3" customWidth="1"/>
    <col min="2912" max="2912" width="15.6640625" style="3" bestFit="1" customWidth="1"/>
    <col min="2913" max="2913" width="14.109375" style="3" bestFit="1" customWidth="1"/>
    <col min="2914" max="2914" width="14.109375" style="3" customWidth="1"/>
    <col min="2915" max="2915" width="14.109375" style="3" bestFit="1" customWidth="1"/>
    <col min="2916" max="2917" width="13.109375" style="3" bestFit="1" customWidth="1"/>
    <col min="2918" max="2918" width="14" style="3" customWidth="1"/>
    <col min="2919" max="2919" width="13.109375" style="3" customWidth="1"/>
    <col min="2920" max="2920" width="16.44140625" style="3" customWidth="1"/>
    <col min="2921" max="2921" width="18.5546875" style="3" customWidth="1"/>
    <col min="2922" max="2922" width="8.109375" style="3" bestFit="1" customWidth="1"/>
    <col min="2923" max="3165" width="58.33203125" style="3"/>
    <col min="3166" max="3166" width="9" style="3" customWidth="1"/>
    <col min="3167" max="3167" width="60.33203125" style="3" customWidth="1"/>
    <col min="3168" max="3168" width="15.6640625" style="3" bestFit="1" customWidth="1"/>
    <col min="3169" max="3169" width="14.109375" style="3" bestFit="1" customWidth="1"/>
    <col min="3170" max="3170" width="14.109375" style="3" customWidth="1"/>
    <col min="3171" max="3171" width="14.109375" style="3" bestFit="1" customWidth="1"/>
    <col min="3172" max="3173" width="13.109375" style="3" bestFit="1" customWidth="1"/>
    <col min="3174" max="3174" width="14" style="3" customWidth="1"/>
    <col min="3175" max="3175" width="13.109375" style="3" customWidth="1"/>
    <col min="3176" max="3176" width="16.44140625" style="3" customWidth="1"/>
    <col min="3177" max="3177" width="18.5546875" style="3" customWidth="1"/>
    <col min="3178" max="3178" width="8.109375" style="3" bestFit="1" customWidth="1"/>
    <col min="3179" max="3421" width="58.33203125" style="3"/>
    <col min="3422" max="3422" width="9" style="3" customWidth="1"/>
    <col min="3423" max="3423" width="60.33203125" style="3" customWidth="1"/>
    <col min="3424" max="3424" width="15.6640625" style="3" bestFit="1" customWidth="1"/>
    <col min="3425" max="3425" width="14.109375" style="3" bestFit="1" customWidth="1"/>
    <col min="3426" max="3426" width="14.109375" style="3" customWidth="1"/>
    <col min="3427" max="3427" width="14.109375" style="3" bestFit="1" customWidth="1"/>
    <col min="3428" max="3429" width="13.109375" style="3" bestFit="1" customWidth="1"/>
    <col min="3430" max="3430" width="14" style="3" customWidth="1"/>
    <col min="3431" max="3431" width="13.109375" style="3" customWidth="1"/>
    <col min="3432" max="3432" width="16.44140625" style="3" customWidth="1"/>
    <col min="3433" max="3433" width="18.5546875" style="3" customWidth="1"/>
    <col min="3434" max="3434" width="8.109375" style="3" bestFit="1" customWidth="1"/>
    <col min="3435" max="3677" width="58.33203125" style="3"/>
    <col min="3678" max="3678" width="9" style="3" customWidth="1"/>
    <col min="3679" max="3679" width="60.33203125" style="3" customWidth="1"/>
    <col min="3680" max="3680" width="15.6640625" style="3" bestFit="1" customWidth="1"/>
    <col min="3681" max="3681" width="14.109375" style="3" bestFit="1" customWidth="1"/>
    <col min="3682" max="3682" width="14.109375" style="3" customWidth="1"/>
    <col min="3683" max="3683" width="14.109375" style="3" bestFit="1" customWidth="1"/>
    <col min="3684" max="3685" width="13.109375" style="3" bestFit="1" customWidth="1"/>
    <col min="3686" max="3686" width="14" style="3" customWidth="1"/>
    <col min="3687" max="3687" width="13.109375" style="3" customWidth="1"/>
    <col min="3688" max="3688" width="16.44140625" style="3" customWidth="1"/>
    <col min="3689" max="3689" width="18.5546875" style="3" customWidth="1"/>
    <col min="3690" max="3690" width="8.109375" style="3" bestFit="1" customWidth="1"/>
    <col min="3691" max="3933" width="58.33203125" style="3"/>
    <col min="3934" max="3934" width="9" style="3" customWidth="1"/>
    <col min="3935" max="3935" width="60.33203125" style="3" customWidth="1"/>
    <col min="3936" max="3936" width="15.6640625" style="3" bestFit="1" customWidth="1"/>
    <col min="3937" max="3937" width="14.109375" style="3" bestFit="1" customWidth="1"/>
    <col min="3938" max="3938" width="14.109375" style="3" customWidth="1"/>
    <col min="3939" max="3939" width="14.109375" style="3" bestFit="1" customWidth="1"/>
    <col min="3940" max="3941" width="13.109375" style="3" bestFit="1" customWidth="1"/>
    <col min="3942" max="3942" width="14" style="3" customWidth="1"/>
    <col min="3943" max="3943" width="13.109375" style="3" customWidth="1"/>
    <col min="3944" max="3944" width="16.44140625" style="3" customWidth="1"/>
    <col min="3945" max="3945" width="18.5546875" style="3" customWidth="1"/>
    <col min="3946" max="3946" width="8.109375" style="3" bestFit="1" customWidth="1"/>
    <col min="3947" max="4189" width="58.33203125" style="3"/>
    <col min="4190" max="4190" width="9" style="3" customWidth="1"/>
    <col min="4191" max="4191" width="60.33203125" style="3" customWidth="1"/>
    <col min="4192" max="4192" width="15.6640625" style="3" bestFit="1" customWidth="1"/>
    <col min="4193" max="4193" width="14.109375" style="3" bestFit="1" customWidth="1"/>
    <col min="4194" max="4194" width="14.109375" style="3" customWidth="1"/>
    <col min="4195" max="4195" width="14.109375" style="3" bestFit="1" customWidth="1"/>
    <col min="4196" max="4197" width="13.109375" style="3" bestFit="1" customWidth="1"/>
    <col min="4198" max="4198" width="14" style="3" customWidth="1"/>
    <col min="4199" max="4199" width="13.109375" style="3" customWidth="1"/>
    <col min="4200" max="4200" width="16.44140625" style="3" customWidth="1"/>
    <col min="4201" max="4201" width="18.5546875" style="3" customWidth="1"/>
    <col min="4202" max="4202" width="8.109375" style="3" bestFit="1" customWidth="1"/>
    <col min="4203" max="4445" width="58.33203125" style="3"/>
    <col min="4446" max="4446" width="9" style="3" customWidth="1"/>
    <col min="4447" max="4447" width="60.33203125" style="3" customWidth="1"/>
    <col min="4448" max="4448" width="15.6640625" style="3" bestFit="1" customWidth="1"/>
    <col min="4449" max="4449" width="14.109375" style="3" bestFit="1" customWidth="1"/>
    <col min="4450" max="4450" width="14.109375" style="3" customWidth="1"/>
    <col min="4451" max="4451" width="14.109375" style="3" bestFit="1" customWidth="1"/>
    <col min="4452" max="4453" width="13.109375" style="3" bestFit="1" customWidth="1"/>
    <col min="4454" max="4454" width="14" style="3" customWidth="1"/>
    <col min="4455" max="4455" width="13.109375" style="3" customWidth="1"/>
    <col min="4456" max="4456" width="16.44140625" style="3" customWidth="1"/>
    <col min="4457" max="4457" width="18.5546875" style="3" customWidth="1"/>
    <col min="4458" max="4458" width="8.109375" style="3" bestFit="1" customWidth="1"/>
    <col min="4459" max="4701" width="58.33203125" style="3"/>
    <col min="4702" max="4702" width="9" style="3" customWidth="1"/>
    <col min="4703" max="4703" width="60.33203125" style="3" customWidth="1"/>
    <col min="4704" max="4704" width="15.6640625" style="3" bestFit="1" customWidth="1"/>
    <col min="4705" max="4705" width="14.109375" style="3" bestFit="1" customWidth="1"/>
    <col min="4706" max="4706" width="14.109375" style="3" customWidth="1"/>
    <col min="4707" max="4707" width="14.109375" style="3" bestFit="1" customWidth="1"/>
    <col min="4708" max="4709" width="13.109375" style="3" bestFit="1" customWidth="1"/>
    <col min="4710" max="4710" width="14" style="3" customWidth="1"/>
    <col min="4711" max="4711" width="13.109375" style="3" customWidth="1"/>
    <col min="4712" max="4712" width="16.44140625" style="3" customWidth="1"/>
    <col min="4713" max="4713" width="18.5546875" style="3" customWidth="1"/>
    <col min="4714" max="4714" width="8.109375" style="3" bestFit="1" customWidth="1"/>
    <col min="4715" max="4957" width="58.33203125" style="3"/>
    <col min="4958" max="4958" width="9" style="3" customWidth="1"/>
    <col min="4959" max="4959" width="60.33203125" style="3" customWidth="1"/>
    <col min="4960" max="4960" width="15.6640625" style="3" bestFit="1" customWidth="1"/>
    <col min="4961" max="4961" width="14.109375" style="3" bestFit="1" customWidth="1"/>
    <col min="4962" max="4962" width="14.109375" style="3" customWidth="1"/>
    <col min="4963" max="4963" width="14.109375" style="3" bestFit="1" customWidth="1"/>
    <col min="4964" max="4965" width="13.109375" style="3" bestFit="1" customWidth="1"/>
    <col min="4966" max="4966" width="14" style="3" customWidth="1"/>
    <col min="4967" max="4967" width="13.109375" style="3" customWidth="1"/>
    <col min="4968" max="4968" width="16.44140625" style="3" customWidth="1"/>
    <col min="4969" max="4969" width="18.5546875" style="3" customWidth="1"/>
    <col min="4970" max="4970" width="8.109375" style="3" bestFit="1" customWidth="1"/>
    <col min="4971" max="5213" width="58.33203125" style="3"/>
    <col min="5214" max="5214" width="9" style="3" customWidth="1"/>
    <col min="5215" max="5215" width="60.33203125" style="3" customWidth="1"/>
    <col min="5216" max="5216" width="15.6640625" style="3" bestFit="1" customWidth="1"/>
    <col min="5217" max="5217" width="14.109375" style="3" bestFit="1" customWidth="1"/>
    <col min="5218" max="5218" width="14.109375" style="3" customWidth="1"/>
    <col min="5219" max="5219" width="14.109375" style="3" bestFit="1" customWidth="1"/>
    <col min="5220" max="5221" width="13.109375" style="3" bestFit="1" customWidth="1"/>
    <col min="5222" max="5222" width="14" style="3" customWidth="1"/>
    <col min="5223" max="5223" width="13.109375" style="3" customWidth="1"/>
    <col min="5224" max="5224" width="16.44140625" style="3" customWidth="1"/>
    <col min="5225" max="5225" width="18.5546875" style="3" customWidth="1"/>
    <col min="5226" max="5226" width="8.109375" style="3" bestFit="1" customWidth="1"/>
    <col min="5227" max="5469" width="58.33203125" style="3"/>
    <col min="5470" max="5470" width="9" style="3" customWidth="1"/>
    <col min="5471" max="5471" width="60.33203125" style="3" customWidth="1"/>
    <col min="5472" max="5472" width="15.6640625" style="3" bestFit="1" customWidth="1"/>
    <col min="5473" max="5473" width="14.109375" style="3" bestFit="1" customWidth="1"/>
    <col min="5474" max="5474" width="14.109375" style="3" customWidth="1"/>
    <col min="5475" max="5475" width="14.109375" style="3" bestFit="1" customWidth="1"/>
    <col min="5476" max="5477" width="13.109375" style="3" bestFit="1" customWidth="1"/>
    <col min="5478" max="5478" width="14" style="3" customWidth="1"/>
    <col min="5479" max="5479" width="13.109375" style="3" customWidth="1"/>
    <col min="5480" max="5480" width="16.44140625" style="3" customWidth="1"/>
    <col min="5481" max="5481" width="18.5546875" style="3" customWidth="1"/>
    <col min="5482" max="5482" width="8.109375" style="3" bestFit="1" customWidth="1"/>
    <col min="5483" max="5725" width="58.33203125" style="3"/>
    <col min="5726" max="5726" width="9" style="3" customWidth="1"/>
    <col min="5727" max="5727" width="60.33203125" style="3" customWidth="1"/>
    <col min="5728" max="5728" width="15.6640625" style="3" bestFit="1" customWidth="1"/>
    <col min="5729" max="5729" width="14.109375" style="3" bestFit="1" customWidth="1"/>
    <col min="5730" max="5730" width="14.109375" style="3" customWidth="1"/>
    <col min="5731" max="5731" width="14.109375" style="3" bestFit="1" customWidth="1"/>
    <col min="5732" max="5733" width="13.109375" style="3" bestFit="1" customWidth="1"/>
    <col min="5734" max="5734" width="14" style="3" customWidth="1"/>
    <col min="5735" max="5735" width="13.109375" style="3" customWidth="1"/>
    <col min="5736" max="5736" width="16.44140625" style="3" customWidth="1"/>
    <col min="5737" max="5737" width="18.5546875" style="3" customWidth="1"/>
    <col min="5738" max="5738" width="8.109375" style="3" bestFit="1" customWidth="1"/>
    <col min="5739" max="5981" width="58.33203125" style="3"/>
    <col min="5982" max="5982" width="9" style="3" customWidth="1"/>
    <col min="5983" max="5983" width="60.33203125" style="3" customWidth="1"/>
    <col min="5984" max="5984" width="15.6640625" style="3" bestFit="1" customWidth="1"/>
    <col min="5985" max="5985" width="14.109375" style="3" bestFit="1" customWidth="1"/>
    <col min="5986" max="5986" width="14.109375" style="3" customWidth="1"/>
    <col min="5987" max="5987" width="14.109375" style="3" bestFit="1" customWidth="1"/>
    <col min="5988" max="5989" width="13.109375" style="3" bestFit="1" customWidth="1"/>
    <col min="5990" max="5990" width="14" style="3" customWidth="1"/>
    <col min="5991" max="5991" width="13.109375" style="3" customWidth="1"/>
    <col min="5992" max="5992" width="16.44140625" style="3" customWidth="1"/>
    <col min="5993" max="5993" width="18.5546875" style="3" customWidth="1"/>
    <col min="5994" max="5994" width="8.109375" style="3" bestFit="1" customWidth="1"/>
    <col min="5995" max="6237" width="58.33203125" style="3"/>
    <col min="6238" max="6238" width="9" style="3" customWidth="1"/>
    <col min="6239" max="6239" width="60.33203125" style="3" customWidth="1"/>
    <col min="6240" max="6240" width="15.6640625" style="3" bestFit="1" customWidth="1"/>
    <col min="6241" max="6241" width="14.109375" style="3" bestFit="1" customWidth="1"/>
    <col min="6242" max="6242" width="14.109375" style="3" customWidth="1"/>
    <col min="6243" max="6243" width="14.109375" style="3" bestFit="1" customWidth="1"/>
    <col min="6244" max="6245" width="13.109375" style="3" bestFit="1" customWidth="1"/>
    <col min="6246" max="6246" width="14" style="3" customWidth="1"/>
    <col min="6247" max="6247" width="13.109375" style="3" customWidth="1"/>
    <col min="6248" max="6248" width="16.44140625" style="3" customWidth="1"/>
    <col min="6249" max="6249" width="18.5546875" style="3" customWidth="1"/>
    <col min="6250" max="6250" width="8.109375" style="3" bestFit="1" customWidth="1"/>
    <col min="6251" max="6493" width="58.33203125" style="3"/>
    <col min="6494" max="6494" width="9" style="3" customWidth="1"/>
    <col min="6495" max="6495" width="60.33203125" style="3" customWidth="1"/>
    <col min="6496" max="6496" width="15.6640625" style="3" bestFit="1" customWidth="1"/>
    <col min="6497" max="6497" width="14.109375" style="3" bestFit="1" customWidth="1"/>
    <col min="6498" max="6498" width="14.109375" style="3" customWidth="1"/>
    <col min="6499" max="6499" width="14.109375" style="3" bestFit="1" customWidth="1"/>
    <col min="6500" max="6501" width="13.109375" style="3" bestFit="1" customWidth="1"/>
    <col min="6502" max="6502" width="14" style="3" customWidth="1"/>
    <col min="6503" max="6503" width="13.109375" style="3" customWidth="1"/>
    <col min="6504" max="6504" width="16.44140625" style="3" customWidth="1"/>
    <col min="6505" max="6505" width="18.5546875" style="3" customWidth="1"/>
    <col min="6506" max="6506" width="8.109375" style="3" bestFit="1" customWidth="1"/>
    <col min="6507" max="6749" width="58.33203125" style="3"/>
    <col min="6750" max="6750" width="9" style="3" customWidth="1"/>
    <col min="6751" max="6751" width="60.33203125" style="3" customWidth="1"/>
    <col min="6752" max="6752" width="15.6640625" style="3" bestFit="1" customWidth="1"/>
    <col min="6753" max="6753" width="14.109375" style="3" bestFit="1" customWidth="1"/>
    <col min="6754" max="6754" width="14.109375" style="3" customWidth="1"/>
    <col min="6755" max="6755" width="14.109375" style="3" bestFit="1" customWidth="1"/>
    <col min="6756" max="6757" width="13.109375" style="3" bestFit="1" customWidth="1"/>
    <col min="6758" max="6758" width="14" style="3" customWidth="1"/>
    <col min="6759" max="6759" width="13.109375" style="3" customWidth="1"/>
    <col min="6760" max="6760" width="16.44140625" style="3" customWidth="1"/>
    <col min="6761" max="6761" width="18.5546875" style="3" customWidth="1"/>
    <col min="6762" max="6762" width="8.109375" style="3" bestFit="1" customWidth="1"/>
    <col min="6763" max="7005" width="58.33203125" style="3"/>
    <col min="7006" max="7006" width="9" style="3" customWidth="1"/>
    <col min="7007" max="7007" width="60.33203125" style="3" customWidth="1"/>
    <col min="7008" max="7008" width="15.6640625" style="3" bestFit="1" customWidth="1"/>
    <col min="7009" max="7009" width="14.109375" style="3" bestFit="1" customWidth="1"/>
    <col min="7010" max="7010" width="14.109375" style="3" customWidth="1"/>
    <col min="7011" max="7011" width="14.109375" style="3" bestFit="1" customWidth="1"/>
    <col min="7012" max="7013" width="13.109375" style="3" bestFit="1" customWidth="1"/>
    <col min="7014" max="7014" width="14" style="3" customWidth="1"/>
    <col min="7015" max="7015" width="13.109375" style="3" customWidth="1"/>
    <col min="7016" max="7016" width="16.44140625" style="3" customWidth="1"/>
    <col min="7017" max="7017" width="18.5546875" style="3" customWidth="1"/>
    <col min="7018" max="7018" width="8.109375" style="3" bestFit="1" customWidth="1"/>
    <col min="7019" max="7261" width="58.33203125" style="3"/>
    <col min="7262" max="7262" width="9" style="3" customWidth="1"/>
    <col min="7263" max="7263" width="60.33203125" style="3" customWidth="1"/>
    <col min="7264" max="7264" width="15.6640625" style="3" bestFit="1" customWidth="1"/>
    <col min="7265" max="7265" width="14.109375" style="3" bestFit="1" customWidth="1"/>
    <col min="7266" max="7266" width="14.109375" style="3" customWidth="1"/>
    <col min="7267" max="7267" width="14.109375" style="3" bestFit="1" customWidth="1"/>
    <col min="7268" max="7269" width="13.109375" style="3" bestFit="1" customWidth="1"/>
    <col min="7270" max="7270" width="14" style="3" customWidth="1"/>
    <col min="7271" max="7271" width="13.109375" style="3" customWidth="1"/>
    <col min="7272" max="7272" width="16.44140625" style="3" customWidth="1"/>
    <col min="7273" max="7273" width="18.5546875" style="3" customWidth="1"/>
    <col min="7274" max="7274" width="8.109375" style="3" bestFit="1" customWidth="1"/>
    <col min="7275" max="7517" width="58.33203125" style="3"/>
    <col min="7518" max="7518" width="9" style="3" customWidth="1"/>
    <col min="7519" max="7519" width="60.33203125" style="3" customWidth="1"/>
    <col min="7520" max="7520" width="15.6640625" style="3" bestFit="1" customWidth="1"/>
    <col min="7521" max="7521" width="14.109375" style="3" bestFit="1" customWidth="1"/>
    <col min="7522" max="7522" width="14.109375" style="3" customWidth="1"/>
    <col min="7523" max="7523" width="14.109375" style="3" bestFit="1" customWidth="1"/>
    <col min="7524" max="7525" width="13.109375" style="3" bestFit="1" customWidth="1"/>
    <col min="7526" max="7526" width="14" style="3" customWidth="1"/>
    <col min="7527" max="7527" width="13.109375" style="3" customWidth="1"/>
    <col min="7528" max="7528" width="16.44140625" style="3" customWidth="1"/>
    <col min="7529" max="7529" width="18.5546875" style="3" customWidth="1"/>
    <col min="7530" max="7530" width="8.109375" style="3" bestFit="1" customWidth="1"/>
    <col min="7531" max="7773" width="58.33203125" style="3"/>
    <col min="7774" max="7774" width="9" style="3" customWidth="1"/>
    <col min="7775" max="7775" width="60.33203125" style="3" customWidth="1"/>
    <col min="7776" max="7776" width="15.6640625" style="3" bestFit="1" customWidth="1"/>
    <col min="7777" max="7777" width="14.109375" style="3" bestFit="1" customWidth="1"/>
    <col min="7778" max="7778" width="14.109375" style="3" customWidth="1"/>
    <col min="7779" max="7779" width="14.109375" style="3" bestFit="1" customWidth="1"/>
    <col min="7780" max="7781" width="13.109375" style="3" bestFit="1" customWidth="1"/>
    <col min="7782" max="7782" width="14" style="3" customWidth="1"/>
    <col min="7783" max="7783" width="13.109375" style="3" customWidth="1"/>
    <col min="7784" max="7784" width="16.44140625" style="3" customWidth="1"/>
    <col min="7785" max="7785" width="18.5546875" style="3" customWidth="1"/>
    <col min="7786" max="7786" width="8.109375" style="3" bestFit="1" customWidth="1"/>
    <col min="7787" max="8029" width="58.33203125" style="3"/>
    <col min="8030" max="8030" width="9" style="3" customWidth="1"/>
    <col min="8031" max="8031" width="60.33203125" style="3" customWidth="1"/>
    <col min="8032" max="8032" width="15.6640625" style="3" bestFit="1" customWidth="1"/>
    <col min="8033" max="8033" width="14.109375" style="3" bestFit="1" customWidth="1"/>
    <col min="8034" max="8034" width="14.109375" style="3" customWidth="1"/>
    <col min="8035" max="8035" width="14.109375" style="3" bestFit="1" customWidth="1"/>
    <col min="8036" max="8037" width="13.109375" style="3" bestFit="1" customWidth="1"/>
    <col min="8038" max="8038" width="14" style="3" customWidth="1"/>
    <col min="8039" max="8039" width="13.109375" style="3" customWidth="1"/>
    <col min="8040" max="8040" width="16.44140625" style="3" customWidth="1"/>
    <col min="8041" max="8041" width="18.5546875" style="3" customWidth="1"/>
    <col min="8042" max="8042" width="8.109375" style="3" bestFit="1" customWidth="1"/>
    <col min="8043" max="8285" width="58.33203125" style="3"/>
    <col min="8286" max="8286" width="9" style="3" customWidth="1"/>
    <col min="8287" max="8287" width="60.33203125" style="3" customWidth="1"/>
    <col min="8288" max="8288" width="15.6640625" style="3" bestFit="1" customWidth="1"/>
    <col min="8289" max="8289" width="14.109375" style="3" bestFit="1" customWidth="1"/>
    <col min="8290" max="8290" width="14.109375" style="3" customWidth="1"/>
    <col min="8291" max="8291" width="14.109375" style="3" bestFit="1" customWidth="1"/>
    <col min="8292" max="8293" width="13.109375" style="3" bestFit="1" customWidth="1"/>
    <col min="8294" max="8294" width="14" style="3" customWidth="1"/>
    <col min="8295" max="8295" width="13.109375" style="3" customWidth="1"/>
    <col min="8296" max="8296" width="16.44140625" style="3" customWidth="1"/>
    <col min="8297" max="8297" width="18.5546875" style="3" customWidth="1"/>
    <col min="8298" max="8298" width="8.109375" style="3" bestFit="1" customWidth="1"/>
    <col min="8299" max="8541" width="58.33203125" style="3"/>
    <col min="8542" max="8542" width="9" style="3" customWidth="1"/>
    <col min="8543" max="8543" width="60.33203125" style="3" customWidth="1"/>
    <col min="8544" max="8544" width="15.6640625" style="3" bestFit="1" customWidth="1"/>
    <col min="8545" max="8545" width="14.109375" style="3" bestFit="1" customWidth="1"/>
    <col min="8546" max="8546" width="14.109375" style="3" customWidth="1"/>
    <col min="8547" max="8547" width="14.109375" style="3" bestFit="1" customWidth="1"/>
    <col min="8548" max="8549" width="13.109375" style="3" bestFit="1" customWidth="1"/>
    <col min="8550" max="8550" width="14" style="3" customWidth="1"/>
    <col min="8551" max="8551" width="13.109375" style="3" customWidth="1"/>
    <col min="8552" max="8552" width="16.44140625" style="3" customWidth="1"/>
    <col min="8553" max="8553" width="18.5546875" style="3" customWidth="1"/>
    <col min="8554" max="8554" width="8.109375" style="3" bestFit="1" customWidth="1"/>
    <col min="8555" max="8797" width="58.33203125" style="3"/>
    <col min="8798" max="8798" width="9" style="3" customWidth="1"/>
    <col min="8799" max="8799" width="60.33203125" style="3" customWidth="1"/>
    <col min="8800" max="8800" width="15.6640625" style="3" bestFit="1" customWidth="1"/>
    <col min="8801" max="8801" width="14.109375" style="3" bestFit="1" customWidth="1"/>
    <col min="8802" max="8802" width="14.109375" style="3" customWidth="1"/>
    <col min="8803" max="8803" width="14.109375" style="3" bestFit="1" customWidth="1"/>
    <col min="8804" max="8805" width="13.109375" style="3" bestFit="1" customWidth="1"/>
    <col min="8806" max="8806" width="14" style="3" customWidth="1"/>
    <col min="8807" max="8807" width="13.109375" style="3" customWidth="1"/>
    <col min="8808" max="8808" width="16.44140625" style="3" customWidth="1"/>
    <col min="8809" max="8809" width="18.5546875" style="3" customWidth="1"/>
    <col min="8810" max="8810" width="8.109375" style="3" bestFit="1" customWidth="1"/>
    <col min="8811" max="9053" width="58.33203125" style="3"/>
    <col min="9054" max="9054" width="9" style="3" customWidth="1"/>
    <col min="9055" max="9055" width="60.33203125" style="3" customWidth="1"/>
    <col min="9056" max="9056" width="15.6640625" style="3" bestFit="1" customWidth="1"/>
    <col min="9057" max="9057" width="14.109375" style="3" bestFit="1" customWidth="1"/>
    <col min="9058" max="9058" width="14.109375" style="3" customWidth="1"/>
    <col min="9059" max="9059" width="14.109375" style="3" bestFit="1" customWidth="1"/>
    <col min="9060" max="9061" width="13.109375" style="3" bestFit="1" customWidth="1"/>
    <col min="9062" max="9062" width="14" style="3" customWidth="1"/>
    <col min="9063" max="9063" width="13.109375" style="3" customWidth="1"/>
    <col min="9064" max="9064" width="16.44140625" style="3" customWidth="1"/>
    <col min="9065" max="9065" width="18.5546875" style="3" customWidth="1"/>
    <col min="9066" max="9066" width="8.109375" style="3" bestFit="1" customWidth="1"/>
    <col min="9067" max="9309" width="58.33203125" style="3"/>
    <col min="9310" max="9310" width="9" style="3" customWidth="1"/>
    <col min="9311" max="9311" width="60.33203125" style="3" customWidth="1"/>
    <col min="9312" max="9312" width="15.6640625" style="3" bestFit="1" customWidth="1"/>
    <col min="9313" max="9313" width="14.109375" style="3" bestFit="1" customWidth="1"/>
    <col min="9314" max="9314" width="14.109375" style="3" customWidth="1"/>
    <col min="9315" max="9315" width="14.109375" style="3" bestFit="1" customWidth="1"/>
    <col min="9316" max="9317" width="13.109375" style="3" bestFit="1" customWidth="1"/>
    <col min="9318" max="9318" width="14" style="3" customWidth="1"/>
    <col min="9319" max="9319" width="13.109375" style="3" customWidth="1"/>
    <col min="9320" max="9320" width="16.44140625" style="3" customWidth="1"/>
    <col min="9321" max="9321" width="18.5546875" style="3" customWidth="1"/>
    <col min="9322" max="9322" width="8.109375" style="3" bestFit="1" customWidth="1"/>
    <col min="9323" max="9565" width="58.33203125" style="3"/>
    <col min="9566" max="9566" width="9" style="3" customWidth="1"/>
    <col min="9567" max="9567" width="60.33203125" style="3" customWidth="1"/>
    <col min="9568" max="9568" width="15.6640625" style="3" bestFit="1" customWidth="1"/>
    <col min="9569" max="9569" width="14.109375" style="3" bestFit="1" customWidth="1"/>
    <col min="9570" max="9570" width="14.109375" style="3" customWidth="1"/>
    <col min="9571" max="9571" width="14.109375" style="3" bestFit="1" customWidth="1"/>
    <col min="9572" max="9573" width="13.109375" style="3" bestFit="1" customWidth="1"/>
    <col min="9574" max="9574" width="14" style="3" customWidth="1"/>
    <col min="9575" max="9575" width="13.109375" style="3" customWidth="1"/>
    <col min="9576" max="9576" width="16.44140625" style="3" customWidth="1"/>
    <col min="9577" max="9577" width="18.5546875" style="3" customWidth="1"/>
    <col min="9578" max="9578" width="8.109375" style="3" bestFit="1" customWidth="1"/>
    <col min="9579" max="9821" width="58.33203125" style="3"/>
    <col min="9822" max="9822" width="9" style="3" customWidth="1"/>
    <col min="9823" max="9823" width="60.33203125" style="3" customWidth="1"/>
    <col min="9824" max="9824" width="15.6640625" style="3" bestFit="1" customWidth="1"/>
    <col min="9825" max="9825" width="14.109375" style="3" bestFit="1" customWidth="1"/>
    <col min="9826" max="9826" width="14.109375" style="3" customWidth="1"/>
    <col min="9827" max="9827" width="14.109375" style="3" bestFit="1" customWidth="1"/>
    <col min="9828" max="9829" width="13.109375" style="3" bestFit="1" customWidth="1"/>
    <col min="9830" max="9830" width="14" style="3" customWidth="1"/>
    <col min="9831" max="9831" width="13.109375" style="3" customWidth="1"/>
    <col min="9832" max="9832" width="16.44140625" style="3" customWidth="1"/>
    <col min="9833" max="9833" width="18.5546875" style="3" customWidth="1"/>
    <col min="9834" max="9834" width="8.109375" style="3" bestFit="1" customWidth="1"/>
    <col min="9835" max="10077" width="58.33203125" style="3"/>
    <col min="10078" max="10078" width="9" style="3" customWidth="1"/>
    <col min="10079" max="10079" width="60.33203125" style="3" customWidth="1"/>
    <col min="10080" max="10080" width="15.6640625" style="3" bestFit="1" customWidth="1"/>
    <col min="10081" max="10081" width="14.109375" style="3" bestFit="1" customWidth="1"/>
    <col min="10082" max="10082" width="14.109375" style="3" customWidth="1"/>
    <col min="10083" max="10083" width="14.109375" style="3" bestFit="1" customWidth="1"/>
    <col min="10084" max="10085" width="13.109375" style="3" bestFit="1" customWidth="1"/>
    <col min="10086" max="10086" width="14" style="3" customWidth="1"/>
    <col min="10087" max="10087" width="13.109375" style="3" customWidth="1"/>
    <col min="10088" max="10088" width="16.44140625" style="3" customWidth="1"/>
    <col min="10089" max="10089" width="18.5546875" style="3" customWidth="1"/>
    <col min="10090" max="10090" width="8.109375" style="3" bestFit="1" customWidth="1"/>
    <col min="10091" max="10333" width="58.33203125" style="3"/>
    <col min="10334" max="10334" width="9" style="3" customWidth="1"/>
    <col min="10335" max="10335" width="60.33203125" style="3" customWidth="1"/>
    <col min="10336" max="10336" width="15.6640625" style="3" bestFit="1" customWidth="1"/>
    <col min="10337" max="10337" width="14.109375" style="3" bestFit="1" customWidth="1"/>
    <col min="10338" max="10338" width="14.109375" style="3" customWidth="1"/>
    <col min="10339" max="10339" width="14.109375" style="3" bestFit="1" customWidth="1"/>
    <col min="10340" max="10341" width="13.109375" style="3" bestFit="1" customWidth="1"/>
    <col min="10342" max="10342" width="14" style="3" customWidth="1"/>
    <col min="10343" max="10343" width="13.109375" style="3" customWidth="1"/>
    <col min="10344" max="10344" width="16.44140625" style="3" customWidth="1"/>
    <col min="10345" max="10345" width="18.5546875" style="3" customWidth="1"/>
    <col min="10346" max="10346" width="8.109375" style="3" bestFit="1" customWidth="1"/>
    <col min="10347" max="10589" width="58.33203125" style="3"/>
    <col min="10590" max="10590" width="9" style="3" customWidth="1"/>
    <col min="10591" max="10591" width="60.33203125" style="3" customWidth="1"/>
    <col min="10592" max="10592" width="15.6640625" style="3" bestFit="1" customWidth="1"/>
    <col min="10593" max="10593" width="14.109375" style="3" bestFit="1" customWidth="1"/>
    <col min="10594" max="10594" width="14.109375" style="3" customWidth="1"/>
    <col min="10595" max="10595" width="14.109375" style="3" bestFit="1" customWidth="1"/>
    <col min="10596" max="10597" width="13.109375" style="3" bestFit="1" customWidth="1"/>
    <col min="10598" max="10598" width="14" style="3" customWidth="1"/>
    <col min="10599" max="10599" width="13.109375" style="3" customWidth="1"/>
    <col min="10600" max="10600" width="16.44140625" style="3" customWidth="1"/>
    <col min="10601" max="10601" width="18.5546875" style="3" customWidth="1"/>
    <col min="10602" max="10602" width="8.109375" style="3" bestFit="1" customWidth="1"/>
    <col min="10603" max="10845" width="58.33203125" style="3"/>
    <col min="10846" max="10846" width="9" style="3" customWidth="1"/>
    <col min="10847" max="10847" width="60.33203125" style="3" customWidth="1"/>
    <col min="10848" max="10848" width="15.6640625" style="3" bestFit="1" customWidth="1"/>
    <col min="10849" max="10849" width="14.109375" style="3" bestFit="1" customWidth="1"/>
    <col min="10850" max="10850" width="14.109375" style="3" customWidth="1"/>
    <col min="10851" max="10851" width="14.109375" style="3" bestFit="1" customWidth="1"/>
    <col min="10852" max="10853" width="13.109375" style="3" bestFit="1" customWidth="1"/>
    <col min="10854" max="10854" width="14" style="3" customWidth="1"/>
    <col min="10855" max="10855" width="13.109375" style="3" customWidth="1"/>
    <col min="10856" max="10856" width="16.44140625" style="3" customWidth="1"/>
    <col min="10857" max="10857" width="18.5546875" style="3" customWidth="1"/>
    <col min="10858" max="10858" width="8.109375" style="3" bestFit="1" customWidth="1"/>
    <col min="10859" max="11101" width="58.33203125" style="3"/>
    <col min="11102" max="11102" width="9" style="3" customWidth="1"/>
    <col min="11103" max="11103" width="60.33203125" style="3" customWidth="1"/>
    <col min="11104" max="11104" width="15.6640625" style="3" bestFit="1" customWidth="1"/>
    <col min="11105" max="11105" width="14.109375" style="3" bestFit="1" customWidth="1"/>
    <col min="11106" max="11106" width="14.109375" style="3" customWidth="1"/>
    <col min="11107" max="11107" width="14.109375" style="3" bestFit="1" customWidth="1"/>
    <col min="11108" max="11109" width="13.109375" style="3" bestFit="1" customWidth="1"/>
    <col min="11110" max="11110" width="14" style="3" customWidth="1"/>
    <col min="11111" max="11111" width="13.109375" style="3" customWidth="1"/>
    <col min="11112" max="11112" width="16.44140625" style="3" customWidth="1"/>
    <col min="11113" max="11113" width="18.5546875" style="3" customWidth="1"/>
    <col min="11114" max="11114" width="8.109375" style="3" bestFit="1" customWidth="1"/>
    <col min="11115" max="11357" width="58.33203125" style="3"/>
    <col min="11358" max="11358" width="9" style="3" customWidth="1"/>
    <col min="11359" max="11359" width="60.33203125" style="3" customWidth="1"/>
    <col min="11360" max="11360" width="15.6640625" style="3" bestFit="1" customWidth="1"/>
    <col min="11361" max="11361" width="14.109375" style="3" bestFit="1" customWidth="1"/>
    <col min="11362" max="11362" width="14.109375" style="3" customWidth="1"/>
    <col min="11363" max="11363" width="14.109375" style="3" bestFit="1" customWidth="1"/>
    <col min="11364" max="11365" width="13.109375" style="3" bestFit="1" customWidth="1"/>
    <col min="11366" max="11366" width="14" style="3" customWidth="1"/>
    <col min="11367" max="11367" width="13.109375" style="3" customWidth="1"/>
    <col min="11368" max="11368" width="16.44140625" style="3" customWidth="1"/>
    <col min="11369" max="11369" width="18.5546875" style="3" customWidth="1"/>
    <col min="11370" max="11370" width="8.109375" style="3" bestFit="1" customWidth="1"/>
    <col min="11371" max="11613" width="58.33203125" style="3"/>
    <col min="11614" max="11614" width="9" style="3" customWidth="1"/>
    <col min="11615" max="11615" width="60.33203125" style="3" customWidth="1"/>
    <col min="11616" max="11616" width="15.6640625" style="3" bestFit="1" customWidth="1"/>
    <col min="11617" max="11617" width="14.109375" style="3" bestFit="1" customWidth="1"/>
    <col min="11618" max="11618" width="14.109375" style="3" customWidth="1"/>
    <col min="11619" max="11619" width="14.109375" style="3" bestFit="1" customWidth="1"/>
    <col min="11620" max="11621" width="13.109375" style="3" bestFit="1" customWidth="1"/>
    <col min="11622" max="11622" width="14" style="3" customWidth="1"/>
    <col min="11623" max="11623" width="13.109375" style="3" customWidth="1"/>
    <col min="11624" max="11624" width="16.44140625" style="3" customWidth="1"/>
    <col min="11625" max="11625" width="18.5546875" style="3" customWidth="1"/>
    <col min="11626" max="11626" width="8.109375" style="3" bestFit="1" customWidth="1"/>
    <col min="11627" max="11869" width="58.33203125" style="3"/>
    <col min="11870" max="11870" width="9" style="3" customWidth="1"/>
    <col min="11871" max="11871" width="60.33203125" style="3" customWidth="1"/>
    <col min="11872" max="11872" width="15.6640625" style="3" bestFit="1" customWidth="1"/>
    <col min="11873" max="11873" width="14.109375" style="3" bestFit="1" customWidth="1"/>
    <col min="11874" max="11874" width="14.109375" style="3" customWidth="1"/>
    <col min="11875" max="11875" width="14.109375" style="3" bestFit="1" customWidth="1"/>
    <col min="11876" max="11877" width="13.109375" style="3" bestFit="1" customWidth="1"/>
    <col min="11878" max="11878" width="14" style="3" customWidth="1"/>
    <col min="11879" max="11879" width="13.109375" style="3" customWidth="1"/>
    <col min="11880" max="11880" width="16.44140625" style="3" customWidth="1"/>
    <col min="11881" max="11881" width="18.5546875" style="3" customWidth="1"/>
    <col min="11882" max="11882" width="8.109375" style="3" bestFit="1" customWidth="1"/>
    <col min="11883" max="12125" width="58.33203125" style="3"/>
    <col min="12126" max="12126" width="9" style="3" customWidth="1"/>
    <col min="12127" max="12127" width="60.33203125" style="3" customWidth="1"/>
    <col min="12128" max="12128" width="15.6640625" style="3" bestFit="1" customWidth="1"/>
    <col min="12129" max="12129" width="14.109375" style="3" bestFit="1" customWidth="1"/>
    <col min="12130" max="12130" width="14.109375" style="3" customWidth="1"/>
    <col min="12131" max="12131" width="14.109375" style="3" bestFit="1" customWidth="1"/>
    <col min="12132" max="12133" width="13.109375" style="3" bestFit="1" customWidth="1"/>
    <col min="12134" max="12134" width="14" style="3" customWidth="1"/>
    <col min="12135" max="12135" width="13.109375" style="3" customWidth="1"/>
    <col min="12136" max="12136" width="16.44140625" style="3" customWidth="1"/>
    <col min="12137" max="12137" width="18.5546875" style="3" customWidth="1"/>
    <col min="12138" max="12138" width="8.109375" style="3" bestFit="1" customWidth="1"/>
    <col min="12139" max="12381" width="58.33203125" style="3"/>
    <col min="12382" max="12382" width="9" style="3" customWidth="1"/>
    <col min="12383" max="12383" width="60.33203125" style="3" customWidth="1"/>
    <col min="12384" max="12384" width="15.6640625" style="3" bestFit="1" customWidth="1"/>
    <col min="12385" max="12385" width="14.109375" style="3" bestFit="1" customWidth="1"/>
    <col min="12386" max="12386" width="14.109375" style="3" customWidth="1"/>
    <col min="12387" max="12387" width="14.109375" style="3" bestFit="1" customWidth="1"/>
    <col min="12388" max="12389" width="13.109375" style="3" bestFit="1" customWidth="1"/>
    <col min="12390" max="12390" width="14" style="3" customWidth="1"/>
    <col min="12391" max="12391" width="13.109375" style="3" customWidth="1"/>
    <col min="12392" max="12392" width="16.44140625" style="3" customWidth="1"/>
    <col min="12393" max="12393" width="18.5546875" style="3" customWidth="1"/>
    <col min="12394" max="12394" width="8.109375" style="3" bestFit="1" customWidth="1"/>
    <col min="12395" max="12637" width="58.33203125" style="3"/>
    <col min="12638" max="12638" width="9" style="3" customWidth="1"/>
    <col min="12639" max="12639" width="60.33203125" style="3" customWidth="1"/>
    <col min="12640" max="12640" width="15.6640625" style="3" bestFit="1" customWidth="1"/>
    <col min="12641" max="12641" width="14.109375" style="3" bestFit="1" customWidth="1"/>
    <col min="12642" max="12642" width="14.109375" style="3" customWidth="1"/>
    <col min="12643" max="12643" width="14.109375" style="3" bestFit="1" customWidth="1"/>
    <col min="12644" max="12645" width="13.109375" style="3" bestFit="1" customWidth="1"/>
    <col min="12646" max="12646" width="14" style="3" customWidth="1"/>
    <col min="12647" max="12647" width="13.109375" style="3" customWidth="1"/>
    <col min="12648" max="12648" width="16.44140625" style="3" customWidth="1"/>
    <col min="12649" max="12649" width="18.5546875" style="3" customWidth="1"/>
    <col min="12650" max="12650" width="8.109375" style="3" bestFit="1" customWidth="1"/>
    <col min="12651" max="12893" width="58.33203125" style="3"/>
    <col min="12894" max="12894" width="9" style="3" customWidth="1"/>
    <col min="12895" max="12895" width="60.33203125" style="3" customWidth="1"/>
    <col min="12896" max="12896" width="15.6640625" style="3" bestFit="1" customWidth="1"/>
    <col min="12897" max="12897" width="14.109375" style="3" bestFit="1" customWidth="1"/>
    <col min="12898" max="12898" width="14.109375" style="3" customWidth="1"/>
    <col min="12899" max="12899" width="14.109375" style="3" bestFit="1" customWidth="1"/>
    <col min="12900" max="12901" width="13.109375" style="3" bestFit="1" customWidth="1"/>
    <col min="12902" max="12902" width="14" style="3" customWidth="1"/>
    <col min="12903" max="12903" width="13.109375" style="3" customWidth="1"/>
    <col min="12904" max="12904" width="16.44140625" style="3" customWidth="1"/>
    <col min="12905" max="12905" width="18.5546875" style="3" customWidth="1"/>
    <col min="12906" max="12906" width="8.109375" style="3" bestFit="1" customWidth="1"/>
    <col min="12907" max="13149" width="58.33203125" style="3"/>
    <col min="13150" max="13150" width="9" style="3" customWidth="1"/>
    <col min="13151" max="13151" width="60.33203125" style="3" customWidth="1"/>
    <col min="13152" max="13152" width="15.6640625" style="3" bestFit="1" customWidth="1"/>
    <col min="13153" max="13153" width="14.109375" style="3" bestFit="1" customWidth="1"/>
    <col min="13154" max="13154" width="14.109375" style="3" customWidth="1"/>
    <col min="13155" max="13155" width="14.109375" style="3" bestFit="1" customWidth="1"/>
    <col min="13156" max="13157" width="13.109375" style="3" bestFit="1" customWidth="1"/>
    <col min="13158" max="13158" width="14" style="3" customWidth="1"/>
    <col min="13159" max="13159" width="13.109375" style="3" customWidth="1"/>
    <col min="13160" max="13160" width="16.44140625" style="3" customWidth="1"/>
    <col min="13161" max="13161" width="18.5546875" style="3" customWidth="1"/>
    <col min="13162" max="13162" width="8.109375" style="3" bestFit="1" customWidth="1"/>
    <col min="13163" max="13405" width="58.33203125" style="3"/>
    <col min="13406" max="13406" width="9" style="3" customWidth="1"/>
    <col min="13407" max="13407" width="60.33203125" style="3" customWidth="1"/>
    <col min="13408" max="13408" width="15.6640625" style="3" bestFit="1" customWidth="1"/>
    <col min="13409" max="13409" width="14.109375" style="3" bestFit="1" customWidth="1"/>
    <col min="13410" max="13410" width="14.109375" style="3" customWidth="1"/>
    <col min="13411" max="13411" width="14.109375" style="3" bestFit="1" customWidth="1"/>
    <col min="13412" max="13413" width="13.109375" style="3" bestFit="1" customWidth="1"/>
    <col min="13414" max="13414" width="14" style="3" customWidth="1"/>
    <col min="13415" max="13415" width="13.109375" style="3" customWidth="1"/>
    <col min="13416" max="13416" width="16.44140625" style="3" customWidth="1"/>
    <col min="13417" max="13417" width="18.5546875" style="3" customWidth="1"/>
    <col min="13418" max="13418" width="8.109375" style="3" bestFit="1" customWidth="1"/>
    <col min="13419" max="13661" width="58.33203125" style="3"/>
    <col min="13662" max="13662" width="9" style="3" customWidth="1"/>
    <col min="13663" max="13663" width="60.33203125" style="3" customWidth="1"/>
    <col min="13664" max="13664" width="15.6640625" style="3" bestFit="1" customWidth="1"/>
    <col min="13665" max="13665" width="14.109375" style="3" bestFit="1" customWidth="1"/>
    <col min="13666" max="13666" width="14.109375" style="3" customWidth="1"/>
    <col min="13667" max="13667" width="14.109375" style="3" bestFit="1" customWidth="1"/>
    <col min="13668" max="13669" width="13.109375" style="3" bestFit="1" customWidth="1"/>
    <col min="13670" max="13670" width="14" style="3" customWidth="1"/>
    <col min="13671" max="13671" width="13.109375" style="3" customWidth="1"/>
    <col min="13672" max="13672" width="16.44140625" style="3" customWidth="1"/>
    <col min="13673" max="13673" width="18.5546875" style="3" customWidth="1"/>
    <col min="13674" max="13674" width="8.109375" style="3" bestFit="1" customWidth="1"/>
    <col min="13675" max="13917" width="58.33203125" style="3"/>
    <col min="13918" max="13918" width="9" style="3" customWidth="1"/>
    <col min="13919" max="13919" width="60.33203125" style="3" customWidth="1"/>
    <col min="13920" max="13920" width="15.6640625" style="3" bestFit="1" customWidth="1"/>
    <col min="13921" max="13921" width="14.109375" style="3" bestFit="1" customWidth="1"/>
    <col min="13922" max="13922" width="14.109375" style="3" customWidth="1"/>
    <col min="13923" max="13923" width="14.109375" style="3" bestFit="1" customWidth="1"/>
    <col min="13924" max="13925" width="13.109375" style="3" bestFit="1" customWidth="1"/>
    <col min="13926" max="13926" width="14" style="3" customWidth="1"/>
    <col min="13927" max="13927" width="13.109375" style="3" customWidth="1"/>
    <col min="13928" max="13928" width="16.44140625" style="3" customWidth="1"/>
    <col min="13929" max="13929" width="18.5546875" style="3" customWidth="1"/>
    <col min="13930" max="13930" width="8.109375" style="3" bestFit="1" customWidth="1"/>
    <col min="13931" max="14173" width="58.33203125" style="3"/>
    <col min="14174" max="14174" width="9" style="3" customWidth="1"/>
    <col min="14175" max="14175" width="60.33203125" style="3" customWidth="1"/>
    <col min="14176" max="14176" width="15.6640625" style="3" bestFit="1" customWidth="1"/>
    <col min="14177" max="14177" width="14.109375" style="3" bestFit="1" customWidth="1"/>
    <col min="14178" max="14178" width="14.109375" style="3" customWidth="1"/>
    <col min="14179" max="14179" width="14.109375" style="3" bestFit="1" customWidth="1"/>
    <col min="14180" max="14181" width="13.109375" style="3" bestFit="1" customWidth="1"/>
    <col min="14182" max="14182" width="14" style="3" customWidth="1"/>
    <col min="14183" max="14183" width="13.109375" style="3" customWidth="1"/>
    <col min="14184" max="14184" width="16.44140625" style="3" customWidth="1"/>
    <col min="14185" max="14185" width="18.5546875" style="3" customWidth="1"/>
    <col min="14186" max="14186" width="8.109375" style="3" bestFit="1" customWidth="1"/>
    <col min="14187" max="14429" width="58.33203125" style="3"/>
    <col min="14430" max="14430" width="9" style="3" customWidth="1"/>
    <col min="14431" max="14431" width="60.33203125" style="3" customWidth="1"/>
    <col min="14432" max="14432" width="15.6640625" style="3" bestFit="1" customWidth="1"/>
    <col min="14433" max="14433" width="14.109375" style="3" bestFit="1" customWidth="1"/>
    <col min="14434" max="14434" width="14.109375" style="3" customWidth="1"/>
    <col min="14435" max="14435" width="14.109375" style="3" bestFit="1" customWidth="1"/>
    <col min="14436" max="14437" width="13.109375" style="3" bestFit="1" customWidth="1"/>
    <col min="14438" max="14438" width="14" style="3" customWidth="1"/>
    <col min="14439" max="14439" width="13.109375" style="3" customWidth="1"/>
    <col min="14440" max="14440" width="16.44140625" style="3" customWidth="1"/>
    <col min="14441" max="14441" width="18.5546875" style="3" customWidth="1"/>
    <col min="14442" max="14442" width="8.109375" style="3" bestFit="1" customWidth="1"/>
    <col min="14443" max="14685" width="58.33203125" style="3"/>
    <col min="14686" max="14686" width="9" style="3" customWidth="1"/>
    <col min="14687" max="14687" width="60.33203125" style="3" customWidth="1"/>
    <col min="14688" max="14688" width="15.6640625" style="3" bestFit="1" customWidth="1"/>
    <col min="14689" max="14689" width="14.109375" style="3" bestFit="1" customWidth="1"/>
    <col min="14690" max="14690" width="14.109375" style="3" customWidth="1"/>
    <col min="14691" max="14691" width="14.109375" style="3" bestFit="1" customWidth="1"/>
    <col min="14692" max="14693" width="13.109375" style="3" bestFit="1" customWidth="1"/>
    <col min="14694" max="14694" width="14" style="3" customWidth="1"/>
    <col min="14695" max="14695" width="13.109375" style="3" customWidth="1"/>
    <col min="14696" max="14696" width="16.44140625" style="3" customWidth="1"/>
    <col min="14697" max="14697" width="18.5546875" style="3" customWidth="1"/>
    <col min="14698" max="14698" width="8.109375" style="3" bestFit="1" customWidth="1"/>
    <col min="14699" max="14941" width="58.33203125" style="3"/>
    <col min="14942" max="14942" width="9" style="3" customWidth="1"/>
    <col min="14943" max="14943" width="60.33203125" style="3" customWidth="1"/>
    <col min="14944" max="14944" width="15.6640625" style="3" bestFit="1" customWidth="1"/>
    <col min="14945" max="14945" width="14.109375" style="3" bestFit="1" customWidth="1"/>
    <col min="14946" max="14946" width="14.109375" style="3" customWidth="1"/>
    <col min="14947" max="14947" width="14.109375" style="3" bestFit="1" customWidth="1"/>
    <col min="14948" max="14949" width="13.109375" style="3" bestFit="1" customWidth="1"/>
    <col min="14950" max="14950" width="14" style="3" customWidth="1"/>
    <col min="14951" max="14951" width="13.109375" style="3" customWidth="1"/>
    <col min="14952" max="14952" width="16.44140625" style="3" customWidth="1"/>
    <col min="14953" max="14953" width="18.5546875" style="3" customWidth="1"/>
    <col min="14954" max="14954" width="8.109375" style="3" bestFit="1" customWidth="1"/>
    <col min="14955" max="15197" width="58.33203125" style="3"/>
    <col min="15198" max="15198" width="9" style="3" customWidth="1"/>
    <col min="15199" max="15199" width="60.33203125" style="3" customWidth="1"/>
    <col min="15200" max="15200" width="15.6640625" style="3" bestFit="1" customWidth="1"/>
    <col min="15201" max="15201" width="14.109375" style="3" bestFit="1" customWidth="1"/>
    <col min="15202" max="15202" width="14.109375" style="3" customWidth="1"/>
    <col min="15203" max="15203" width="14.109375" style="3" bestFit="1" customWidth="1"/>
    <col min="15204" max="15205" width="13.109375" style="3" bestFit="1" customWidth="1"/>
    <col min="15206" max="15206" width="14" style="3" customWidth="1"/>
    <col min="15207" max="15207" width="13.109375" style="3" customWidth="1"/>
    <col min="15208" max="15208" width="16.44140625" style="3" customWidth="1"/>
    <col min="15209" max="15209" width="18.5546875" style="3" customWidth="1"/>
    <col min="15210" max="15210" width="8.109375" style="3" bestFit="1" customWidth="1"/>
    <col min="15211" max="15453" width="58.33203125" style="3"/>
    <col min="15454" max="15454" width="9" style="3" customWidth="1"/>
    <col min="15455" max="15455" width="60.33203125" style="3" customWidth="1"/>
    <col min="15456" max="15456" width="15.6640625" style="3" bestFit="1" customWidth="1"/>
    <col min="15457" max="15457" width="14.109375" style="3" bestFit="1" customWidth="1"/>
    <col min="15458" max="15458" width="14.109375" style="3" customWidth="1"/>
    <col min="15459" max="15459" width="14.109375" style="3" bestFit="1" customWidth="1"/>
    <col min="15460" max="15461" width="13.109375" style="3" bestFit="1" customWidth="1"/>
    <col min="15462" max="15462" width="14" style="3" customWidth="1"/>
    <col min="15463" max="15463" width="13.109375" style="3" customWidth="1"/>
    <col min="15464" max="15464" width="16.44140625" style="3" customWidth="1"/>
    <col min="15465" max="15465" width="18.5546875" style="3" customWidth="1"/>
    <col min="15466" max="15466" width="8.109375" style="3" bestFit="1" customWidth="1"/>
    <col min="15467" max="15709" width="58.33203125" style="3"/>
    <col min="15710" max="15710" width="9" style="3" customWidth="1"/>
    <col min="15711" max="15711" width="60.33203125" style="3" customWidth="1"/>
    <col min="15712" max="15712" width="15.6640625" style="3" bestFit="1" customWidth="1"/>
    <col min="15713" max="15713" width="14.109375" style="3" bestFit="1" customWidth="1"/>
    <col min="15714" max="15714" width="14.109375" style="3" customWidth="1"/>
    <col min="15715" max="15715" width="14.109375" style="3" bestFit="1" customWidth="1"/>
    <col min="15716" max="15717" width="13.109375" style="3" bestFit="1" customWidth="1"/>
    <col min="15718" max="15718" width="14" style="3" customWidth="1"/>
    <col min="15719" max="15719" width="13.109375" style="3" customWidth="1"/>
    <col min="15720" max="15720" width="16.44140625" style="3" customWidth="1"/>
    <col min="15721" max="15721" width="18.5546875" style="3" customWidth="1"/>
    <col min="15722" max="15722" width="8.109375" style="3" bestFit="1" customWidth="1"/>
    <col min="15723" max="15965" width="58.33203125" style="3"/>
    <col min="15966" max="15966" width="9" style="3" customWidth="1"/>
    <col min="15967" max="15967" width="60.33203125" style="3" customWidth="1"/>
    <col min="15968" max="15968" width="15.6640625" style="3" bestFit="1" customWidth="1"/>
    <col min="15969" max="15969" width="14.109375" style="3" bestFit="1" customWidth="1"/>
    <col min="15970" max="15970" width="14.109375" style="3" customWidth="1"/>
    <col min="15971" max="15971" width="14.109375" style="3" bestFit="1" customWidth="1"/>
    <col min="15972" max="15973" width="13.109375" style="3" bestFit="1" customWidth="1"/>
    <col min="15974" max="15974" width="14" style="3" customWidth="1"/>
    <col min="15975" max="15975" width="13.109375" style="3" customWidth="1"/>
    <col min="15976" max="15976" width="16.44140625" style="3" customWidth="1"/>
    <col min="15977" max="15977" width="18.5546875" style="3" customWidth="1"/>
    <col min="15978" max="15978" width="8.109375" style="3" bestFit="1" customWidth="1"/>
    <col min="15979" max="16384" width="58.33203125" style="3"/>
  </cols>
  <sheetData>
    <row r="1" spans="1:11" x14ac:dyDescent="0.3">
      <c r="J1" s="93" t="s">
        <v>66</v>
      </c>
      <c r="K1" s="93"/>
    </row>
    <row r="2" spans="1:11" x14ac:dyDescent="0.3">
      <c r="H2" s="93" t="s">
        <v>67</v>
      </c>
      <c r="I2" s="93"/>
      <c r="J2" s="93"/>
      <c r="K2" s="93"/>
    </row>
    <row r="3" spans="1:11" x14ac:dyDescent="0.3">
      <c r="H3" s="93" t="s">
        <v>75</v>
      </c>
      <c r="I3" s="93"/>
      <c r="J3" s="93"/>
      <c r="K3" s="93"/>
    </row>
    <row r="4" spans="1:11" x14ac:dyDescent="0.3">
      <c r="H4" s="93" t="s">
        <v>74</v>
      </c>
      <c r="I4" s="93"/>
      <c r="J4" s="93"/>
      <c r="K4" s="93"/>
    </row>
    <row r="5" spans="1:11" x14ac:dyDescent="0.3">
      <c r="H5" s="93" t="s">
        <v>65</v>
      </c>
      <c r="I5" s="93"/>
      <c r="J5" s="93"/>
      <c r="K5" s="93"/>
    </row>
    <row r="6" spans="1:11" ht="12" customHeight="1" x14ac:dyDescent="0.3"/>
    <row r="7" spans="1:11" s="7" customFormat="1" ht="15.75" customHeight="1" x14ac:dyDescent="0.3">
      <c r="A7" s="4"/>
      <c r="B7" s="5"/>
      <c r="C7" s="6"/>
      <c r="D7" s="6"/>
      <c r="E7" s="6"/>
      <c r="F7" s="6"/>
      <c r="G7" s="6"/>
      <c r="I7" s="6"/>
      <c r="J7" s="6"/>
      <c r="K7" s="57" t="s">
        <v>66</v>
      </c>
    </row>
    <row r="8" spans="1:11" s="7" customFormat="1" ht="15.75" customHeight="1" x14ac:dyDescent="0.3">
      <c r="A8" s="4"/>
      <c r="B8" s="5"/>
      <c r="C8" s="6"/>
      <c r="D8" s="6"/>
      <c r="E8" s="6"/>
      <c r="F8" s="6"/>
      <c r="G8" s="6"/>
      <c r="I8" s="6"/>
      <c r="J8" s="6"/>
      <c r="K8" s="57" t="s">
        <v>67</v>
      </c>
    </row>
    <row r="9" spans="1:11" s="7" customFormat="1" ht="15.75" customHeight="1" x14ac:dyDescent="0.3">
      <c r="A9" s="4"/>
      <c r="B9" s="5"/>
      <c r="C9" s="6"/>
      <c r="D9" s="6"/>
      <c r="E9" s="6"/>
      <c r="F9" s="6"/>
      <c r="G9" s="6"/>
      <c r="I9" s="6"/>
      <c r="J9" s="6"/>
      <c r="K9" s="57" t="s">
        <v>65</v>
      </c>
    </row>
    <row r="10" spans="1:11" s="7" customFormat="1" ht="11.4" customHeight="1" x14ac:dyDescent="0.3">
      <c r="A10" s="4"/>
      <c r="B10" s="5"/>
      <c r="C10" s="6"/>
      <c r="D10" s="6"/>
      <c r="E10" s="6"/>
      <c r="F10" s="6"/>
      <c r="G10" s="6"/>
      <c r="H10" s="8"/>
      <c r="I10" s="8"/>
      <c r="J10" s="8"/>
      <c r="K10" s="8"/>
    </row>
    <row r="11" spans="1:11" x14ac:dyDescent="0.3">
      <c r="A11" s="92" t="s">
        <v>62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1" ht="16.2" thickBot="1" x14ac:dyDescent="0.35">
      <c r="B12" s="9"/>
      <c r="D12" s="10"/>
      <c r="E12" s="10"/>
      <c r="F12" s="10"/>
      <c r="G12" s="10"/>
      <c r="H12" s="10"/>
      <c r="I12" s="11"/>
      <c r="J12" s="10"/>
      <c r="K12" s="62" t="s">
        <v>0</v>
      </c>
    </row>
    <row r="13" spans="1:11" s="16" customFormat="1" ht="31.8" thickBot="1" x14ac:dyDescent="0.35">
      <c r="A13" s="12" t="s">
        <v>1</v>
      </c>
      <c r="B13" s="13" t="s">
        <v>2</v>
      </c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5" t="s">
        <v>11</v>
      </c>
    </row>
    <row r="14" spans="1:11" s="16" customFormat="1" x14ac:dyDescent="0.3">
      <c r="A14" s="17">
        <v>1000000</v>
      </c>
      <c r="B14" s="18" t="s">
        <v>12</v>
      </c>
      <c r="C14" s="19">
        <f t="shared" ref="C14:J14" si="0">SUM(C15+C26+C32+C41+C44)</f>
        <v>1269611663</v>
      </c>
      <c r="D14" s="19">
        <f t="shared" si="0"/>
        <v>126463146</v>
      </c>
      <c r="E14" s="19">
        <f t="shared" si="0"/>
        <v>121195277</v>
      </c>
      <c r="F14" s="19">
        <f t="shared" si="0"/>
        <v>70869648</v>
      </c>
      <c r="G14" s="19">
        <f t="shared" si="0"/>
        <v>30814025</v>
      </c>
      <c r="H14" s="19">
        <f t="shared" si="0"/>
        <v>48179628</v>
      </c>
      <c r="I14" s="19">
        <f t="shared" si="0"/>
        <v>29838288</v>
      </c>
      <c r="J14" s="19">
        <f t="shared" si="0"/>
        <v>8551543</v>
      </c>
      <c r="K14" s="20">
        <f>SUM(C14:J14)</f>
        <v>1705523218</v>
      </c>
    </row>
    <row r="15" spans="1:11" s="16" customFormat="1" x14ac:dyDescent="0.3">
      <c r="A15" s="21">
        <v>1010000</v>
      </c>
      <c r="B15" s="22" t="s">
        <v>13</v>
      </c>
      <c r="C15" s="23">
        <f t="shared" ref="C15:J15" si="1">SUM(C16+C17+C19+C20+C21+C22+C23+C24)</f>
        <v>814621910</v>
      </c>
      <c r="D15" s="23">
        <f t="shared" si="1"/>
        <v>123323833</v>
      </c>
      <c r="E15" s="23">
        <f t="shared" si="1"/>
        <v>111311953</v>
      </c>
      <c r="F15" s="23">
        <f t="shared" si="1"/>
        <v>50063075</v>
      </c>
      <c r="G15" s="23">
        <f t="shared" si="1"/>
        <v>26750406</v>
      </c>
      <c r="H15" s="23">
        <f t="shared" si="1"/>
        <v>40996333</v>
      </c>
      <c r="I15" s="23">
        <f t="shared" si="1"/>
        <v>18874844</v>
      </c>
      <c r="J15" s="23">
        <f t="shared" si="1"/>
        <v>7229898</v>
      </c>
      <c r="K15" s="24">
        <f t="shared" ref="K15" si="2">SUM(C15:J15)</f>
        <v>1193172252</v>
      </c>
    </row>
    <row r="16" spans="1:11" s="16" customFormat="1" x14ac:dyDescent="0.3">
      <c r="A16" s="21">
        <v>1010100</v>
      </c>
      <c r="B16" s="25" t="s">
        <v>14</v>
      </c>
      <c r="C16" s="23"/>
      <c r="D16" s="23"/>
      <c r="E16" s="23"/>
      <c r="F16" s="23"/>
      <c r="G16" s="23"/>
      <c r="H16" s="23"/>
      <c r="I16" s="23"/>
      <c r="J16" s="23"/>
      <c r="K16" s="24"/>
    </row>
    <row r="17" spans="1:11" s="16" customFormat="1" ht="31.2" x14ac:dyDescent="0.3">
      <c r="A17" s="21">
        <v>1010200</v>
      </c>
      <c r="B17" s="25" t="s">
        <v>15</v>
      </c>
      <c r="C17" s="23">
        <v>680185856</v>
      </c>
      <c r="D17" s="23">
        <f>198729092-95214361</f>
        <v>103514731</v>
      </c>
      <c r="E17" s="23">
        <f>118507308-15938940</f>
        <v>102568368</v>
      </c>
      <c r="F17" s="23">
        <f>78483135-33282727</f>
        <v>45200408</v>
      </c>
      <c r="G17" s="23">
        <f>37792950-14217426</f>
        <v>23575524</v>
      </c>
      <c r="H17" s="23">
        <f>65464569-28365876</f>
        <v>37098693</v>
      </c>
      <c r="I17" s="23">
        <f>18020385-2043534</f>
        <v>15976851</v>
      </c>
      <c r="J17" s="23">
        <f>14783100-9187655</f>
        <v>5595445</v>
      </c>
      <c r="K17" s="24">
        <f t="shared" ref="K17:K22" si="3">SUM(C17:J17)</f>
        <v>1013715876</v>
      </c>
    </row>
    <row r="18" spans="1:11" s="16" customFormat="1" ht="31.2" x14ac:dyDescent="0.3">
      <c r="A18" s="26">
        <v>1010290</v>
      </c>
      <c r="B18" s="27" t="s">
        <v>16</v>
      </c>
      <c r="C18" s="23"/>
      <c r="D18" s="23"/>
      <c r="E18" s="23"/>
      <c r="F18" s="23"/>
      <c r="G18" s="23"/>
      <c r="H18" s="23"/>
      <c r="I18" s="23"/>
      <c r="J18" s="23"/>
      <c r="K18" s="24"/>
    </row>
    <row r="19" spans="1:11" s="16" customFormat="1" x14ac:dyDescent="0.3">
      <c r="A19" s="21">
        <v>1010400</v>
      </c>
      <c r="B19" s="25" t="s">
        <v>17</v>
      </c>
      <c r="C19" s="23">
        <v>3810600</v>
      </c>
      <c r="D19" s="23">
        <v>0</v>
      </c>
      <c r="E19" s="23">
        <v>2227200</v>
      </c>
      <c r="F19" s="23">
        <v>939600</v>
      </c>
      <c r="G19" s="23">
        <v>1131000</v>
      </c>
      <c r="H19" s="23">
        <v>452400</v>
      </c>
      <c r="I19" s="23">
        <v>382800</v>
      </c>
      <c r="J19" s="23">
        <v>452400</v>
      </c>
      <c r="K19" s="24">
        <f t="shared" si="3"/>
        <v>9396000</v>
      </c>
    </row>
    <row r="20" spans="1:11" s="16" customFormat="1" ht="31.2" x14ac:dyDescent="0.3">
      <c r="A20" s="21">
        <v>1010600</v>
      </c>
      <c r="B20" s="25" t="s">
        <v>64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4">
        <f t="shared" si="3"/>
        <v>0</v>
      </c>
    </row>
    <row r="21" spans="1:11" s="16" customFormat="1" ht="46.8" x14ac:dyDescent="0.3">
      <c r="A21" s="21">
        <v>1010601</v>
      </c>
      <c r="B21" s="25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4">
        <f t="shared" si="3"/>
        <v>0</v>
      </c>
    </row>
    <row r="22" spans="1:11" s="16" customFormat="1" x14ac:dyDescent="0.3">
      <c r="A22" s="21">
        <v>1010700</v>
      </c>
      <c r="B22" s="25" t="s">
        <v>19</v>
      </c>
      <c r="C22" s="23">
        <f>0+101081715</f>
        <v>101081715</v>
      </c>
      <c r="D22" s="23">
        <f>14859900+9350309-5042391</f>
        <v>19167818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4">
        <f t="shared" si="3"/>
        <v>120249533</v>
      </c>
    </row>
    <row r="23" spans="1:11" s="16" customFormat="1" ht="78" x14ac:dyDescent="0.3">
      <c r="A23" s="21">
        <v>1010800</v>
      </c>
      <c r="B23" s="28" t="s">
        <v>60</v>
      </c>
      <c r="C23" s="23">
        <f>31157915-1614176</f>
        <v>29543739</v>
      </c>
      <c r="D23" s="23">
        <f>676322-35038</f>
        <v>641284</v>
      </c>
      <c r="E23" s="23">
        <f>6872420-356035</f>
        <v>6516385</v>
      </c>
      <c r="F23" s="23">
        <v>3923067</v>
      </c>
      <c r="G23" s="23">
        <v>2043882</v>
      </c>
      <c r="H23" s="23">
        <v>3445240</v>
      </c>
      <c r="I23" s="23">
        <f>2652615-137422</f>
        <v>2515193</v>
      </c>
      <c r="J23" s="23">
        <v>1182053</v>
      </c>
      <c r="K23" s="24">
        <f t="shared" ref="K23:K24" si="4">SUM(C23:J23)</f>
        <v>49810843</v>
      </c>
    </row>
    <row r="24" spans="1:11" s="32" customFormat="1" ht="31.2" x14ac:dyDescent="0.3">
      <c r="A24" s="29">
        <v>1010900</v>
      </c>
      <c r="B24" s="30" t="s">
        <v>61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31">
        <f t="shared" si="4"/>
        <v>0</v>
      </c>
    </row>
    <row r="25" spans="1:11" s="16" customFormat="1" x14ac:dyDescent="0.3">
      <c r="A25" s="26"/>
      <c r="B25" s="25"/>
      <c r="C25" s="23"/>
      <c r="D25" s="23"/>
      <c r="E25" s="23"/>
      <c r="F25" s="23"/>
      <c r="G25" s="23"/>
      <c r="H25" s="23"/>
      <c r="I25" s="23"/>
      <c r="J25" s="23"/>
      <c r="K25" s="24"/>
    </row>
    <row r="26" spans="1:11" s="33" customFormat="1" ht="31.2" x14ac:dyDescent="0.3">
      <c r="A26" s="21">
        <v>1020000</v>
      </c>
      <c r="B26" s="25" t="s">
        <v>20</v>
      </c>
      <c r="C26" s="23">
        <f t="shared" ref="C26:J26" si="5">SUM(C27:C30)</f>
        <v>1027908</v>
      </c>
      <c r="D26" s="23">
        <f t="shared" si="5"/>
        <v>132426</v>
      </c>
      <c r="E26" s="23">
        <f t="shared" si="5"/>
        <v>189279</v>
      </c>
      <c r="F26" s="23">
        <f t="shared" si="5"/>
        <v>242332</v>
      </c>
      <c r="G26" s="23">
        <f t="shared" si="5"/>
        <v>69600</v>
      </c>
      <c r="H26" s="23">
        <f t="shared" si="5"/>
        <v>224454</v>
      </c>
      <c r="I26" s="23">
        <f t="shared" si="5"/>
        <v>36192</v>
      </c>
      <c r="J26" s="23">
        <f t="shared" si="5"/>
        <v>26448</v>
      </c>
      <c r="K26" s="24">
        <f t="shared" ref="K26:K30" si="6">SUM(C26:J26)</f>
        <v>1948639</v>
      </c>
    </row>
    <row r="27" spans="1:11" s="16" customFormat="1" x14ac:dyDescent="0.3">
      <c r="A27" s="21">
        <v>1020100</v>
      </c>
      <c r="B27" s="25" t="s">
        <v>21</v>
      </c>
      <c r="C27" s="23"/>
      <c r="D27" s="23"/>
      <c r="E27" s="23"/>
      <c r="F27" s="23"/>
      <c r="G27" s="23"/>
      <c r="H27" s="23"/>
      <c r="I27" s="23"/>
      <c r="J27" s="23"/>
      <c r="K27" s="24">
        <f t="shared" si="6"/>
        <v>0</v>
      </c>
    </row>
    <row r="28" spans="1:11" s="16" customFormat="1" ht="31.2" x14ac:dyDescent="0.3">
      <c r="A28" s="21">
        <v>1020200</v>
      </c>
      <c r="B28" s="25" t="s">
        <v>22</v>
      </c>
      <c r="C28" s="23"/>
      <c r="D28" s="23"/>
      <c r="E28" s="23"/>
      <c r="F28" s="23"/>
      <c r="G28" s="23"/>
      <c r="H28" s="23"/>
      <c r="I28" s="23"/>
      <c r="J28" s="23"/>
      <c r="K28" s="24">
        <f t="shared" si="6"/>
        <v>0</v>
      </c>
    </row>
    <row r="29" spans="1:11" s="33" customFormat="1" ht="31.2" x14ac:dyDescent="0.3">
      <c r="A29" s="21">
        <v>1020400</v>
      </c>
      <c r="B29" s="22" t="s">
        <v>23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f t="shared" si="6"/>
        <v>0</v>
      </c>
    </row>
    <row r="30" spans="1:11" s="16" customFormat="1" x14ac:dyDescent="0.3">
      <c r="A30" s="21">
        <v>1020500</v>
      </c>
      <c r="B30" s="25" t="s">
        <v>24</v>
      </c>
      <c r="C30" s="23">
        <f>828779+199129</f>
        <v>1027908</v>
      </c>
      <c r="D30" s="23">
        <v>132426</v>
      </c>
      <c r="E30" s="23">
        <v>189279</v>
      </c>
      <c r="F30" s="23">
        <v>242332</v>
      </c>
      <c r="G30" s="23">
        <v>69600</v>
      </c>
      <c r="H30" s="23">
        <v>224454</v>
      </c>
      <c r="I30" s="23">
        <v>36192</v>
      </c>
      <c r="J30" s="23">
        <v>26448</v>
      </c>
      <c r="K30" s="24">
        <f t="shared" si="6"/>
        <v>1948639</v>
      </c>
    </row>
    <row r="31" spans="1:11" s="16" customFormat="1" x14ac:dyDescent="0.3">
      <c r="A31" s="21"/>
      <c r="B31" s="25"/>
      <c r="C31" s="23"/>
      <c r="D31" s="23"/>
      <c r="E31" s="23"/>
      <c r="F31" s="23"/>
      <c r="G31" s="23"/>
      <c r="H31" s="23"/>
      <c r="I31" s="23"/>
      <c r="J31" s="23"/>
      <c r="K31" s="24"/>
    </row>
    <row r="32" spans="1:11" s="16" customFormat="1" x14ac:dyDescent="0.3">
      <c r="A32" s="21">
        <v>1050000</v>
      </c>
      <c r="B32" s="25" t="s">
        <v>25</v>
      </c>
      <c r="C32" s="23">
        <v>4630461</v>
      </c>
      <c r="D32" s="23">
        <v>2821807</v>
      </c>
      <c r="E32" s="23">
        <v>1787946</v>
      </c>
      <c r="F32" s="23">
        <v>15185058</v>
      </c>
      <c r="G32" s="23">
        <v>440350</v>
      </c>
      <c r="H32" s="23">
        <v>3848598</v>
      </c>
      <c r="I32" s="23">
        <v>9607639</v>
      </c>
      <c r="J32" s="23">
        <v>607604</v>
      </c>
      <c r="K32" s="24">
        <f t="shared" ref="K32:K39" si="7">SUM(C32:J32)</f>
        <v>38929463</v>
      </c>
    </row>
    <row r="33" spans="1:11" s="16" customFormat="1" x14ac:dyDescent="0.3">
      <c r="A33" s="21">
        <v>1050100</v>
      </c>
      <c r="B33" s="25" t="s">
        <v>26</v>
      </c>
      <c r="C33" s="23">
        <f>SUM(C34:C35)</f>
        <v>0</v>
      </c>
      <c r="D33" s="23">
        <f t="shared" ref="D33:J33" si="8">SUM(D34:D35)</f>
        <v>0</v>
      </c>
      <c r="E33" s="23">
        <f t="shared" si="8"/>
        <v>0</v>
      </c>
      <c r="F33" s="23">
        <f t="shared" si="8"/>
        <v>0</v>
      </c>
      <c r="G33" s="23">
        <f t="shared" si="8"/>
        <v>0</v>
      </c>
      <c r="H33" s="23">
        <f t="shared" si="8"/>
        <v>0</v>
      </c>
      <c r="I33" s="23">
        <f t="shared" si="8"/>
        <v>0</v>
      </c>
      <c r="J33" s="23">
        <f t="shared" si="8"/>
        <v>0</v>
      </c>
      <c r="K33" s="24">
        <f t="shared" si="7"/>
        <v>0</v>
      </c>
    </row>
    <row r="34" spans="1:11" s="16" customFormat="1" ht="31.2" x14ac:dyDescent="0.3">
      <c r="A34" s="26">
        <v>1050101</v>
      </c>
      <c r="B34" s="27" t="s">
        <v>27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f t="shared" si="7"/>
        <v>0</v>
      </c>
    </row>
    <row r="35" spans="1:11" s="16" customFormat="1" ht="31.2" x14ac:dyDescent="0.3">
      <c r="A35" s="26">
        <v>1050102</v>
      </c>
      <c r="B35" s="27" t="s">
        <v>28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f t="shared" si="7"/>
        <v>0</v>
      </c>
    </row>
    <row r="36" spans="1:11" s="16" customFormat="1" ht="31.2" x14ac:dyDescent="0.3">
      <c r="A36" s="21">
        <v>1050200</v>
      </c>
      <c r="B36" s="25" t="s">
        <v>29</v>
      </c>
      <c r="C36" s="23">
        <v>4383512</v>
      </c>
      <c r="D36" s="23">
        <v>2821807</v>
      </c>
      <c r="E36" s="23">
        <v>1787946</v>
      </c>
      <c r="F36" s="23">
        <v>414558</v>
      </c>
      <c r="G36" s="23">
        <v>196332</v>
      </c>
      <c r="H36" s="23">
        <v>758588</v>
      </c>
      <c r="I36" s="23">
        <v>712354</v>
      </c>
      <c r="J36" s="23">
        <v>504053</v>
      </c>
      <c r="K36" s="24">
        <f t="shared" si="7"/>
        <v>11579150</v>
      </c>
    </row>
    <row r="37" spans="1:11" s="16" customFormat="1" ht="46.8" x14ac:dyDescent="0.3">
      <c r="A37" s="21">
        <v>1050400</v>
      </c>
      <c r="B37" s="25" t="s">
        <v>30</v>
      </c>
      <c r="C37" s="23">
        <v>0</v>
      </c>
      <c r="D37" s="23">
        <v>0</v>
      </c>
      <c r="E37" s="23">
        <v>0</v>
      </c>
      <c r="F37" s="23">
        <v>7635256</v>
      </c>
      <c r="G37" s="23">
        <v>161856</v>
      </c>
      <c r="H37" s="23">
        <v>1937254</v>
      </c>
      <c r="I37" s="23">
        <v>5189579</v>
      </c>
      <c r="J37" s="23">
        <v>26625</v>
      </c>
      <c r="K37" s="24">
        <f t="shared" si="7"/>
        <v>14950570</v>
      </c>
    </row>
    <row r="38" spans="1:11" s="16" customFormat="1" ht="31.2" x14ac:dyDescent="0.3">
      <c r="A38" s="21">
        <v>1051100</v>
      </c>
      <c r="B38" s="25" t="s">
        <v>31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4">
        <f t="shared" si="7"/>
        <v>0</v>
      </c>
    </row>
    <row r="39" spans="1:11" s="33" customFormat="1" ht="31.2" x14ac:dyDescent="0.3">
      <c r="A39" s="21">
        <v>1051200</v>
      </c>
      <c r="B39" s="25" t="s">
        <v>32</v>
      </c>
      <c r="C39" s="23">
        <v>0</v>
      </c>
      <c r="D39" s="23">
        <v>0</v>
      </c>
      <c r="E39" s="23">
        <v>0</v>
      </c>
      <c r="F39" s="23">
        <v>7132364</v>
      </c>
      <c r="G39" s="23">
        <v>80928</v>
      </c>
      <c r="H39" s="23">
        <v>1146750</v>
      </c>
      <c r="I39" s="23">
        <v>3698713</v>
      </c>
      <c r="J39" s="23">
        <v>0</v>
      </c>
      <c r="K39" s="24">
        <f t="shared" si="7"/>
        <v>12058755</v>
      </c>
    </row>
    <row r="40" spans="1:11" s="33" customFormat="1" x14ac:dyDescent="0.3">
      <c r="A40" s="26"/>
      <c r="B40" s="27"/>
      <c r="C40" s="34"/>
      <c r="D40" s="34"/>
      <c r="E40" s="34"/>
      <c r="F40" s="34"/>
      <c r="G40" s="34"/>
      <c r="H40" s="34"/>
      <c r="I40" s="34"/>
      <c r="J40" s="34"/>
      <c r="K40" s="35"/>
    </row>
    <row r="41" spans="1:11" s="16" customFormat="1" ht="31.2" x14ac:dyDescent="0.3">
      <c r="A41" s="21">
        <v>1060000</v>
      </c>
      <c r="B41" s="25" t="s">
        <v>33</v>
      </c>
      <c r="C41" s="23">
        <f>SUM(C42)</f>
        <v>435554684</v>
      </c>
      <c r="D41" s="23">
        <f t="shared" ref="D41:J41" si="9">SUM(D42)</f>
        <v>0</v>
      </c>
      <c r="E41" s="23">
        <f t="shared" si="9"/>
        <v>0</v>
      </c>
      <c r="F41" s="23">
        <f t="shared" si="9"/>
        <v>0</v>
      </c>
      <c r="G41" s="23">
        <f t="shared" si="9"/>
        <v>0</v>
      </c>
      <c r="H41" s="23">
        <f t="shared" si="9"/>
        <v>0</v>
      </c>
      <c r="I41" s="23">
        <f t="shared" si="9"/>
        <v>0</v>
      </c>
      <c r="J41" s="23">
        <f t="shared" si="9"/>
        <v>0</v>
      </c>
      <c r="K41" s="24">
        <f t="shared" ref="K41:K42" si="10">SUM(C41:J41)</f>
        <v>435554684</v>
      </c>
    </row>
    <row r="42" spans="1:11" s="16" customFormat="1" x14ac:dyDescent="0.3">
      <c r="A42" s="26">
        <v>1060400</v>
      </c>
      <c r="B42" s="27" t="s">
        <v>59</v>
      </c>
      <c r="C42" s="34">
        <f>287127262+138753895+9673527</f>
        <v>435554684</v>
      </c>
      <c r="D42" s="34"/>
      <c r="E42" s="34"/>
      <c r="F42" s="34"/>
      <c r="G42" s="34"/>
      <c r="H42" s="34"/>
      <c r="I42" s="34"/>
      <c r="J42" s="34"/>
      <c r="K42" s="35">
        <f t="shared" si="10"/>
        <v>435554684</v>
      </c>
    </row>
    <row r="43" spans="1:11" s="16" customFormat="1" x14ac:dyDescent="0.3">
      <c r="A43" s="21"/>
      <c r="B43" s="25"/>
      <c r="C43" s="34"/>
      <c r="D43" s="34"/>
      <c r="E43" s="34"/>
      <c r="F43" s="34"/>
      <c r="G43" s="34"/>
      <c r="H43" s="34"/>
      <c r="I43" s="34"/>
      <c r="J43" s="34"/>
      <c r="K43" s="24"/>
    </row>
    <row r="44" spans="1:11" s="16" customFormat="1" x14ac:dyDescent="0.3">
      <c r="A44" s="21">
        <v>1400000</v>
      </c>
      <c r="B44" s="25" t="s">
        <v>34</v>
      </c>
      <c r="C44" s="23">
        <f>C45</f>
        <v>13776700</v>
      </c>
      <c r="D44" s="23">
        <f t="shared" ref="D44:J44" si="11">D45</f>
        <v>185080</v>
      </c>
      <c r="E44" s="23">
        <f t="shared" si="11"/>
        <v>7906099</v>
      </c>
      <c r="F44" s="23">
        <f t="shared" si="11"/>
        <v>5379183</v>
      </c>
      <c r="G44" s="23">
        <f t="shared" si="11"/>
        <v>3553669</v>
      </c>
      <c r="H44" s="23">
        <f t="shared" si="11"/>
        <v>3110243</v>
      </c>
      <c r="I44" s="23">
        <f t="shared" si="11"/>
        <v>1319613</v>
      </c>
      <c r="J44" s="23">
        <f t="shared" si="11"/>
        <v>687593</v>
      </c>
      <c r="K44" s="24">
        <f t="shared" ref="K44:K45" si="12">SUM(C44:J44)</f>
        <v>35918180</v>
      </c>
    </row>
    <row r="45" spans="1:11" s="16" customFormat="1" x14ac:dyDescent="0.3">
      <c r="A45" s="21">
        <v>1400100</v>
      </c>
      <c r="B45" s="25" t="s">
        <v>35</v>
      </c>
      <c r="C45" s="34">
        <v>13776700</v>
      </c>
      <c r="D45" s="34">
        <v>185080</v>
      </c>
      <c r="E45" s="34">
        <v>7906099</v>
      </c>
      <c r="F45" s="34">
        <v>5379183</v>
      </c>
      <c r="G45" s="34">
        <v>3553669</v>
      </c>
      <c r="H45" s="34">
        <v>3110243</v>
      </c>
      <c r="I45" s="34">
        <v>1319613</v>
      </c>
      <c r="J45" s="34">
        <v>687593</v>
      </c>
      <c r="K45" s="35">
        <f t="shared" si="12"/>
        <v>35918180</v>
      </c>
    </row>
    <row r="46" spans="1:11" s="16" customFormat="1" ht="16.2" thickBot="1" x14ac:dyDescent="0.35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9"/>
    </row>
    <row r="47" spans="1:11" s="16" customFormat="1" x14ac:dyDescent="0.3">
      <c r="A47" s="40">
        <v>2000000</v>
      </c>
      <c r="B47" s="41" t="s">
        <v>36</v>
      </c>
      <c r="C47" s="42">
        <f>SUM(C48+C56+C60+C62)</f>
        <v>226441738</v>
      </c>
      <c r="D47" s="42">
        <f t="shared" ref="D47:J47" si="13">SUM(D48+D56+D60+D62)</f>
        <v>286929</v>
      </c>
      <c r="E47" s="42">
        <f t="shared" si="13"/>
        <v>6246031</v>
      </c>
      <c r="F47" s="42">
        <f t="shared" si="13"/>
        <v>12446547</v>
      </c>
      <c r="G47" s="42">
        <f t="shared" si="13"/>
        <v>2310712</v>
      </c>
      <c r="H47" s="42">
        <f t="shared" si="13"/>
        <v>4617794</v>
      </c>
      <c r="I47" s="42">
        <f t="shared" si="13"/>
        <v>996626</v>
      </c>
      <c r="J47" s="42">
        <f t="shared" si="13"/>
        <v>595633</v>
      </c>
      <c r="K47" s="43">
        <f>SUM(C47:J47)</f>
        <v>253942010</v>
      </c>
    </row>
    <row r="48" spans="1:11" s="16" customFormat="1" ht="46.8" x14ac:dyDescent="0.3">
      <c r="A48" s="21">
        <v>2010000</v>
      </c>
      <c r="B48" s="25" t="s">
        <v>37</v>
      </c>
      <c r="C48" s="23">
        <f>20594487-4608449+4608449+59613414+6014362+974767+100000000</f>
        <v>187197030</v>
      </c>
      <c r="D48" s="23">
        <v>124917</v>
      </c>
      <c r="E48" s="23">
        <v>1137602</v>
      </c>
      <c r="F48" s="23">
        <v>9594750</v>
      </c>
      <c r="G48" s="23">
        <v>57817</v>
      </c>
      <c r="H48" s="23">
        <v>269611</v>
      </c>
      <c r="I48" s="23">
        <v>77008</v>
      </c>
      <c r="J48" s="23">
        <v>16463</v>
      </c>
      <c r="K48" s="24">
        <f t="shared" ref="K48:K54" si="14">SUM(C48:J48)</f>
        <v>198475198</v>
      </c>
    </row>
    <row r="49" spans="1:11" s="16" customFormat="1" ht="31.2" x14ac:dyDescent="0.3">
      <c r="A49" s="21">
        <v>2010200</v>
      </c>
      <c r="B49" s="25" t="s">
        <v>38</v>
      </c>
      <c r="C49" s="34">
        <v>1433657</v>
      </c>
      <c r="D49" s="34">
        <v>12257</v>
      </c>
      <c r="E49" s="34">
        <v>462808</v>
      </c>
      <c r="F49" s="34">
        <v>168911</v>
      </c>
      <c r="G49" s="34">
        <v>49650</v>
      </c>
      <c r="H49" s="34">
        <v>151096</v>
      </c>
      <c r="I49" s="34">
        <v>73439</v>
      </c>
      <c r="J49" s="34">
        <v>14543</v>
      </c>
      <c r="K49" s="24">
        <f t="shared" si="14"/>
        <v>2366361</v>
      </c>
    </row>
    <row r="50" spans="1:11" s="16" customFormat="1" ht="31.2" x14ac:dyDescent="0.3">
      <c r="A50" s="21">
        <v>2010300</v>
      </c>
      <c r="B50" s="25" t="s">
        <v>39</v>
      </c>
      <c r="C50" s="23">
        <v>4951557</v>
      </c>
      <c r="D50" s="23"/>
      <c r="E50" s="23">
        <v>369329</v>
      </c>
      <c r="F50" s="23">
        <v>9424131</v>
      </c>
      <c r="G50" s="23">
        <v>0</v>
      </c>
      <c r="H50" s="23">
        <v>0</v>
      </c>
      <c r="I50" s="23">
        <v>0</v>
      </c>
      <c r="J50" s="23">
        <v>0</v>
      </c>
      <c r="K50" s="24">
        <f t="shared" si="14"/>
        <v>14745017</v>
      </c>
    </row>
    <row r="51" spans="1:11" s="16" customFormat="1" ht="31.2" x14ac:dyDescent="0.3">
      <c r="A51" s="21">
        <v>2010400</v>
      </c>
      <c r="B51" s="25" t="s">
        <v>40</v>
      </c>
      <c r="C51" s="23">
        <f>85000+59613414</f>
        <v>59698414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4">
        <f t="shared" si="14"/>
        <v>59698414</v>
      </c>
    </row>
    <row r="52" spans="1:11" s="16" customFormat="1" ht="31.2" x14ac:dyDescent="0.3">
      <c r="A52" s="21">
        <v>2010500</v>
      </c>
      <c r="B52" s="25" t="s">
        <v>41</v>
      </c>
      <c r="C52" s="23">
        <v>16343</v>
      </c>
      <c r="D52" s="23">
        <v>0</v>
      </c>
      <c r="E52" s="23">
        <v>12423</v>
      </c>
      <c r="F52" s="23">
        <v>1708</v>
      </c>
      <c r="G52" s="23">
        <v>5098</v>
      </c>
      <c r="H52" s="23">
        <v>953</v>
      </c>
      <c r="I52" s="23">
        <v>3569</v>
      </c>
      <c r="J52" s="23">
        <v>0</v>
      </c>
      <c r="K52" s="24">
        <f t="shared" si="14"/>
        <v>40094</v>
      </c>
    </row>
    <row r="53" spans="1:11" s="16" customFormat="1" ht="31.2" x14ac:dyDescent="0.3">
      <c r="A53" s="21">
        <v>2010900</v>
      </c>
      <c r="B53" s="25" t="s">
        <v>42</v>
      </c>
      <c r="C53" s="23">
        <v>1858434</v>
      </c>
      <c r="D53" s="23">
        <v>112660</v>
      </c>
      <c r="E53" s="23">
        <v>266942</v>
      </c>
      <c r="F53" s="23">
        <v>0</v>
      </c>
      <c r="G53" s="23">
        <v>3069</v>
      </c>
      <c r="H53" s="23">
        <v>107518</v>
      </c>
      <c r="I53" s="23">
        <v>0</v>
      </c>
      <c r="J53" s="23">
        <v>0</v>
      </c>
      <c r="K53" s="24">
        <f t="shared" si="14"/>
        <v>2348623</v>
      </c>
    </row>
    <row r="54" spans="1:11" s="16" customFormat="1" ht="19.2" customHeight="1" x14ac:dyDescent="0.3">
      <c r="A54" s="21">
        <v>2011000</v>
      </c>
      <c r="B54" s="25" t="s">
        <v>43</v>
      </c>
      <c r="C54" s="23">
        <f>10043667-4608449+4608449+6014362+100000000</f>
        <v>116058029</v>
      </c>
      <c r="D54" s="23">
        <v>0</v>
      </c>
      <c r="E54" s="23">
        <v>0</v>
      </c>
      <c r="F54" s="23">
        <v>0</v>
      </c>
      <c r="G54" s="23">
        <v>0</v>
      </c>
      <c r="H54" s="44">
        <v>0</v>
      </c>
      <c r="I54" s="23">
        <v>0</v>
      </c>
      <c r="J54" s="23">
        <v>0</v>
      </c>
      <c r="K54" s="24">
        <f t="shared" si="14"/>
        <v>116058029</v>
      </c>
    </row>
    <row r="55" spans="1:11" s="16" customFormat="1" x14ac:dyDescent="0.3">
      <c r="A55" s="21"/>
      <c r="B55" s="25"/>
      <c r="C55" s="23"/>
      <c r="D55" s="23"/>
      <c r="E55" s="23"/>
      <c r="F55" s="23"/>
      <c r="G55" s="23"/>
      <c r="H55" s="23"/>
      <c r="I55" s="23"/>
      <c r="J55" s="23"/>
      <c r="K55" s="24"/>
    </row>
    <row r="56" spans="1:11" s="16" customFormat="1" ht="31.2" customHeight="1" x14ac:dyDescent="0.3">
      <c r="A56" s="21">
        <v>2020000</v>
      </c>
      <c r="B56" s="25" t="s">
        <v>44</v>
      </c>
      <c r="C56" s="23">
        <f>17835192+89925</f>
        <v>17925117</v>
      </c>
      <c r="D56" s="23">
        <v>0</v>
      </c>
      <c r="E56" s="23">
        <v>20000</v>
      </c>
      <c r="F56" s="23">
        <v>50000</v>
      </c>
      <c r="G56" s="23">
        <v>1000</v>
      </c>
      <c r="H56" s="23">
        <v>10000</v>
      </c>
      <c r="I56" s="23">
        <v>1000</v>
      </c>
      <c r="J56" s="23">
        <v>0</v>
      </c>
      <c r="K56" s="24">
        <f t="shared" ref="K56:K57" si="15">SUM(C56:J56)</f>
        <v>18007117</v>
      </c>
    </row>
    <row r="57" spans="1:11" s="16" customFormat="1" ht="31.2" x14ac:dyDescent="0.3">
      <c r="A57" s="26">
        <v>2020100</v>
      </c>
      <c r="B57" s="27" t="s">
        <v>45</v>
      </c>
      <c r="C57" s="34">
        <v>17500000</v>
      </c>
      <c r="D57" s="34">
        <v>0</v>
      </c>
      <c r="E57" s="34">
        <v>0</v>
      </c>
      <c r="F57" s="34">
        <v>0</v>
      </c>
      <c r="G57" s="34"/>
      <c r="H57" s="34"/>
      <c r="I57" s="34">
        <v>0</v>
      </c>
      <c r="J57" s="34">
        <v>0</v>
      </c>
      <c r="K57" s="35">
        <f t="shared" si="15"/>
        <v>17500000</v>
      </c>
    </row>
    <row r="58" spans="1:11" s="16" customFormat="1" ht="31.2" x14ac:dyDescent="0.3">
      <c r="A58" s="63">
        <v>2020800</v>
      </c>
      <c r="B58" s="64" t="s">
        <v>68</v>
      </c>
      <c r="C58" s="65">
        <f>135192+89925</f>
        <v>225117</v>
      </c>
      <c r="D58" s="65">
        <v>0</v>
      </c>
      <c r="E58" s="65">
        <v>0</v>
      </c>
      <c r="F58" s="65">
        <v>0</v>
      </c>
      <c r="G58" s="65"/>
      <c r="H58" s="65"/>
      <c r="I58" s="65">
        <v>0</v>
      </c>
      <c r="J58" s="65">
        <v>0</v>
      </c>
      <c r="K58" s="66">
        <f t="shared" ref="K58" si="16">SUM(C58:J58)</f>
        <v>225117</v>
      </c>
    </row>
    <row r="59" spans="1:11" s="16" customFormat="1" x14ac:dyDescent="0.3">
      <c r="A59" s="26"/>
      <c r="B59" s="27"/>
      <c r="C59" s="34"/>
      <c r="D59" s="34"/>
      <c r="E59" s="34"/>
      <c r="F59" s="34"/>
      <c r="G59" s="34"/>
      <c r="H59" s="34"/>
      <c r="I59" s="34"/>
      <c r="J59" s="34"/>
      <c r="K59" s="24"/>
    </row>
    <row r="60" spans="1:11" s="16" customFormat="1" x14ac:dyDescent="0.3">
      <c r="A60" s="45">
        <v>2060000</v>
      </c>
      <c r="B60" s="25" t="s">
        <v>46</v>
      </c>
      <c r="C60" s="23">
        <v>5533350</v>
      </c>
      <c r="D60" s="23">
        <v>98938</v>
      </c>
      <c r="E60" s="23">
        <v>1008715</v>
      </c>
      <c r="F60" s="23">
        <v>714529</v>
      </c>
      <c r="G60" s="23">
        <v>517200</v>
      </c>
      <c r="H60" s="23">
        <v>632302</v>
      </c>
      <c r="I60" s="23">
        <v>331595</v>
      </c>
      <c r="J60" s="23">
        <v>128813</v>
      </c>
      <c r="K60" s="24">
        <f t="shared" ref="K60" si="17">SUM(C60:J60)</f>
        <v>8965442</v>
      </c>
    </row>
    <row r="61" spans="1:11" s="16" customFormat="1" x14ac:dyDescent="0.3">
      <c r="A61" s="46"/>
      <c r="B61" s="27"/>
      <c r="C61" s="34"/>
      <c r="D61" s="34"/>
      <c r="E61" s="34"/>
      <c r="F61" s="34"/>
      <c r="G61" s="34"/>
      <c r="H61" s="34"/>
      <c r="I61" s="34"/>
      <c r="J61" s="34"/>
      <c r="K61" s="24"/>
    </row>
    <row r="62" spans="1:11" s="16" customFormat="1" x14ac:dyDescent="0.3">
      <c r="A62" s="45">
        <v>2070000</v>
      </c>
      <c r="B62" s="25" t="s">
        <v>47</v>
      </c>
      <c r="C62" s="23">
        <f>15672411+113830</f>
        <v>15786241</v>
      </c>
      <c r="D62" s="23">
        <v>63074</v>
      </c>
      <c r="E62" s="23">
        <v>4079714</v>
      </c>
      <c r="F62" s="23">
        <v>2087268</v>
      </c>
      <c r="G62" s="23">
        <v>1734695</v>
      </c>
      <c r="H62" s="23">
        <v>3705881</v>
      </c>
      <c r="I62" s="23">
        <v>587023</v>
      </c>
      <c r="J62" s="23">
        <v>450357</v>
      </c>
      <c r="K62" s="24">
        <f t="shared" ref="K62" si="18">SUM(C62:J62)</f>
        <v>28494253</v>
      </c>
    </row>
    <row r="63" spans="1:11" s="16" customFormat="1" ht="31.2" x14ac:dyDescent="0.3">
      <c r="A63" s="63">
        <v>2071800</v>
      </c>
      <c r="B63" s="64" t="s">
        <v>69</v>
      </c>
      <c r="C63" s="65">
        <f>3339077+113830</f>
        <v>3452907</v>
      </c>
      <c r="D63" s="65">
        <f>30008</f>
        <v>30008</v>
      </c>
      <c r="E63" s="65">
        <f>446814</f>
        <v>446814</v>
      </c>
      <c r="F63" s="65">
        <f>429407</f>
        <v>429407</v>
      </c>
      <c r="G63" s="65">
        <v>305008</v>
      </c>
      <c r="H63" s="65">
        <f>170317</f>
        <v>170317</v>
      </c>
      <c r="I63" s="65">
        <f>89861</f>
        <v>89861</v>
      </c>
      <c r="J63" s="65">
        <f>198500</f>
        <v>198500</v>
      </c>
      <c r="K63" s="66">
        <f t="shared" ref="K63" si="19">SUM(C63:J63)</f>
        <v>5122822</v>
      </c>
    </row>
    <row r="64" spans="1:11" s="16" customFormat="1" ht="16.2" thickBot="1" x14ac:dyDescent="0.35">
      <c r="A64" s="67"/>
      <c r="B64" s="68"/>
      <c r="C64" s="69"/>
      <c r="D64" s="69"/>
      <c r="E64" s="69"/>
      <c r="F64" s="69"/>
      <c r="G64" s="69"/>
      <c r="H64" s="69"/>
      <c r="I64" s="69"/>
      <c r="J64" s="69"/>
      <c r="K64" s="70"/>
    </row>
    <row r="65" spans="1:11" s="16" customFormat="1" x14ac:dyDescent="0.3">
      <c r="A65" s="73">
        <v>3000000</v>
      </c>
      <c r="B65" s="83" t="s">
        <v>70</v>
      </c>
      <c r="C65" s="84">
        <f>C66+C67</f>
        <v>865859868</v>
      </c>
      <c r="D65" s="84">
        <f t="shared" ref="D65:J65" si="20">D66+D67</f>
        <v>0</v>
      </c>
      <c r="E65" s="84">
        <f t="shared" si="20"/>
        <v>0</v>
      </c>
      <c r="F65" s="84">
        <f t="shared" si="20"/>
        <v>0</v>
      </c>
      <c r="G65" s="84">
        <f t="shared" si="20"/>
        <v>0</v>
      </c>
      <c r="H65" s="84">
        <f t="shared" si="20"/>
        <v>0</v>
      </c>
      <c r="I65" s="84">
        <f t="shared" si="20"/>
        <v>0</v>
      </c>
      <c r="J65" s="84">
        <f t="shared" si="20"/>
        <v>0</v>
      </c>
      <c r="K65" s="85">
        <f t="shared" ref="K65:K67" si="21">SUM(C65:J65)</f>
        <v>865859868</v>
      </c>
    </row>
    <row r="66" spans="1:11" s="16" customFormat="1" x14ac:dyDescent="0.3">
      <c r="A66" s="78">
        <v>3010000</v>
      </c>
      <c r="B66" s="71" t="s">
        <v>71</v>
      </c>
      <c r="C66" s="69">
        <f>761818857+38228771</f>
        <v>800047628</v>
      </c>
      <c r="D66" s="69"/>
      <c r="E66" s="69"/>
      <c r="F66" s="69"/>
      <c r="G66" s="69"/>
      <c r="H66" s="69"/>
      <c r="I66" s="69"/>
      <c r="J66" s="69"/>
      <c r="K66" s="70">
        <f t="shared" si="21"/>
        <v>800047628</v>
      </c>
    </row>
    <row r="67" spans="1:11" s="16" customFormat="1" ht="16.2" thickBot="1" x14ac:dyDescent="0.35">
      <c r="A67" s="79">
        <v>3060000</v>
      </c>
      <c r="B67" s="80" t="s">
        <v>72</v>
      </c>
      <c r="C67" s="81">
        <f>35871240+29941000</f>
        <v>65812240</v>
      </c>
      <c r="D67" s="81"/>
      <c r="E67" s="81"/>
      <c r="F67" s="81"/>
      <c r="G67" s="81"/>
      <c r="H67" s="81"/>
      <c r="I67" s="81"/>
      <c r="J67" s="81"/>
      <c r="K67" s="82">
        <f t="shared" si="21"/>
        <v>65812240</v>
      </c>
    </row>
    <row r="68" spans="1:11" s="16" customFormat="1" ht="16.2" thickBot="1" x14ac:dyDescent="0.35">
      <c r="A68" s="74"/>
      <c r="B68" s="75"/>
      <c r="C68" s="76"/>
      <c r="D68" s="76"/>
      <c r="E68" s="76"/>
      <c r="F68" s="76"/>
      <c r="G68" s="76"/>
      <c r="H68" s="76"/>
      <c r="I68" s="76"/>
      <c r="J68" s="76"/>
      <c r="K68" s="77"/>
    </row>
    <row r="69" spans="1:11" s="16" customFormat="1" x14ac:dyDescent="0.3">
      <c r="A69" s="51">
        <v>4000000</v>
      </c>
      <c r="B69" s="52" t="s">
        <v>48</v>
      </c>
      <c r="C69" s="42">
        <f t="shared" ref="C69:K69" si="22">SUM(C70+C73+C75+C77+C79+C81+C83+C85)</f>
        <v>424678552</v>
      </c>
      <c r="D69" s="42">
        <f t="shared" si="22"/>
        <v>10497074</v>
      </c>
      <c r="E69" s="42">
        <f t="shared" si="22"/>
        <v>12854980</v>
      </c>
      <c r="F69" s="42">
        <f t="shared" si="22"/>
        <v>22531594</v>
      </c>
      <c r="G69" s="42">
        <f t="shared" si="22"/>
        <v>10049232</v>
      </c>
      <c r="H69" s="42">
        <f t="shared" si="22"/>
        <v>21990558</v>
      </c>
      <c r="I69" s="42">
        <f t="shared" si="22"/>
        <v>18126042</v>
      </c>
      <c r="J69" s="42">
        <f t="shared" si="22"/>
        <v>6551375</v>
      </c>
      <c r="K69" s="43">
        <f t="shared" si="22"/>
        <v>527279407</v>
      </c>
    </row>
    <row r="70" spans="1:11" s="32" customFormat="1" x14ac:dyDescent="0.3">
      <c r="A70" s="53">
        <v>4010000</v>
      </c>
      <c r="B70" s="54" t="s">
        <v>49</v>
      </c>
      <c r="C70" s="55">
        <f>230413275</f>
        <v>230413275</v>
      </c>
      <c r="D70" s="55">
        <f>17618353-8279482</f>
        <v>9338871</v>
      </c>
      <c r="E70" s="55">
        <f>12483294-1385994</f>
        <v>11097300</v>
      </c>
      <c r="F70" s="55">
        <f>9276993-2894151</f>
        <v>6382842</v>
      </c>
      <c r="G70" s="55">
        <f>4357753-1236298</f>
        <v>3121455</v>
      </c>
      <c r="H70" s="55">
        <f>7167896-2466599</f>
        <v>4701297</v>
      </c>
      <c r="I70" s="55">
        <f>2394847-177698</f>
        <v>2217149</v>
      </c>
      <c r="J70" s="55">
        <f>1668851-798927</f>
        <v>869924</v>
      </c>
      <c r="K70" s="24">
        <f>SUM(C70:J70)</f>
        <v>268142113</v>
      </c>
    </row>
    <row r="71" spans="1:11" s="16" customFormat="1" x14ac:dyDescent="0.3">
      <c r="A71" s="46">
        <v>4010104</v>
      </c>
      <c r="B71" s="27" t="s">
        <v>50</v>
      </c>
      <c r="C71" s="34">
        <v>59146597</v>
      </c>
      <c r="D71" s="34">
        <f>17280791-8279482</f>
        <v>9001309</v>
      </c>
      <c r="E71" s="34">
        <f>10304983-1385994</f>
        <v>8918989</v>
      </c>
      <c r="F71" s="34">
        <f>6824621-2894151</f>
        <v>3930470</v>
      </c>
      <c r="G71" s="34">
        <f>3286344-1236298</f>
        <v>2050046</v>
      </c>
      <c r="H71" s="34">
        <f>5692572-2466599</f>
        <v>3225973</v>
      </c>
      <c r="I71" s="34">
        <f>1566990-177698</f>
        <v>1389292</v>
      </c>
      <c r="J71" s="34">
        <f>1285487-798927</f>
        <v>486560</v>
      </c>
      <c r="K71" s="35">
        <f>SUM(C71:J71)</f>
        <v>88149236</v>
      </c>
    </row>
    <row r="72" spans="1:11" s="16" customFormat="1" x14ac:dyDescent="0.3">
      <c r="A72" s="46"/>
      <c r="B72" s="27"/>
      <c r="C72" s="34"/>
      <c r="D72" s="34"/>
      <c r="E72" s="34"/>
      <c r="F72" s="34"/>
      <c r="G72" s="34"/>
      <c r="H72" s="34"/>
      <c r="I72" s="34"/>
      <c r="J72" s="34"/>
      <c r="K72" s="24"/>
    </row>
    <row r="73" spans="1:11" s="16" customFormat="1" ht="31.2" x14ac:dyDescent="0.3">
      <c r="A73" s="45">
        <v>4020100</v>
      </c>
      <c r="B73" s="25" t="s">
        <v>51</v>
      </c>
      <c r="C73" s="23">
        <f>2826536+229635</f>
        <v>3056171</v>
      </c>
      <c r="D73" s="23">
        <f>1158001+202</f>
        <v>1158203</v>
      </c>
      <c r="E73" s="23">
        <f>792844+16657</f>
        <v>809501</v>
      </c>
      <c r="F73" s="23">
        <f>1147329+24853</f>
        <v>1172182</v>
      </c>
      <c r="G73" s="23">
        <f>282434+13229</f>
        <v>295663</v>
      </c>
      <c r="H73" s="23">
        <f>844811+105100</f>
        <v>949911</v>
      </c>
      <c r="I73" s="23">
        <f>290746+5336</f>
        <v>296082</v>
      </c>
      <c r="J73" s="23">
        <f>149591+34922</f>
        <v>184513</v>
      </c>
      <c r="K73" s="24">
        <f>SUM(C73:J73)</f>
        <v>7922226</v>
      </c>
    </row>
    <row r="74" spans="1:11" s="16" customFormat="1" x14ac:dyDescent="0.3">
      <c r="A74" s="46"/>
      <c r="B74" s="27"/>
      <c r="C74" s="34"/>
      <c r="D74" s="34"/>
      <c r="E74" s="34"/>
      <c r="F74" s="34"/>
      <c r="G74" s="34"/>
      <c r="H74" s="34"/>
      <c r="I74" s="34"/>
      <c r="J74" s="34"/>
      <c r="K74" s="24"/>
    </row>
    <row r="75" spans="1:11" ht="62.4" customHeight="1" x14ac:dyDescent="0.3">
      <c r="A75" s="21">
        <v>4080000</v>
      </c>
      <c r="B75" s="25" t="s">
        <v>52</v>
      </c>
      <c r="C75" s="23">
        <v>508900</v>
      </c>
      <c r="D75" s="23">
        <v>0</v>
      </c>
      <c r="E75" s="23">
        <v>762530</v>
      </c>
      <c r="F75" s="23">
        <v>12079989</v>
      </c>
      <c r="G75" s="23">
        <v>5390077</v>
      </c>
      <c r="H75" s="23">
        <v>13061458</v>
      </c>
      <c r="I75" s="23">
        <v>12638495</v>
      </c>
      <c r="J75" s="23">
        <v>4269418</v>
      </c>
      <c r="K75" s="24">
        <f t="shared" ref="K75" si="23">SUM(C75:J75)</f>
        <v>48710867</v>
      </c>
    </row>
    <row r="76" spans="1:11" x14ac:dyDescent="0.3">
      <c r="A76" s="45"/>
      <c r="B76" s="25"/>
      <c r="C76" s="23"/>
      <c r="D76" s="23"/>
      <c r="E76" s="23"/>
      <c r="F76" s="23"/>
      <c r="G76" s="23"/>
      <c r="H76" s="23"/>
      <c r="I76" s="23"/>
      <c r="J76" s="23"/>
      <c r="K76" s="24"/>
    </row>
    <row r="77" spans="1:11" x14ac:dyDescent="0.3">
      <c r="A77" s="45">
        <v>4100000</v>
      </c>
      <c r="B77" s="25" t="s">
        <v>53</v>
      </c>
      <c r="C77" s="23">
        <f>250000000-131300356</f>
        <v>118699644</v>
      </c>
      <c r="D77" s="23"/>
      <c r="E77" s="23"/>
      <c r="F77" s="23"/>
      <c r="G77" s="23"/>
      <c r="H77" s="23"/>
      <c r="I77" s="23"/>
      <c r="J77" s="23"/>
      <c r="K77" s="24">
        <f t="shared" ref="K77" si="24">SUM(C77:J77)</f>
        <v>118699644</v>
      </c>
    </row>
    <row r="78" spans="1:11" x14ac:dyDescent="0.3">
      <c r="A78" s="45"/>
      <c r="B78" s="25"/>
      <c r="C78" s="23"/>
      <c r="D78" s="23"/>
      <c r="E78" s="23"/>
      <c r="F78" s="23"/>
      <c r="G78" s="23"/>
      <c r="H78" s="23"/>
      <c r="I78" s="23"/>
      <c r="J78" s="23"/>
      <c r="K78" s="24"/>
    </row>
    <row r="79" spans="1:11" x14ac:dyDescent="0.3">
      <c r="A79" s="45">
        <v>4110000</v>
      </c>
      <c r="B79" s="25" t="s">
        <v>54</v>
      </c>
      <c r="C79" s="23">
        <f>23433526-5022362</f>
        <v>18411164</v>
      </c>
      <c r="D79" s="23"/>
      <c r="E79" s="23"/>
      <c r="F79" s="23"/>
      <c r="G79" s="23"/>
      <c r="H79" s="23"/>
      <c r="I79" s="23"/>
      <c r="J79" s="23"/>
      <c r="K79" s="24">
        <f t="shared" ref="K79" si="25">SUM(C79:J79)</f>
        <v>18411164</v>
      </c>
    </row>
    <row r="80" spans="1:11" x14ac:dyDescent="0.3">
      <c r="A80" s="45"/>
      <c r="B80" s="25"/>
      <c r="C80" s="23"/>
      <c r="D80" s="23"/>
      <c r="E80" s="23"/>
      <c r="F80" s="23"/>
      <c r="G80" s="23"/>
      <c r="H80" s="23"/>
      <c r="I80" s="23"/>
      <c r="J80" s="23"/>
      <c r="K80" s="24"/>
    </row>
    <row r="81" spans="1:11" x14ac:dyDescent="0.3">
      <c r="A81" s="45">
        <v>4120000</v>
      </c>
      <c r="B81" s="25" t="s">
        <v>55</v>
      </c>
      <c r="C81" s="23">
        <f>7937468-2106177</f>
        <v>5831291</v>
      </c>
      <c r="D81" s="23"/>
      <c r="E81" s="23"/>
      <c r="F81" s="23"/>
      <c r="G81" s="23"/>
      <c r="H81" s="23"/>
      <c r="I81" s="23"/>
      <c r="J81" s="23"/>
      <c r="K81" s="24">
        <f t="shared" ref="K81" si="26">SUM(C81:J81)</f>
        <v>5831291</v>
      </c>
    </row>
    <row r="82" spans="1:11" x14ac:dyDescent="0.3">
      <c r="A82" s="45"/>
      <c r="B82" s="25"/>
      <c r="C82" s="23"/>
      <c r="D82" s="23"/>
      <c r="E82" s="23"/>
      <c r="F82" s="23"/>
      <c r="G82" s="23"/>
      <c r="H82" s="23"/>
      <c r="I82" s="23"/>
      <c r="J82" s="23"/>
      <c r="K82" s="24"/>
    </row>
    <row r="83" spans="1:11" x14ac:dyDescent="0.3">
      <c r="A83" s="45">
        <v>4130000</v>
      </c>
      <c r="B83" s="25" t="s">
        <v>57</v>
      </c>
      <c r="C83" s="23">
        <f>21925000-325000-9673527</f>
        <v>11926473</v>
      </c>
      <c r="D83" s="23"/>
      <c r="E83" s="23"/>
      <c r="F83" s="23"/>
      <c r="G83" s="23"/>
      <c r="H83" s="23"/>
      <c r="I83" s="23"/>
      <c r="J83" s="23"/>
      <c r="K83" s="24">
        <f t="shared" ref="K83" si="27">SUM(C83:J83)</f>
        <v>11926473</v>
      </c>
    </row>
    <row r="84" spans="1:11" x14ac:dyDescent="0.3">
      <c r="A84" s="45"/>
      <c r="B84" s="25"/>
      <c r="C84" s="23"/>
      <c r="D84" s="23"/>
      <c r="E84" s="23"/>
      <c r="F84" s="23"/>
      <c r="G84" s="23"/>
      <c r="H84" s="23"/>
      <c r="I84" s="23"/>
      <c r="J84" s="23"/>
      <c r="K84" s="24"/>
    </row>
    <row r="85" spans="1:11" s="56" customFormat="1" x14ac:dyDescent="0.3">
      <c r="A85" s="53">
        <v>4140000</v>
      </c>
      <c r="B85" s="54" t="s">
        <v>58</v>
      </c>
      <c r="C85" s="55">
        <f>34211005+1620629</f>
        <v>35831634</v>
      </c>
      <c r="D85" s="55">
        <v>0</v>
      </c>
      <c r="E85" s="55">
        <v>185649</v>
      </c>
      <c r="F85" s="55">
        <v>2896581</v>
      </c>
      <c r="G85" s="55">
        <v>1242037</v>
      </c>
      <c r="H85" s="55">
        <v>3277892</v>
      </c>
      <c r="I85" s="55">
        <v>2974316</v>
      </c>
      <c r="J85" s="55">
        <v>1227520</v>
      </c>
      <c r="K85" s="31">
        <f t="shared" ref="K85" si="28">SUM(C85:J85)</f>
        <v>47635629</v>
      </c>
    </row>
    <row r="86" spans="1:11" ht="16.2" thickBot="1" x14ac:dyDescent="0.35">
      <c r="A86" s="47"/>
      <c r="B86" s="48"/>
      <c r="C86" s="49"/>
      <c r="D86" s="49"/>
      <c r="E86" s="49"/>
      <c r="F86" s="49"/>
      <c r="G86" s="49"/>
      <c r="H86" s="49"/>
      <c r="I86" s="49"/>
      <c r="J86" s="49"/>
      <c r="K86" s="50"/>
    </row>
    <row r="87" spans="1:11" ht="31.2" x14ac:dyDescent="0.3">
      <c r="A87" s="51">
        <v>5000000</v>
      </c>
      <c r="B87" s="52" t="s">
        <v>63</v>
      </c>
      <c r="C87" s="42">
        <f>143774909-301038-869623-535526</f>
        <v>142068722</v>
      </c>
      <c r="D87" s="42">
        <f>7598858+72444</f>
        <v>7671302</v>
      </c>
      <c r="E87" s="42">
        <f>31703414+126519</f>
        <v>31829933</v>
      </c>
      <c r="F87" s="42">
        <f>20606395+45830</f>
        <v>20652225</v>
      </c>
      <c r="G87" s="42">
        <f>10602035+83238</f>
        <v>10685273</v>
      </c>
      <c r="H87" s="42">
        <f>2626158+100000</f>
        <v>2726158</v>
      </c>
      <c r="I87" s="42">
        <v>4564861</v>
      </c>
      <c r="J87" s="42">
        <f>3319794+24617</f>
        <v>3344411</v>
      </c>
      <c r="K87" s="43">
        <f t="shared" ref="K87:K89" si="29">SUM(C87:J87)</f>
        <v>223542885</v>
      </c>
    </row>
    <row r="88" spans="1:11" ht="16.2" thickBot="1" x14ac:dyDescent="0.35">
      <c r="A88" s="86"/>
      <c r="B88" s="87"/>
      <c r="C88" s="88"/>
      <c r="D88" s="88"/>
      <c r="E88" s="88"/>
      <c r="F88" s="88"/>
      <c r="G88" s="88"/>
      <c r="H88" s="88"/>
      <c r="I88" s="88"/>
      <c r="J88" s="88"/>
      <c r="K88" s="89"/>
    </row>
    <row r="89" spans="1:11" ht="31.8" thickBot="1" x14ac:dyDescent="0.35">
      <c r="A89" s="72">
        <v>6010000</v>
      </c>
      <c r="B89" s="90" t="s">
        <v>73</v>
      </c>
      <c r="C89" s="60">
        <f>236346291+1000-7959141</f>
        <v>228388150</v>
      </c>
      <c r="D89" s="60"/>
      <c r="E89" s="60"/>
      <c r="F89" s="60"/>
      <c r="G89" s="60"/>
      <c r="H89" s="60"/>
      <c r="I89" s="60"/>
      <c r="J89" s="60"/>
      <c r="K89" s="91">
        <f t="shared" si="29"/>
        <v>228388150</v>
      </c>
    </row>
    <row r="90" spans="1:11" ht="16.2" thickBot="1" x14ac:dyDescent="0.35">
      <c r="A90" s="86"/>
      <c r="B90" s="87"/>
      <c r="C90" s="88"/>
      <c r="D90" s="88"/>
      <c r="E90" s="88"/>
      <c r="F90" s="88"/>
      <c r="G90" s="88"/>
      <c r="H90" s="88"/>
      <c r="I90" s="88"/>
      <c r="J90" s="88"/>
      <c r="K90" s="89"/>
    </row>
    <row r="91" spans="1:11" ht="21.75" customHeight="1" thickBot="1" x14ac:dyDescent="0.35">
      <c r="A91" s="58"/>
      <c r="B91" s="59" t="s">
        <v>56</v>
      </c>
      <c r="C91" s="60">
        <f>SUM(C14+C47+C69+C87+C65+C89)</f>
        <v>3157048693</v>
      </c>
      <c r="D91" s="60">
        <f t="shared" ref="D91:I91" si="30">SUM(D14+D47+D69+D87+D65+D89)</f>
        <v>144918451</v>
      </c>
      <c r="E91" s="60">
        <f t="shared" si="30"/>
        <v>172126221</v>
      </c>
      <c r="F91" s="60">
        <f t="shared" si="30"/>
        <v>126500014</v>
      </c>
      <c r="G91" s="60">
        <f t="shared" si="30"/>
        <v>53859242</v>
      </c>
      <c r="H91" s="60">
        <f t="shared" si="30"/>
        <v>77514138</v>
      </c>
      <c r="I91" s="60">
        <f t="shared" si="30"/>
        <v>53525817</v>
      </c>
      <c r="J91" s="60">
        <f>SUM(J14+J47+J69+J87+J65+J89)</f>
        <v>19042962</v>
      </c>
      <c r="K91" s="61">
        <f>SUM(C91:J91)</f>
        <v>3804535538</v>
      </c>
    </row>
  </sheetData>
  <mergeCells count="6">
    <mergeCell ref="A11:K11"/>
    <mergeCell ref="J1:K1"/>
    <mergeCell ref="H2:K2"/>
    <mergeCell ref="H3:K3"/>
    <mergeCell ref="H4:K4"/>
    <mergeCell ref="H5:K5"/>
  </mergeCells>
  <pageMargins left="0.39370078740157483" right="0.19685039370078741" top="0.39370078740157483" bottom="0.19685039370078741" header="0" footer="0"/>
  <pageSetup paperSize="9" scale="72" firstPageNumber="6" fitToHeight="3" orientation="landscape" useFirstPageNumber="1" r:id="rId1"/>
  <headerFooter scaleWithDoc="0" alignWithMargins="0">
    <oddHeader>&amp;C&amp;"Times New Roman,обычный"&amp;P</oddHeader>
  </headerFooter>
  <rowBreaks count="2" manualBreakCount="2">
    <brk id="31" max="10" man="1"/>
    <brk id="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(16)</vt:lpstr>
      <vt:lpstr>'приложение № 1 (16)'!Заголовки_для_печати</vt:lpstr>
      <vt:lpstr>'приложение № 1 (16)'!Область_печати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2026-03-09T08:08:28Z</dcterms:modified>
</cp:coreProperties>
</file>