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5\декабрь\24 декабря\ЗАКОН\зак пост № 28 п. 1716 (Б-26)(VII)\"/>
    </mc:Choice>
  </mc:AlternateContent>
  <bookViews>
    <workbookView xWindow="28680" yWindow="-120" windowWidth="24240" windowHeight="13140" firstSheet="6" activeTab="6"/>
  </bookViews>
  <sheets>
    <sheet name="Приложение № 2.34 " sheetId="2" state="hidden" r:id="rId1"/>
    <sheet name="Приложение № 2.34 расчет" sheetId="1" state="hidden" r:id="rId2"/>
    <sheet name="Лист1" sheetId="3" state="hidden" r:id="rId3"/>
    <sheet name="Лист1 (2)" sheetId="4" state="hidden" r:id="rId4"/>
    <sheet name="ИТОГО" sheetId="5" state="hidden" r:id="rId5"/>
    <sheet name="Расчет 2025" sheetId="6" state="hidden" r:id="rId6"/>
    <sheet name="Приложение № 2.21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7" l="1"/>
  <c r="E17" i="7"/>
  <c r="D17" i="7"/>
  <c r="E5" i="6"/>
  <c r="E4" i="6"/>
  <c r="G4" i="6" s="1"/>
  <c r="C18" i="7" l="1"/>
  <c r="G5" i="6"/>
  <c r="W26" i="5"/>
  <c r="Q11" i="5"/>
  <c r="Q10" i="5"/>
  <c r="P10" i="5"/>
  <c r="Q9" i="5"/>
  <c r="P9" i="5"/>
  <c r="Q8" i="5"/>
  <c r="P8" i="5"/>
  <c r="P7" i="5"/>
  <c r="Q6" i="5"/>
  <c r="Q7" i="5"/>
  <c r="P6" i="5"/>
  <c r="Q5" i="5"/>
  <c r="P5" i="5"/>
  <c r="Q4" i="5"/>
  <c r="P4" i="5"/>
  <c r="W23" i="5" s="1"/>
  <c r="I5" i="5"/>
  <c r="I6" i="5"/>
  <c r="I7" i="5"/>
  <c r="I8" i="5"/>
  <c r="I9" i="5"/>
  <c r="I10" i="5"/>
  <c r="I11" i="5"/>
  <c r="I4" i="5"/>
  <c r="G36" i="5"/>
  <c r="H36" i="5" s="1"/>
  <c r="L31" i="5"/>
  <c r="K31" i="5"/>
  <c r="I30" i="5"/>
  <c r="L30" i="5" s="1"/>
  <c r="G30" i="5"/>
  <c r="K30" i="5" s="1"/>
  <c r="I29" i="5"/>
  <c r="L29" i="5" s="1"/>
  <c r="G29" i="5"/>
  <c r="K29" i="5" s="1"/>
  <c r="I28" i="5"/>
  <c r="L28" i="5" s="1"/>
  <c r="G28" i="5"/>
  <c r="K28" i="5" s="1"/>
  <c r="I27" i="5"/>
  <c r="L27" i="5" s="1"/>
  <c r="G27" i="5"/>
  <c r="K27" i="5" s="1"/>
  <c r="I26" i="5"/>
  <c r="L26" i="5" s="1"/>
  <c r="G26" i="5"/>
  <c r="K26" i="5" s="1"/>
  <c r="I25" i="5"/>
  <c r="L25" i="5" s="1"/>
  <c r="G25" i="5"/>
  <c r="K25" i="5" s="1"/>
  <c r="I24" i="5"/>
  <c r="L24" i="5" s="1"/>
  <c r="G24" i="5"/>
  <c r="K24" i="5" s="1"/>
  <c r="I23" i="5"/>
  <c r="I33" i="5" s="1"/>
  <c r="G23" i="5"/>
  <c r="K23" i="5" s="1"/>
  <c r="H12" i="5"/>
  <c r="H18" i="5" s="1"/>
  <c r="F12" i="5"/>
  <c r="F18" i="5" s="1"/>
  <c r="E12" i="5"/>
  <c r="D12" i="5"/>
  <c r="C12" i="5"/>
  <c r="C13" i="5" s="1"/>
  <c r="AB11" i="5"/>
  <c r="AD11" i="5" s="1"/>
  <c r="AA11" i="5"/>
  <c r="AC11" i="5" s="1"/>
  <c r="P11" i="5"/>
  <c r="N11" i="5"/>
  <c r="M11" i="5"/>
  <c r="O11" i="5" s="1"/>
  <c r="K11" i="5"/>
  <c r="T11" i="5" s="1"/>
  <c r="J11" i="5"/>
  <c r="L11" i="5" s="1"/>
  <c r="AB10" i="5"/>
  <c r="AD10" i="5" s="1"/>
  <c r="AA10" i="5"/>
  <c r="AC10" i="5" s="1"/>
  <c r="N10" i="5"/>
  <c r="M10" i="5"/>
  <c r="O10" i="5" s="1"/>
  <c r="K10" i="5"/>
  <c r="T10" i="5" s="1"/>
  <c r="J10" i="5"/>
  <c r="L10" i="5" s="1"/>
  <c r="AD9" i="5"/>
  <c r="AB9" i="5"/>
  <c r="AA9" i="5"/>
  <c r="AC9" i="5" s="1"/>
  <c r="N9" i="5"/>
  <c r="M9" i="5"/>
  <c r="O9" i="5" s="1"/>
  <c r="K9" i="5"/>
  <c r="J9" i="5"/>
  <c r="L9" i="5" s="1"/>
  <c r="AB8" i="5"/>
  <c r="AD8" i="5" s="1"/>
  <c r="AA8" i="5"/>
  <c r="AC8" i="5" s="1"/>
  <c r="N8" i="5"/>
  <c r="M8" i="5"/>
  <c r="O8" i="5" s="1"/>
  <c r="K8" i="5"/>
  <c r="J8" i="5"/>
  <c r="L8" i="5" s="1"/>
  <c r="AB7" i="5"/>
  <c r="AD7" i="5" s="1"/>
  <c r="AA7" i="5"/>
  <c r="AC7" i="5" s="1"/>
  <c r="N7" i="5"/>
  <c r="M7" i="5"/>
  <c r="O7" i="5" s="1"/>
  <c r="K7" i="5"/>
  <c r="T7" i="5" s="1"/>
  <c r="J7" i="5"/>
  <c r="L7" i="5" s="1"/>
  <c r="AB6" i="5"/>
  <c r="AD6" i="5" s="1"/>
  <c r="AA6" i="5"/>
  <c r="AC6" i="5" s="1"/>
  <c r="N6" i="5"/>
  <c r="M6" i="5"/>
  <c r="O6" i="5" s="1"/>
  <c r="K6" i="5"/>
  <c r="J6" i="5"/>
  <c r="S6" i="5" s="1"/>
  <c r="AD5" i="5"/>
  <c r="AB5" i="5"/>
  <c r="AA5" i="5"/>
  <c r="AC5" i="5" s="1"/>
  <c r="N5" i="5"/>
  <c r="M5" i="5"/>
  <c r="O5" i="5" s="1"/>
  <c r="K5" i="5"/>
  <c r="J5" i="5"/>
  <c r="L5" i="5" s="1"/>
  <c r="AB4" i="5"/>
  <c r="AB13" i="5" s="1"/>
  <c r="AA4" i="5"/>
  <c r="AA13" i="5" s="1"/>
  <c r="N4" i="5"/>
  <c r="M4" i="5"/>
  <c r="O4" i="5" s="1"/>
  <c r="K4" i="5"/>
  <c r="K12" i="5" s="1"/>
  <c r="J4" i="5"/>
  <c r="L4" i="5" s="1"/>
  <c r="Q11" i="4"/>
  <c r="Q10" i="4"/>
  <c r="Q9" i="4"/>
  <c r="Q8" i="4"/>
  <c r="Q7" i="4"/>
  <c r="Q6" i="4"/>
  <c r="Q5" i="4"/>
  <c r="Q4" i="4"/>
  <c r="N11" i="4"/>
  <c r="N10" i="4"/>
  <c r="N9" i="4"/>
  <c r="N8" i="4"/>
  <c r="N7" i="4"/>
  <c r="N6" i="4"/>
  <c r="N5" i="4"/>
  <c r="N4" i="4"/>
  <c r="K11" i="4"/>
  <c r="K10" i="4"/>
  <c r="K9" i="4"/>
  <c r="K8" i="4"/>
  <c r="K7" i="4"/>
  <c r="K6" i="4"/>
  <c r="K5" i="4"/>
  <c r="K4" i="4"/>
  <c r="P11" i="4"/>
  <c r="R11" i="4" s="1"/>
  <c r="P10" i="4"/>
  <c r="R10" i="4" s="1"/>
  <c r="P9" i="4"/>
  <c r="R9" i="4" s="1"/>
  <c r="P8" i="4"/>
  <c r="R8" i="4" s="1"/>
  <c r="P7" i="4"/>
  <c r="R7" i="4" s="1"/>
  <c r="P6" i="4"/>
  <c r="R6" i="4" s="1"/>
  <c r="P5" i="4"/>
  <c r="R5" i="4" s="1"/>
  <c r="P4" i="4"/>
  <c r="R4" i="4" s="1"/>
  <c r="M11" i="4"/>
  <c r="O11" i="4" s="1"/>
  <c r="M10" i="4"/>
  <c r="O10" i="4" s="1"/>
  <c r="M9" i="4"/>
  <c r="O9" i="4" s="1"/>
  <c r="M8" i="4"/>
  <c r="O8" i="4" s="1"/>
  <c r="M7" i="4"/>
  <c r="O7" i="4" s="1"/>
  <c r="M6" i="4"/>
  <c r="O6" i="4" s="1"/>
  <c r="M5" i="4"/>
  <c r="O5" i="4" s="1"/>
  <c r="M4" i="4"/>
  <c r="O4" i="4" s="1"/>
  <c r="J11" i="4"/>
  <c r="L11" i="4" s="1"/>
  <c r="J10" i="4"/>
  <c r="L10" i="4" s="1"/>
  <c r="J9" i="4"/>
  <c r="L9" i="4" s="1"/>
  <c r="J8" i="4"/>
  <c r="L8" i="4" s="1"/>
  <c r="J7" i="4"/>
  <c r="L7" i="4" s="1"/>
  <c r="J6" i="4"/>
  <c r="L6" i="4" s="1"/>
  <c r="J5" i="4"/>
  <c r="L5" i="4" s="1"/>
  <c r="J4" i="4"/>
  <c r="L4" i="4" s="1"/>
  <c r="L31" i="4"/>
  <c r="AC4" i="5" l="1"/>
  <c r="S5" i="5"/>
  <c r="T8" i="5"/>
  <c r="F13" i="5"/>
  <c r="L23" i="5"/>
  <c r="M31" i="5"/>
  <c r="G33" i="5"/>
  <c r="W29" i="5"/>
  <c r="W27" i="5"/>
  <c r="W25" i="5"/>
  <c r="AD4" i="5"/>
  <c r="S11" i="5"/>
  <c r="L6" i="5"/>
  <c r="S9" i="5"/>
  <c r="W30" i="5"/>
  <c r="W28" i="5"/>
  <c r="W24" i="5"/>
  <c r="G6" i="6"/>
  <c r="S10" i="5"/>
  <c r="T9" i="5"/>
  <c r="Q12" i="5"/>
  <c r="S7" i="5"/>
  <c r="T6" i="5"/>
  <c r="T5" i="5"/>
  <c r="P12" i="5"/>
  <c r="W31" i="5" s="1"/>
  <c r="X23" i="5" s="1"/>
  <c r="R4" i="5" s="1"/>
  <c r="T4" i="5"/>
  <c r="I12" i="5"/>
  <c r="S4" i="5"/>
  <c r="L12" i="5"/>
  <c r="S8" i="5"/>
  <c r="J12" i="5"/>
  <c r="J13" i="5" s="1"/>
  <c r="N12" i="5"/>
  <c r="M12" i="5"/>
  <c r="M13" i="5" s="1"/>
  <c r="T12" i="5" l="1"/>
  <c r="P13" i="5"/>
  <c r="O12" i="5"/>
  <c r="S12" i="5"/>
  <c r="S13" i="5" l="1"/>
  <c r="G36" i="4" l="1"/>
  <c r="H36" i="4" s="1"/>
  <c r="K31" i="4"/>
  <c r="M31" i="4" s="1"/>
  <c r="G23" i="4"/>
  <c r="I24" i="4"/>
  <c r="I25" i="4"/>
  <c r="I26" i="4"/>
  <c r="I27" i="4"/>
  <c r="I28" i="4"/>
  <c r="I29" i="4"/>
  <c r="I30" i="4"/>
  <c r="I23" i="4"/>
  <c r="G24" i="4"/>
  <c r="AA5" i="4" s="1"/>
  <c r="AC5" i="4" s="1"/>
  <c r="G25" i="4"/>
  <c r="AA6" i="4" s="1"/>
  <c r="AC6" i="4" s="1"/>
  <c r="G26" i="4"/>
  <c r="AA7" i="4" s="1"/>
  <c r="AC7" i="4" s="1"/>
  <c r="G27" i="4"/>
  <c r="AA8" i="4" s="1"/>
  <c r="AC8" i="4" s="1"/>
  <c r="G28" i="4"/>
  <c r="G29" i="4"/>
  <c r="AA10" i="4" s="1"/>
  <c r="AC10" i="4" s="1"/>
  <c r="G30" i="4"/>
  <c r="H12" i="4"/>
  <c r="H18" i="4" s="1"/>
  <c r="F12" i="4"/>
  <c r="E12" i="4"/>
  <c r="D12" i="4"/>
  <c r="C12" i="4"/>
  <c r="T11" i="4"/>
  <c r="S11" i="4"/>
  <c r="I11" i="4"/>
  <c r="T10" i="4"/>
  <c r="I10" i="4"/>
  <c r="T9" i="4"/>
  <c r="S9" i="4"/>
  <c r="I9" i="4"/>
  <c r="S8" i="4"/>
  <c r="T8" i="4"/>
  <c r="I8" i="4"/>
  <c r="T7" i="4"/>
  <c r="S7" i="4"/>
  <c r="I7" i="4"/>
  <c r="T6" i="4"/>
  <c r="I6" i="4"/>
  <c r="T5" i="4"/>
  <c r="S5" i="4"/>
  <c r="I5" i="4"/>
  <c r="S4" i="4"/>
  <c r="Q12" i="4"/>
  <c r="P12" i="4"/>
  <c r="N12" i="4"/>
  <c r="M12" i="4"/>
  <c r="K12" i="4"/>
  <c r="I4" i="4"/>
  <c r="U4" i="4" s="1"/>
  <c r="C13" i="4" l="1"/>
  <c r="AB4" i="4"/>
  <c r="L23" i="4"/>
  <c r="L29" i="4"/>
  <c r="AB10" i="4"/>
  <c r="AD10" i="4" s="1"/>
  <c r="L27" i="4"/>
  <c r="AB8" i="4"/>
  <c r="AD8" i="4" s="1"/>
  <c r="AB6" i="4"/>
  <c r="AD6" i="4" s="1"/>
  <c r="L25" i="4"/>
  <c r="I33" i="4"/>
  <c r="K29" i="4"/>
  <c r="K26" i="4"/>
  <c r="K24" i="4"/>
  <c r="AA11" i="4"/>
  <c r="AC11" i="4" s="1"/>
  <c r="K30" i="4"/>
  <c r="AA9" i="4"/>
  <c r="AC9" i="4" s="1"/>
  <c r="K28" i="4"/>
  <c r="AB11" i="4"/>
  <c r="AD11" i="4" s="1"/>
  <c r="L30" i="4"/>
  <c r="AB9" i="4"/>
  <c r="AD9" i="4" s="1"/>
  <c r="L28" i="4"/>
  <c r="AB7" i="4"/>
  <c r="AD7" i="4" s="1"/>
  <c r="L26" i="4"/>
  <c r="AB5" i="4"/>
  <c r="AD5" i="4" s="1"/>
  <c r="L24" i="4"/>
  <c r="G33" i="4"/>
  <c r="K23" i="4"/>
  <c r="AA4" i="4"/>
  <c r="K27" i="4"/>
  <c r="K25" i="4"/>
  <c r="M13" i="4"/>
  <c r="U11" i="4"/>
  <c r="I12" i="4"/>
  <c r="W4" i="4"/>
  <c r="P13" i="4"/>
  <c r="W6" i="4"/>
  <c r="U8" i="4"/>
  <c r="W8" i="4"/>
  <c r="W10" i="4"/>
  <c r="R12" i="4"/>
  <c r="T12" i="4"/>
  <c r="U6" i="4"/>
  <c r="U10" i="4"/>
  <c r="W5" i="4"/>
  <c r="S6" i="4"/>
  <c r="W9" i="4"/>
  <c r="S10" i="4"/>
  <c r="W11" i="4"/>
  <c r="U7" i="4"/>
  <c r="F13" i="4"/>
  <c r="J12" i="4"/>
  <c r="J13" i="4" s="1"/>
  <c r="F18" i="4"/>
  <c r="T4" i="4"/>
  <c r="H12" i="3"/>
  <c r="H18" i="3" s="1"/>
  <c r="F12" i="3"/>
  <c r="F13" i="3" s="1"/>
  <c r="E12" i="3"/>
  <c r="Q11" i="3"/>
  <c r="P11" i="3"/>
  <c r="R11" i="3" s="1"/>
  <c r="N11" i="3"/>
  <c r="M11" i="3"/>
  <c r="O11" i="3" s="1"/>
  <c r="K11" i="3"/>
  <c r="J11" i="3"/>
  <c r="L11" i="3" s="1"/>
  <c r="Q10" i="3"/>
  <c r="P10" i="3"/>
  <c r="R10" i="3" s="1"/>
  <c r="N10" i="3"/>
  <c r="M10" i="3"/>
  <c r="O10" i="3" s="1"/>
  <c r="K10" i="3"/>
  <c r="J10" i="3"/>
  <c r="L10" i="3" s="1"/>
  <c r="Q9" i="3"/>
  <c r="P9" i="3"/>
  <c r="N9" i="3"/>
  <c r="M9" i="3"/>
  <c r="O9" i="3" s="1"/>
  <c r="K9" i="3"/>
  <c r="J9" i="3"/>
  <c r="L9" i="3" s="1"/>
  <c r="Q8" i="3"/>
  <c r="P8" i="3"/>
  <c r="R8" i="3" s="1"/>
  <c r="N8" i="3"/>
  <c r="M8" i="3"/>
  <c r="O8" i="3" s="1"/>
  <c r="K8" i="3"/>
  <c r="J8" i="3"/>
  <c r="L8" i="3" s="1"/>
  <c r="Q7" i="3"/>
  <c r="P7" i="3"/>
  <c r="R7" i="3" s="1"/>
  <c r="N7" i="3"/>
  <c r="M7" i="3"/>
  <c r="O7" i="3" s="1"/>
  <c r="K7" i="3"/>
  <c r="J7" i="3"/>
  <c r="L7" i="3" s="1"/>
  <c r="Q6" i="3"/>
  <c r="P6" i="3"/>
  <c r="R6" i="3" s="1"/>
  <c r="N6" i="3"/>
  <c r="M6" i="3"/>
  <c r="O6" i="3" s="1"/>
  <c r="K6" i="3"/>
  <c r="J6" i="3"/>
  <c r="L6" i="3" s="1"/>
  <c r="Q5" i="3"/>
  <c r="P5" i="3"/>
  <c r="R5" i="3" s="1"/>
  <c r="N5" i="3"/>
  <c r="M5" i="3"/>
  <c r="O5" i="3" s="1"/>
  <c r="K5" i="3"/>
  <c r="J5" i="3"/>
  <c r="L5" i="3" s="1"/>
  <c r="Q4" i="3"/>
  <c r="Q12" i="3" s="1"/>
  <c r="P4" i="3"/>
  <c r="P12" i="3" s="1"/>
  <c r="P13" i="3" s="1"/>
  <c r="N4" i="3"/>
  <c r="N12" i="3" s="1"/>
  <c r="M4" i="3"/>
  <c r="M12" i="3" s="1"/>
  <c r="M13" i="3" s="1"/>
  <c r="K4" i="3"/>
  <c r="K12" i="3" s="1"/>
  <c r="J4" i="3"/>
  <c r="J12" i="3" s="1"/>
  <c r="J13" i="3" s="1"/>
  <c r="T11" i="3"/>
  <c r="AD6" i="3"/>
  <c r="AD7" i="3"/>
  <c r="AD8" i="3"/>
  <c r="AD9" i="3"/>
  <c r="AD10" i="3"/>
  <c r="AD11" i="3"/>
  <c r="AD5" i="3"/>
  <c r="AD4" i="3"/>
  <c r="AC6" i="3"/>
  <c r="AC7" i="3"/>
  <c r="AC8" i="3"/>
  <c r="AC9" i="3"/>
  <c r="AC10" i="3"/>
  <c r="AC11" i="3"/>
  <c r="AC5" i="3"/>
  <c r="AC4" i="3"/>
  <c r="I6" i="3"/>
  <c r="U6" i="3" s="1"/>
  <c r="I7" i="3"/>
  <c r="I8" i="3"/>
  <c r="U8" i="3" s="1"/>
  <c r="I9" i="3"/>
  <c r="I10" i="3"/>
  <c r="U10" i="3" s="1"/>
  <c r="I11" i="3"/>
  <c r="U11" i="3" s="1"/>
  <c r="I5" i="3"/>
  <c r="U5" i="3" s="1"/>
  <c r="I4" i="3"/>
  <c r="I12" i="3" s="1"/>
  <c r="D12" i="3"/>
  <c r="T12" i="3" s="1"/>
  <c r="C12" i="3"/>
  <c r="S12" i="3" l="1"/>
  <c r="S13" i="3" s="1"/>
  <c r="U7" i="3"/>
  <c r="R4" i="3"/>
  <c r="S12" i="4"/>
  <c r="S9" i="3"/>
  <c r="L4" i="3"/>
  <c r="L12" i="3" s="1"/>
  <c r="O4" i="3"/>
  <c r="O12" i="3" s="1"/>
  <c r="R9" i="3"/>
  <c r="U9" i="3" s="1"/>
  <c r="C13" i="3"/>
  <c r="AC4" i="4"/>
  <c r="AA13" i="4"/>
  <c r="AB13" i="4"/>
  <c r="AD4" i="4"/>
  <c r="X11" i="4"/>
  <c r="U5" i="4"/>
  <c r="X5" i="4" s="1"/>
  <c r="X8" i="4"/>
  <c r="X6" i="4"/>
  <c r="W7" i="4"/>
  <c r="X7" i="4" s="1"/>
  <c r="O12" i="4"/>
  <c r="S13" i="4"/>
  <c r="U9" i="4"/>
  <c r="X10" i="4"/>
  <c r="L12" i="4"/>
  <c r="X4" i="4"/>
  <c r="F18" i="3"/>
  <c r="S11" i="3"/>
  <c r="S10" i="3"/>
  <c r="T10" i="3"/>
  <c r="T9" i="3"/>
  <c r="S8" i="3"/>
  <c r="T8" i="3"/>
  <c r="T7" i="3"/>
  <c r="T6" i="3"/>
  <c r="S6" i="3"/>
  <c r="S5" i="3"/>
  <c r="T4" i="3"/>
  <c r="S4" i="3"/>
  <c r="W7" i="3"/>
  <c r="T5" i="3"/>
  <c r="S7" i="3"/>
  <c r="W6" i="3"/>
  <c r="W5" i="3"/>
  <c r="W9" i="3"/>
  <c r="H11" i="1"/>
  <c r="H12" i="1"/>
  <c r="H14" i="1"/>
  <c r="H15" i="1"/>
  <c r="H16" i="1"/>
  <c r="H17" i="1"/>
  <c r="H10" i="1"/>
  <c r="E11" i="1"/>
  <c r="I11" i="1" s="1"/>
  <c r="E12" i="1"/>
  <c r="I12" i="1" s="1"/>
  <c r="E13" i="1"/>
  <c r="E14" i="1"/>
  <c r="I14" i="1" s="1"/>
  <c r="E15" i="1"/>
  <c r="I15" i="1" s="1"/>
  <c r="E16" i="1"/>
  <c r="I16" i="1" s="1"/>
  <c r="E17" i="1"/>
  <c r="I17" i="1" s="1"/>
  <c r="E10" i="1"/>
  <c r="I10" i="1" s="1"/>
  <c r="E18" i="2"/>
  <c r="C18" i="2"/>
  <c r="D13" i="2"/>
  <c r="D18" i="2" s="1"/>
  <c r="E18" i="1" l="1"/>
  <c r="R12" i="3"/>
  <c r="U4" i="3"/>
  <c r="U12" i="4"/>
  <c r="W12" i="4"/>
  <c r="X9" i="4"/>
  <c r="X9" i="3"/>
  <c r="W10" i="3"/>
  <c r="X10" i="3" s="1"/>
  <c r="W8" i="3"/>
  <c r="X8" i="3" s="1"/>
  <c r="X7" i="3"/>
  <c r="X6" i="3"/>
  <c r="X5" i="3"/>
  <c r="W4" i="3"/>
  <c r="W11" i="3"/>
  <c r="C19" i="2"/>
  <c r="C18" i="1"/>
  <c r="F13" i="1"/>
  <c r="F18" i="1" l="1"/>
  <c r="H13" i="1"/>
  <c r="X12" i="4"/>
  <c r="U12" i="3"/>
  <c r="X11" i="3"/>
  <c r="W12" i="3"/>
  <c r="X4" i="3"/>
  <c r="H18" i="1" l="1"/>
  <c r="I13" i="1"/>
  <c r="I18" i="1" s="1"/>
  <c r="X12" i="3"/>
  <c r="W4" i="5" l="1"/>
  <c r="U4" i="5"/>
  <c r="X4" i="5" l="1"/>
  <c r="X24" i="5"/>
  <c r="R5" i="5" s="1"/>
  <c r="X27" i="5"/>
  <c r="R8" i="5" s="1"/>
  <c r="X26" i="5"/>
  <c r="R7" i="5" s="1"/>
  <c r="X31" i="5"/>
  <c r="X30" i="5"/>
  <c r="R11" i="5" s="1"/>
  <c r="X29" i="5"/>
  <c r="R10" i="5" s="1"/>
  <c r="X28" i="5"/>
  <c r="R9" i="5" s="1"/>
  <c r="X25" i="5"/>
  <c r="R6" i="5" s="1"/>
  <c r="U6" i="5" l="1"/>
  <c r="W6" i="5"/>
  <c r="X6" i="5" s="1"/>
  <c r="U10" i="5"/>
  <c r="W10" i="5"/>
  <c r="X10" i="5" s="1"/>
  <c r="U8" i="5"/>
  <c r="W8" i="5"/>
  <c r="X8" i="5" s="1"/>
  <c r="W9" i="5"/>
  <c r="U9" i="5"/>
  <c r="X9" i="5" s="1"/>
  <c r="W11" i="5"/>
  <c r="U11" i="5"/>
  <c r="X11" i="5" s="1"/>
  <c r="W7" i="5"/>
  <c r="U7" i="5"/>
  <c r="U5" i="5"/>
  <c r="W5" i="5"/>
  <c r="R12" i="5"/>
  <c r="X5" i="5" l="1"/>
  <c r="W12" i="5"/>
  <c r="U12" i="5"/>
  <c r="X7" i="5"/>
  <c r="X12" i="5" l="1"/>
</calcChain>
</file>

<file path=xl/sharedStrings.xml><?xml version="1.0" encoding="utf-8"?>
<sst xmlns="http://schemas.openxmlformats.org/spreadsheetml/2006/main" count="253" uniqueCount="50">
  <si>
    <t>Государственная администрация</t>
  </si>
  <si>
    <t>Количество светильников, шт.</t>
  </si>
  <si>
    <t>Сумма, руб.</t>
  </si>
  <si>
    <t>50 Вт</t>
  </si>
  <si>
    <t>100 Вт</t>
  </si>
  <si>
    <t>г. Тирасполь</t>
  </si>
  <si>
    <t>г. Бендеры</t>
  </si>
  <si>
    <t>Слободзейский район и г. Слободзея</t>
  </si>
  <si>
    <t>г. Днестровск</t>
  </si>
  <si>
    <t>Григориопольский район и г. Григориополь</t>
  </si>
  <si>
    <t>Дубоссарский район и г. Дубоссары</t>
  </si>
  <si>
    <t>Рыбницкий район и г. Рыбница</t>
  </si>
  <si>
    <t>Каменский район и г. Каменка</t>
  </si>
  <si>
    <t>Итого</t>
  </si>
  <si>
    <t>Всего</t>
  </si>
  <si>
    <t>2.</t>
  </si>
  <si>
    <t>3.</t>
  </si>
  <si>
    <t>4.</t>
  </si>
  <si>
    <t>5.</t>
  </si>
  <si>
    <t>6.</t>
  </si>
  <si>
    <t>7.</t>
  </si>
  <si>
    <t>8.</t>
  </si>
  <si>
    <t>к Закону Приднестровской Молдавской Республики</t>
  </si>
  <si>
    <t>"О республиканском бюджете на 2024 год"</t>
  </si>
  <si>
    <t>Приложение № 2.34</t>
  </si>
  <si>
    <t>№ п/п</t>
  </si>
  <si>
    <r>
      <t>1</t>
    </r>
    <r>
      <rPr>
        <sz val="14"/>
        <color rgb="FF00B0F0"/>
        <rFont val="Times New Roman"/>
        <family val="1"/>
        <charset val="204"/>
      </rPr>
      <t>.</t>
    </r>
  </si>
  <si>
    <t>Мероприятия по реализации государственной целевой программы "Замена светильников с ртутьсодержащими лампами уличного освещения автомобильных дорог общего пользования Приднестровской Молдавской Республики, находящихся в государственной и муниципальной собственности, на светодиодные светильники" на 2024–2028 годы на 2024 год</t>
  </si>
  <si>
    <t>Стоимость светильников, руб.</t>
  </si>
  <si>
    <t>Итого, руб.</t>
  </si>
  <si>
    <t>в налич.</t>
  </si>
  <si>
    <t>50вт</t>
  </si>
  <si>
    <t>100 вт</t>
  </si>
  <si>
    <t>было</t>
  </si>
  <si>
    <t>собст.нуж</t>
  </si>
  <si>
    <t>остат в гцп</t>
  </si>
  <si>
    <t>в ГЦП</t>
  </si>
  <si>
    <t>стоимость сопутс</t>
  </si>
  <si>
    <t>Стоимость светильника, руб.</t>
  </si>
  <si>
    <t>Тип светильника</t>
  </si>
  <si>
    <t>Стоимость сопутствующих материалов, руб.</t>
  </si>
  <si>
    <t>Итого на 1 светильник, руб.</t>
  </si>
  <si>
    <r>
      <t xml:space="preserve">Плановое количество светильников в 2025 году по </t>
    </r>
    <r>
      <rPr>
        <b/>
        <sz val="11"/>
        <color theme="1"/>
        <rFont val="Times New Roman"/>
        <family val="1"/>
        <charset val="204"/>
      </rPr>
      <t>г. Тирасполь</t>
    </r>
  </si>
  <si>
    <t>Расчет итоговой суммы в 2025 году на примере г. Тирасполь</t>
  </si>
  <si>
    <t>"О республиканском бюджете на 2026 год"</t>
  </si>
  <si>
    <t>Приложение № 2.21</t>
  </si>
  <si>
    <r>
      <t>1</t>
    </r>
    <r>
      <rPr>
        <sz val="11"/>
        <color rgb="FF00B0F0"/>
        <rFont val="Times New Roman"/>
        <family val="1"/>
        <charset val="204"/>
      </rPr>
      <t>.</t>
    </r>
  </si>
  <si>
    <t>*Примечание:</t>
  </si>
  <si>
    <t>Программные мероприятия не подлежат финансированию в первом квартале 2026 года</t>
  </si>
  <si>
    <t>Мероприятия по реализации государственной целевой программы "Замена светильников с ртутьсодержащими лампами уличного освещения автомобильных дорог общего пользования Приднестровской Молдавской Республики, находящихся в государственной и муниципальной собственности, на светодиодные светильники" на 2024–2028 годы на 2026 год*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</si>
</sst>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2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B0F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 val="singleAccounting"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B0F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/>
    <xf numFmtId="3" fontId="1" fillId="0" borderId="0" xfId="0" applyNumberFormat="1" applyFont="1"/>
    <xf numFmtId="3" fontId="4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right" vertical="center"/>
    </xf>
    <xf numFmtId="43" fontId="4" fillId="0" borderId="1" xfId="1" applyFont="1" applyBorder="1" applyAlignment="1">
      <alignment horizontal="right" vertical="center"/>
    </xf>
    <xf numFmtId="43" fontId="5" fillId="0" borderId="1" xfId="1" applyNumberFormat="1" applyFont="1" applyBorder="1" applyAlignment="1">
      <alignment horizontal="right" vertical="center"/>
    </xf>
    <xf numFmtId="43" fontId="4" fillId="0" borderId="1" xfId="1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1" xfId="0" applyFont="1" applyBorder="1" applyAlignment="1">
      <alignment vertical="center"/>
    </xf>
    <xf numFmtId="0" fontId="0" fillId="0" borderId="11" xfId="0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3" fontId="0" fillId="0" borderId="0" xfId="0" applyNumberFormat="1"/>
    <xf numFmtId="3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 wrapText="1"/>
    </xf>
    <xf numFmtId="3" fontId="9" fillId="2" borderId="11" xfId="0" applyNumberFormat="1" applyFont="1" applyFill="1" applyBorder="1" applyAlignment="1">
      <alignment horizontal="center" vertical="center"/>
    </xf>
    <xf numFmtId="165" fontId="0" fillId="0" borderId="0" xfId="0" applyNumberFormat="1"/>
    <xf numFmtId="3" fontId="10" fillId="2" borderId="11" xfId="0" applyNumberFormat="1" applyFont="1" applyFill="1" applyBorder="1" applyAlignment="1">
      <alignment horizontal="center" vertical="center"/>
    </xf>
    <xf numFmtId="3" fontId="10" fillId="3" borderId="11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11" fillId="4" borderId="11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0" fillId="4" borderId="0" xfId="0" applyFill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64" fontId="15" fillId="0" borderId="1" xfId="1" applyNumberFormat="1" applyFont="1" applyBorder="1"/>
    <xf numFmtId="2" fontId="15" fillId="0" borderId="1" xfId="0" applyNumberFormat="1" applyFont="1" applyBorder="1" applyAlignment="1">
      <alignment horizontal="center"/>
    </xf>
    <xf numFmtId="0" fontId="16" fillId="0" borderId="0" xfId="0" applyFont="1"/>
    <xf numFmtId="164" fontId="17" fillId="0" borderId="1" xfId="1" applyNumberFormat="1" applyFont="1" applyBorder="1"/>
    <xf numFmtId="0" fontId="18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164" fontId="21" fillId="0" borderId="1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3" xfId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3" fontId="10" fillId="2" borderId="14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1" fillId="2" borderId="14" xfId="0" applyNumberFormat="1" applyFont="1" applyFill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0" fillId="2" borderId="12" xfId="0" applyNumberFormat="1" applyFont="1" applyFill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right" vertical="center"/>
    </xf>
    <xf numFmtId="3" fontId="20" fillId="0" borderId="3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A2" sqref="A2:E19"/>
    </sheetView>
  </sheetViews>
  <sheetFormatPr defaultColWidth="23.5546875" defaultRowHeight="18" x14ac:dyDescent="0.35"/>
  <cols>
    <col min="1" max="1" width="5.109375" style="1" bestFit="1" customWidth="1"/>
    <col min="2" max="2" width="66.109375" style="1" customWidth="1"/>
    <col min="3" max="4" width="12.44140625" style="1" customWidth="1"/>
    <col min="5" max="5" width="14.5546875" style="1" customWidth="1"/>
    <col min="6" max="16384" width="23.5546875" style="1"/>
  </cols>
  <sheetData>
    <row r="1" spans="1:5" ht="10.35" customHeight="1" x14ac:dyDescent="0.35"/>
    <row r="2" spans="1:5" x14ac:dyDescent="0.35">
      <c r="A2" s="73" t="s">
        <v>24</v>
      </c>
      <c r="B2" s="73"/>
      <c r="C2" s="73"/>
      <c r="D2" s="73"/>
      <c r="E2" s="73"/>
    </row>
    <row r="3" spans="1:5" x14ac:dyDescent="0.35">
      <c r="A3" s="74" t="s">
        <v>22</v>
      </c>
      <c r="B3" s="74"/>
      <c r="C3" s="74"/>
      <c r="D3" s="74"/>
      <c r="E3" s="74"/>
    </row>
    <row r="4" spans="1:5" x14ac:dyDescent="0.35">
      <c r="A4" s="75" t="s">
        <v>23</v>
      </c>
      <c r="B4" s="75"/>
      <c r="C4" s="75"/>
      <c r="D4" s="75"/>
      <c r="E4" s="75"/>
    </row>
    <row r="5" spans="1:5" x14ac:dyDescent="0.35">
      <c r="A5" s="2"/>
    </row>
    <row r="6" spans="1:5" ht="96" customHeight="1" x14ac:dyDescent="0.35">
      <c r="A6" s="76" t="s">
        <v>27</v>
      </c>
      <c r="B6" s="77"/>
      <c r="C6" s="77"/>
      <c r="D6" s="77"/>
      <c r="E6" s="77"/>
    </row>
    <row r="7" spans="1:5" x14ac:dyDescent="0.35">
      <c r="A7" s="3"/>
    </row>
    <row r="8" spans="1:5" s="4" customFormat="1" ht="41.25" customHeight="1" x14ac:dyDescent="0.3">
      <c r="A8" s="78" t="s">
        <v>25</v>
      </c>
      <c r="B8" s="79" t="s">
        <v>0</v>
      </c>
      <c r="C8" s="79" t="s">
        <v>1</v>
      </c>
      <c r="D8" s="79"/>
      <c r="E8" s="80" t="s">
        <v>2</v>
      </c>
    </row>
    <row r="9" spans="1:5" s="4" customFormat="1" ht="17.399999999999999" x14ac:dyDescent="0.3">
      <c r="A9" s="78"/>
      <c r="B9" s="79"/>
      <c r="C9" s="5" t="s">
        <v>3</v>
      </c>
      <c r="D9" s="5" t="s">
        <v>4</v>
      </c>
      <c r="E9" s="81"/>
    </row>
    <row r="10" spans="1:5" x14ac:dyDescent="0.35">
      <c r="A10" s="6" t="s">
        <v>26</v>
      </c>
      <c r="B10" s="7" t="s">
        <v>5</v>
      </c>
      <c r="C10" s="8">
        <v>37</v>
      </c>
      <c r="D10" s="8">
        <v>64</v>
      </c>
      <c r="E10" s="19">
        <v>102904</v>
      </c>
    </row>
    <row r="11" spans="1:5" x14ac:dyDescent="0.35">
      <c r="A11" s="6" t="s">
        <v>15</v>
      </c>
      <c r="B11" s="7" t="s">
        <v>6</v>
      </c>
      <c r="C11" s="8">
        <v>85</v>
      </c>
      <c r="D11" s="8">
        <v>128</v>
      </c>
      <c r="E11" s="19">
        <v>215224</v>
      </c>
    </row>
    <row r="12" spans="1:5" x14ac:dyDescent="0.35">
      <c r="A12" s="6" t="s">
        <v>16</v>
      </c>
      <c r="B12" s="7" t="s">
        <v>7</v>
      </c>
      <c r="C12" s="8">
        <v>7</v>
      </c>
      <c r="D12" s="8">
        <v>121</v>
      </c>
      <c r="E12" s="19">
        <v>140665</v>
      </c>
    </row>
    <row r="13" spans="1:5" x14ac:dyDescent="0.35">
      <c r="A13" s="6" t="s">
        <v>17</v>
      </c>
      <c r="B13" s="7" t="s">
        <v>8</v>
      </c>
      <c r="C13" s="9">
        <v>26</v>
      </c>
      <c r="D13" s="8">
        <f>9+19</f>
        <v>28</v>
      </c>
      <c r="E13" s="19">
        <v>53420</v>
      </c>
    </row>
    <row r="14" spans="1:5" x14ac:dyDescent="0.35">
      <c r="A14" s="6" t="s">
        <v>18</v>
      </c>
      <c r="B14" s="7" t="s">
        <v>9</v>
      </c>
      <c r="C14" s="8">
        <v>33</v>
      </c>
      <c r="D14" s="8">
        <v>64</v>
      </c>
      <c r="E14" s="19">
        <v>99480</v>
      </c>
    </row>
    <row r="15" spans="1:5" x14ac:dyDescent="0.35">
      <c r="A15" s="6" t="s">
        <v>19</v>
      </c>
      <c r="B15" s="7" t="s">
        <v>10</v>
      </c>
      <c r="C15" s="8">
        <v>22</v>
      </c>
      <c r="D15" s="8">
        <v>82</v>
      </c>
      <c r="E15" s="19">
        <v>110098</v>
      </c>
    </row>
    <row r="16" spans="1:5" x14ac:dyDescent="0.35">
      <c r="A16" s="6" t="s">
        <v>20</v>
      </c>
      <c r="B16" s="7" t="s">
        <v>11</v>
      </c>
      <c r="C16" s="8">
        <v>102</v>
      </c>
      <c r="D16" s="8">
        <v>143</v>
      </c>
      <c r="E16" s="19">
        <v>246471</v>
      </c>
    </row>
    <row r="17" spans="1:7" x14ac:dyDescent="0.35">
      <c r="A17" s="6" t="s">
        <v>21</v>
      </c>
      <c r="B17" s="7" t="s">
        <v>12</v>
      </c>
      <c r="C17" s="8">
        <v>35</v>
      </c>
      <c r="D17" s="8">
        <v>68</v>
      </c>
      <c r="E17" s="19">
        <v>105644</v>
      </c>
    </row>
    <row r="18" spans="1:7" x14ac:dyDescent="0.35">
      <c r="A18" s="69" t="s">
        <v>13</v>
      </c>
      <c r="B18" s="69"/>
      <c r="C18" s="10">
        <f>SUM(C10:C17)</f>
        <v>347</v>
      </c>
      <c r="D18" s="10">
        <f>SUM(D10:D17)</f>
        <v>698</v>
      </c>
      <c r="E18" s="70">
        <f>SUM(E10:E17)</f>
        <v>1073906</v>
      </c>
    </row>
    <row r="19" spans="1:7" x14ac:dyDescent="0.35">
      <c r="A19" s="69" t="s">
        <v>14</v>
      </c>
      <c r="B19" s="69"/>
      <c r="C19" s="72">
        <f>SUM(C18:D18)</f>
        <v>1045</v>
      </c>
      <c r="D19" s="72"/>
      <c r="E19" s="71"/>
      <c r="F19" s="11"/>
      <c r="G19" s="12"/>
    </row>
    <row r="20" spans="1:7" x14ac:dyDescent="0.35">
      <c r="A20" s="3"/>
    </row>
  </sheetData>
  <mergeCells count="12">
    <mergeCell ref="A18:B18"/>
    <mergeCell ref="E18:E19"/>
    <mergeCell ref="A19:B19"/>
    <mergeCell ref="C19:D19"/>
    <mergeCell ref="A2:E2"/>
    <mergeCell ref="A3:E3"/>
    <mergeCell ref="A4:E4"/>
    <mergeCell ref="A6:E6"/>
    <mergeCell ref="A8:A9"/>
    <mergeCell ref="B8:B9"/>
    <mergeCell ref="C8:D8"/>
    <mergeCell ref="E8:E9"/>
  </mergeCells>
  <pageMargins left="1.1811023622047245" right="0.39370078740157483" top="0.78740157480314965" bottom="0.78740157480314965" header="0" footer="0"/>
  <pageSetup paperSize="9" scale="73" firstPageNumber="132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K20"/>
  <sheetViews>
    <sheetView zoomScaleNormal="100" workbookViewId="0">
      <selection activeCell="I20" sqref="I20"/>
    </sheetView>
  </sheetViews>
  <sheetFormatPr defaultColWidth="23.5546875" defaultRowHeight="18" x14ac:dyDescent="0.35"/>
  <cols>
    <col min="1" max="1" width="5.109375" style="1" bestFit="1" customWidth="1"/>
    <col min="2" max="2" width="66.109375" style="1" customWidth="1"/>
    <col min="3" max="3" width="17.33203125" style="1" customWidth="1"/>
    <col min="4" max="4" width="13.5546875" style="1" customWidth="1"/>
    <col min="5" max="6" width="14.44140625" style="1" customWidth="1"/>
    <col min="7" max="7" width="13.44140625" style="1" customWidth="1"/>
    <col min="8" max="8" width="14.109375" style="1" bestFit="1" customWidth="1"/>
    <col min="9" max="9" width="16.109375" style="1" bestFit="1" customWidth="1"/>
    <col min="10" max="16384" width="23.5546875" style="1"/>
  </cols>
  <sheetData>
    <row r="1" spans="1:9" ht="10.35" customHeight="1" x14ac:dyDescent="0.35"/>
    <row r="2" spans="1:9" x14ac:dyDescent="0.35">
      <c r="A2" s="73" t="s">
        <v>24</v>
      </c>
      <c r="B2" s="73"/>
      <c r="C2" s="73"/>
      <c r="D2" s="73"/>
      <c r="E2" s="73"/>
      <c r="F2" s="73"/>
      <c r="G2" s="73"/>
      <c r="H2" s="73"/>
      <c r="I2" s="73"/>
    </row>
    <row r="3" spans="1:9" x14ac:dyDescent="0.35">
      <c r="A3" s="74" t="s">
        <v>22</v>
      </c>
      <c r="B3" s="74"/>
      <c r="C3" s="74"/>
      <c r="D3" s="74"/>
      <c r="E3" s="74"/>
      <c r="F3" s="74"/>
      <c r="G3" s="74"/>
      <c r="H3" s="74"/>
      <c r="I3" s="74"/>
    </row>
    <row r="4" spans="1:9" x14ac:dyDescent="0.35">
      <c r="A4" s="75" t="s">
        <v>23</v>
      </c>
      <c r="B4" s="75"/>
      <c r="C4" s="75"/>
      <c r="D4" s="75"/>
      <c r="E4" s="75"/>
      <c r="F4" s="75"/>
      <c r="G4" s="75"/>
      <c r="H4" s="75"/>
      <c r="I4" s="75"/>
    </row>
    <row r="5" spans="1:9" x14ac:dyDescent="0.35">
      <c r="A5" s="2"/>
    </row>
    <row r="6" spans="1:9" ht="96" customHeight="1" x14ac:dyDescent="0.35">
      <c r="A6" s="76" t="s">
        <v>27</v>
      </c>
      <c r="B6" s="77"/>
      <c r="C6" s="77"/>
      <c r="D6" s="77"/>
      <c r="E6" s="77"/>
      <c r="F6" s="77"/>
      <c r="G6" s="77"/>
      <c r="H6" s="77"/>
      <c r="I6" s="77"/>
    </row>
    <row r="7" spans="1:9" x14ac:dyDescent="0.35">
      <c r="A7" s="3"/>
    </row>
    <row r="8" spans="1:9" s="4" customFormat="1" ht="51.9" customHeight="1" x14ac:dyDescent="0.3">
      <c r="A8" s="78" t="s">
        <v>25</v>
      </c>
      <c r="B8" s="79" t="s">
        <v>0</v>
      </c>
      <c r="C8" s="84" t="s">
        <v>3</v>
      </c>
      <c r="D8" s="85"/>
      <c r="E8" s="86"/>
      <c r="F8" s="84" t="s">
        <v>4</v>
      </c>
      <c r="G8" s="85"/>
      <c r="H8" s="86"/>
      <c r="I8" s="80" t="s">
        <v>2</v>
      </c>
    </row>
    <row r="9" spans="1:9" s="4" customFormat="1" ht="39.6" x14ac:dyDescent="0.3">
      <c r="A9" s="78"/>
      <c r="B9" s="79"/>
      <c r="C9" s="14" t="s">
        <v>1</v>
      </c>
      <c r="D9" s="14" t="s">
        <v>28</v>
      </c>
      <c r="E9" s="14" t="s">
        <v>29</v>
      </c>
      <c r="F9" s="14" t="s">
        <v>1</v>
      </c>
      <c r="G9" s="14" t="s">
        <v>28</v>
      </c>
      <c r="H9" s="14" t="s">
        <v>29</v>
      </c>
      <c r="I9" s="81"/>
    </row>
    <row r="10" spans="1:9" x14ac:dyDescent="0.35">
      <c r="A10" s="6" t="s">
        <v>26</v>
      </c>
      <c r="B10" s="7" t="s">
        <v>5</v>
      </c>
      <c r="C10" s="8">
        <v>37</v>
      </c>
      <c r="D10" s="15">
        <v>856</v>
      </c>
      <c r="E10" s="17">
        <f>C10*D10</f>
        <v>31672</v>
      </c>
      <c r="F10" s="8">
        <v>64</v>
      </c>
      <c r="G10" s="15">
        <v>1113</v>
      </c>
      <c r="H10" s="15">
        <f>F10*G10</f>
        <v>71232</v>
      </c>
      <c r="I10" s="15">
        <f>E10+H10</f>
        <v>102904</v>
      </c>
    </row>
    <row r="11" spans="1:9" x14ac:dyDescent="0.35">
      <c r="A11" s="6" t="s">
        <v>15</v>
      </c>
      <c r="B11" s="7" t="s">
        <v>6</v>
      </c>
      <c r="C11" s="8">
        <v>85</v>
      </c>
      <c r="D11" s="15">
        <v>856</v>
      </c>
      <c r="E11" s="17">
        <f t="shared" ref="E11:E17" si="0">C11*D11</f>
        <v>72760</v>
      </c>
      <c r="F11" s="8">
        <v>128</v>
      </c>
      <c r="G11" s="15">
        <v>1113</v>
      </c>
      <c r="H11" s="15">
        <f t="shared" ref="H11:H17" si="1">F11*G11</f>
        <v>142464</v>
      </c>
      <c r="I11" s="15">
        <f t="shared" ref="I11:I17" si="2">E11+H11</f>
        <v>215224</v>
      </c>
    </row>
    <row r="12" spans="1:9" x14ac:dyDescent="0.35">
      <c r="A12" s="6" t="s">
        <v>16</v>
      </c>
      <c r="B12" s="7" t="s">
        <v>7</v>
      </c>
      <c r="C12" s="8">
        <v>7</v>
      </c>
      <c r="D12" s="15">
        <v>856</v>
      </c>
      <c r="E12" s="17">
        <f t="shared" si="0"/>
        <v>5992</v>
      </c>
      <c r="F12" s="8">
        <v>121</v>
      </c>
      <c r="G12" s="15">
        <v>1113</v>
      </c>
      <c r="H12" s="15">
        <f t="shared" si="1"/>
        <v>134673</v>
      </c>
      <c r="I12" s="15">
        <f t="shared" si="2"/>
        <v>140665</v>
      </c>
    </row>
    <row r="13" spans="1:9" x14ac:dyDescent="0.35">
      <c r="A13" s="6" t="s">
        <v>17</v>
      </c>
      <c r="B13" s="7" t="s">
        <v>8</v>
      </c>
      <c r="C13" s="9">
        <v>26</v>
      </c>
      <c r="D13" s="15">
        <v>856</v>
      </c>
      <c r="E13" s="17">
        <f t="shared" si="0"/>
        <v>22256</v>
      </c>
      <c r="F13" s="8">
        <f>9+19</f>
        <v>28</v>
      </c>
      <c r="G13" s="15">
        <v>1113</v>
      </c>
      <c r="H13" s="15">
        <f t="shared" si="1"/>
        <v>31164</v>
      </c>
      <c r="I13" s="15">
        <f t="shared" si="2"/>
        <v>53420</v>
      </c>
    </row>
    <row r="14" spans="1:9" x14ac:dyDescent="0.35">
      <c r="A14" s="6" t="s">
        <v>18</v>
      </c>
      <c r="B14" s="7" t="s">
        <v>9</v>
      </c>
      <c r="C14" s="8">
        <v>33</v>
      </c>
      <c r="D14" s="15">
        <v>856</v>
      </c>
      <c r="E14" s="17">
        <f t="shared" si="0"/>
        <v>28248</v>
      </c>
      <c r="F14" s="8">
        <v>64</v>
      </c>
      <c r="G14" s="15">
        <v>1113</v>
      </c>
      <c r="H14" s="15">
        <f t="shared" si="1"/>
        <v>71232</v>
      </c>
      <c r="I14" s="15">
        <f t="shared" si="2"/>
        <v>99480</v>
      </c>
    </row>
    <row r="15" spans="1:9" x14ac:dyDescent="0.35">
      <c r="A15" s="6" t="s">
        <v>19</v>
      </c>
      <c r="B15" s="7" t="s">
        <v>10</v>
      </c>
      <c r="C15" s="8">
        <v>22</v>
      </c>
      <c r="D15" s="15">
        <v>856</v>
      </c>
      <c r="E15" s="17">
        <f t="shared" si="0"/>
        <v>18832</v>
      </c>
      <c r="F15" s="8">
        <v>82</v>
      </c>
      <c r="G15" s="15">
        <v>1113</v>
      </c>
      <c r="H15" s="15">
        <f t="shared" si="1"/>
        <v>91266</v>
      </c>
      <c r="I15" s="15">
        <f t="shared" si="2"/>
        <v>110098</v>
      </c>
    </row>
    <row r="16" spans="1:9" x14ac:dyDescent="0.35">
      <c r="A16" s="6" t="s">
        <v>20</v>
      </c>
      <c r="B16" s="7" t="s">
        <v>11</v>
      </c>
      <c r="C16" s="8">
        <v>102</v>
      </c>
      <c r="D16" s="15">
        <v>856</v>
      </c>
      <c r="E16" s="17">
        <f t="shared" si="0"/>
        <v>87312</v>
      </c>
      <c r="F16" s="8">
        <v>143</v>
      </c>
      <c r="G16" s="15">
        <v>1113</v>
      </c>
      <c r="H16" s="15">
        <f t="shared" si="1"/>
        <v>159159</v>
      </c>
      <c r="I16" s="15">
        <f t="shared" si="2"/>
        <v>246471</v>
      </c>
    </row>
    <row r="17" spans="1:11" x14ac:dyDescent="0.35">
      <c r="A17" s="6" t="s">
        <v>21</v>
      </c>
      <c r="B17" s="7" t="s">
        <v>12</v>
      </c>
      <c r="C17" s="8">
        <v>35</v>
      </c>
      <c r="D17" s="15">
        <v>856</v>
      </c>
      <c r="E17" s="17">
        <f t="shared" si="0"/>
        <v>29960</v>
      </c>
      <c r="F17" s="8">
        <v>68</v>
      </c>
      <c r="G17" s="15">
        <v>1113</v>
      </c>
      <c r="H17" s="15">
        <f t="shared" si="1"/>
        <v>75684</v>
      </c>
      <c r="I17" s="15">
        <f t="shared" si="2"/>
        <v>105644</v>
      </c>
    </row>
    <row r="18" spans="1:11" x14ac:dyDescent="0.35">
      <c r="A18" s="69" t="s">
        <v>13</v>
      </c>
      <c r="B18" s="69"/>
      <c r="C18" s="10">
        <f>SUM(C10:C17)</f>
        <v>347</v>
      </c>
      <c r="D18" s="8"/>
      <c r="E18" s="18">
        <f>SUM(E10:E17)</f>
        <v>297032</v>
      </c>
      <c r="F18" s="10">
        <f>SUM(F10:F17)</f>
        <v>698</v>
      </c>
      <c r="G18" s="8"/>
      <c r="H18" s="16">
        <f>SUM(H10:H17)</f>
        <v>776874</v>
      </c>
      <c r="I18" s="82">
        <f>SUM(I10:I17)</f>
        <v>1073906</v>
      </c>
    </row>
    <row r="19" spans="1:11" x14ac:dyDescent="0.35">
      <c r="A19" s="69" t="s">
        <v>14</v>
      </c>
      <c r="B19" s="69"/>
      <c r="C19" s="72"/>
      <c r="D19" s="72"/>
      <c r="E19" s="72"/>
      <c r="F19" s="72"/>
      <c r="G19" s="13"/>
      <c r="H19" s="13"/>
      <c r="I19" s="83"/>
      <c r="J19" s="11"/>
      <c r="K19" s="12"/>
    </row>
    <row r="20" spans="1:11" x14ac:dyDescent="0.35">
      <c r="A20" s="3"/>
    </row>
  </sheetData>
  <mergeCells count="13">
    <mergeCell ref="A2:I2"/>
    <mergeCell ref="A3:I3"/>
    <mergeCell ref="A4:I4"/>
    <mergeCell ref="I8:I9"/>
    <mergeCell ref="A18:B18"/>
    <mergeCell ref="C8:E8"/>
    <mergeCell ref="F8:H8"/>
    <mergeCell ref="A19:B19"/>
    <mergeCell ref="C19:F19"/>
    <mergeCell ref="A6:I6"/>
    <mergeCell ref="A8:A9"/>
    <mergeCell ref="B8:B9"/>
    <mergeCell ref="I18:I19"/>
  </mergeCells>
  <pageMargins left="1.1811023622047245" right="0.39370078740157483" top="0.78740157480314965" bottom="0.78740157480314965" header="0" footer="0"/>
  <pageSetup paperSize="9" scale="73" firstPageNumber="132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"/>
  <sheetViews>
    <sheetView workbookViewId="0">
      <selection activeCell="R4" sqref="R4"/>
    </sheetView>
  </sheetViews>
  <sheetFormatPr defaultRowHeight="14.4" x14ac:dyDescent="0.3"/>
  <cols>
    <col min="2" max="2" width="21.44140625" bestFit="1" customWidth="1"/>
    <col min="12" max="12" width="9" bestFit="1" customWidth="1"/>
    <col min="23" max="23" width="9.6640625" bestFit="1" customWidth="1"/>
  </cols>
  <sheetData>
    <row r="1" spans="1:30" ht="15" thickBot="1" x14ac:dyDescent="0.35">
      <c r="A1" s="103" t="s">
        <v>25</v>
      </c>
      <c r="B1" s="106" t="s">
        <v>0</v>
      </c>
      <c r="C1" s="110">
        <v>2024</v>
      </c>
      <c r="D1" s="110"/>
      <c r="E1" s="110"/>
      <c r="F1" s="32"/>
      <c r="G1" s="89">
        <v>2025</v>
      </c>
      <c r="H1" s="90"/>
      <c r="I1" s="91"/>
      <c r="J1" s="89">
        <v>2026</v>
      </c>
      <c r="K1" s="90"/>
      <c r="L1" s="91"/>
      <c r="M1" s="89">
        <v>2027</v>
      </c>
      <c r="N1" s="90"/>
      <c r="O1" s="91"/>
      <c r="P1" s="89">
        <v>2028</v>
      </c>
      <c r="Q1" s="90"/>
      <c r="R1" s="91"/>
      <c r="S1" s="89" t="s">
        <v>13</v>
      </c>
      <c r="T1" s="90"/>
      <c r="U1" s="90"/>
      <c r="V1" s="91"/>
    </row>
    <row r="2" spans="1:30" ht="21" customHeight="1" thickBot="1" x14ac:dyDescent="0.35">
      <c r="A2" s="104"/>
      <c r="B2" s="104"/>
      <c r="C2" s="111" t="s">
        <v>1</v>
      </c>
      <c r="D2" s="112"/>
      <c r="E2" s="20" t="s">
        <v>2</v>
      </c>
      <c r="F2" s="92" t="s">
        <v>1</v>
      </c>
      <c r="G2" s="109"/>
      <c r="H2" s="93"/>
      <c r="I2" s="20" t="s">
        <v>2</v>
      </c>
      <c r="J2" s="92" t="s">
        <v>1</v>
      </c>
      <c r="K2" s="93"/>
      <c r="L2" s="20" t="s">
        <v>2</v>
      </c>
      <c r="M2" s="92" t="s">
        <v>1</v>
      </c>
      <c r="N2" s="93"/>
      <c r="O2" s="20" t="s">
        <v>2</v>
      </c>
      <c r="P2" s="92" t="s">
        <v>1</v>
      </c>
      <c r="Q2" s="93"/>
      <c r="R2" s="20" t="s">
        <v>2</v>
      </c>
      <c r="S2" s="94" t="s">
        <v>1</v>
      </c>
      <c r="T2" s="95"/>
      <c r="U2" s="21" t="s">
        <v>2</v>
      </c>
      <c r="V2" s="22"/>
      <c r="AA2" t="s">
        <v>31</v>
      </c>
      <c r="AB2" t="s">
        <v>32</v>
      </c>
      <c r="AC2">
        <v>3</v>
      </c>
    </row>
    <row r="3" spans="1:30" ht="15" thickBot="1" x14ac:dyDescent="0.35">
      <c r="A3" s="105"/>
      <c r="B3" s="105"/>
      <c r="C3" s="23" t="s">
        <v>3</v>
      </c>
      <c r="D3" s="23" t="s">
        <v>4</v>
      </c>
      <c r="E3" s="24"/>
      <c r="F3" s="107" t="s">
        <v>3</v>
      </c>
      <c r="G3" s="108"/>
      <c r="H3" s="23" t="s">
        <v>4</v>
      </c>
      <c r="I3" s="24"/>
      <c r="J3" s="23" t="s">
        <v>3</v>
      </c>
      <c r="K3" s="23" t="s">
        <v>4</v>
      </c>
      <c r="L3" s="24"/>
      <c r="M3" s="23" t="s">
        <v>3</v>
      </c>
      <c r="N3" s="23" t="s">
        <v>4</v>
      </c>
      <c r="O3" s="24"/>
      <c r="P3" s="23" t="s">
        <v>3</v>
      </c>
      <c r="Q3" s="23" t="s">
        <v>4</v>
      </c>
      <c r="R3" s="24"/>
      <c r="S3" s="25" t="s">
        <v>3</v>
      </c>
      <c r="T3" s="25" t="s">
        <v>4</v>
      </c>
      <c r="U3" s="24"/>
      <c r="V3" s="22"/>
    </row>
    <row r="4" spans="1:30" ht="15" thickBot="1" x14ac:dyDescent="0.35">
      <c r="A4" s="26">
        <v>1</v>
      </c>
      <c r="B4" s="27" t="s">
        <v>5</v>
      </c>
      <c r="C4" s="28">
        <v>37</v>
      </c>
      <c r="D4" s="28">
        <v>64</v>
      </c>
      <c r="E4" s="37">
        <v>102904</v>
      </c>
      <c r="F4" s="87">
        <v>696</v>
      </c>
      <c r="G4" s="88"/>
      <c r="H4" s="42">
        <v>146</v>
      </c>
      <c r="I4" s="37">
        <f>F4*856+H4*1113+(F4+H4)*352.79</f>
        <v>1055323.18</v>
      </c>
      <c r="J4" s="28">
        <f>922+85</f>
        <v>1007</v>
      </c>
      <c r="K4" s="28">
        <f>209+19</f>
        <v>228</v>
      </c>
      <c r="L4" s="37">
        <f>(J4*856+K4*1113+(J4+K4)*352.79)*1.045</f>
        <v>1621266.9742499997</v>
      </c>
      <c r="M4" s="28">
        <f>893+85</f>
        <v>978</v>
      </c>
      <c r="N4" s="28">
        <f>211+19</f>
        <v>230</v>
      </c>
      <c r="O4" s="37">
        <f>(M4*856+N4*1113+(M4+N4)*352.79)*1.09</f>
        <v>1656067.8688000003</v>
      </c>
      <c r="P4" s="28">
        <f>865+85</f>
        <v>950</v>
      </c>
      <c r="Q4" s="28">
        <f>204+19</f>
        <v>223</v>
      </c>
      <c r="R4" s="37">
        <f>(P4*856+Q4*1113+(P4+Q4)*352.79)*1.149+(P4+Q4)*0.53-1</f>
        <v>1695650.3888299998</v>
      </c>
      <c r="S4" s="30">
        <f>C4+F4+J4+M4+P4</f>
        <v>3668</v>
      </c>
      <c r="T4" s="31">
        <f>D4+H4+K4+N4+Q4</f>
        <v>891</v>
      </c>
      <c r="U4" s="30">
        <f>E4+I4+L4+O4+R4</f>
        <v>6131212.4118799996</v>
      </c>
      <c r="V4" s="22"/>
      <c r="W4" s="29">
        <f>E4+I4+L4+O4+R4</f>
        <v>6131212.4118799996</v>
      </c>
      <c r="X4" s="29">
        <f>W4-U4</f>
        <v>0</v>
      </c>
      <c r="AA4">
        <v>254</v>
      </c>
      <c r="AB4">
        <v>58</v>
      </c>
      <c r="AC4">
        <f>ROUND((AA4/$AC$2),0)</f>
        <v>85</v>
      </c>
      <c r="AD4">
        <f>ROUND((AB4/$AC$2),0)</f>
        <v>19</v>
      </c>
    </row>
    <row r="5" spans="1:30" ht="15" thickBot="1" x14ac:dyDescent="0.35">
      <c r="A5" s="26">
        <v>2</v>
      </c>
      <c r="B5" s="27" t="s">
        <v>6</v>
      </c>
      <c r="C5" s="28">
        <v>85</v>
      </c>
      <c r="D5" s="28">
        <v>128</v>
      </c>
      <c r="E5" s="37">
        <v>215224</v>
      </c>
      <c r="F5" s="87">
        <v>347</v>
      </c>
      <c r="G5" s="88"/>
      <c r="H5" s="42">
        <v>455</v>
      </c>
      <c r="I5" s="37">
        <f>F5*856+H5*1113+(F5+H5)*352.79</f>
        <v>1086384.58</v>
      </c>
      <c r="J5" s="28">
        <f>459+42</f>
        <v>501</v>
      </c>
      <c r="K5" s="28">
        <f>647+60</f>
        <v>707</v>
      </c>
      <c r="L5" s="37">
        <f t="shared" ref="L5:L11" si="0">(J5*856+K5*1113+(J5+K5)*352.79)*1.045</f>
        <v>1715803.5993999999</v>
      </c>
      <c r="M5" s="28">
        <f>444+42</f>
        <v>486</v>
      </c>
      <c r="N5" s="28">
        <f>647+60</f>
        <v>707</v>
      </c>
      <c r="O5" s="37">
        <f t="shared" ref="O5:O11" si="1">(M5*856+N5*1113+(M5+N5)*352.79)*1.09</f>
        <v>1769926.1623000002</v>
      </c>
      <c r="P5" s="28">
        <f>430+42</f>
        <v>472</v>
      </c>
      <c r="Q5" s="28">
        <f>628+60</f>
        <v>688</v>
      </c>
      <c r="R5" s="37">
        <f>(P5*856+Q5*1113+(P5+Q5)*352.79)*1.149+(P5+Q5)*0.53-1</f>
        <v>1814899.0475999999</v>
      </c>
      <c r="S5" s="30">
        <f t="shared" ref="S5:S11" si="2">C5+F5+J5+M5+P5</f>
        <v>1891</v>
      </c>
      <c r="T5" s="31">
        <f t="shared" ref="T5:T10" si="3">D5+H5+K5+N5+Q5</f>
        <v>2685</v>
      </c>
      <c r="U5" s="30">
        <f t="shared" ref="U5:U11" si="4">E5+I5+L5+O5+R5</f>
        <v>6602237.3892999999</v>
      </c>
      <c r="V5" s="22"/>
      <c r="W5" s="29">
        <f t="shared" ref="W5:W11" si="5">E5+I5+L5+O5+R5</f>
        <v>6602237.3892999999</v>
      </c>
      <c r="X5" s="29">
        <f t="shared" ref="X5:X12" si="6">W5-U5</f>
        <v>0</v>
      </c>
      <c r="AA5">
        <v>127</v>
      </c>
      <c r="AB5">
        <v>179</v>
      </c>
      <c r="AC5">
        <f>ROUND((AA5/$AC$2),0)</f>
        <v>42</v>
      </c>
      <c r="AD5">
        <f>ROUND((AB5/$AC$2),0)</f>
        <v>60</v>
      </c>
    </row>
    <row r="6" spans="1:30" ht="21" thickBot="1" x14ac:dyDescent="0.35">
      <c r="A6" s="26">
        <v>3</v>
      </c>
      <c r="B6" s="27" t="s">
        <v>7</v>
      </c>
      <c r="C6" s="28">
        <v>7</v>
      </c>
      <c r="D6" s="28">
        <v>121</v>
      </c>
      <c r="E6" s="37">
        <v>140665</v>
      </c>
      <c r="F6" s="87">
        <v>452</v>
      </c>
      <c r="G6" s="88"/>
      <c r="H6" s="42">
        <v>303</v>
      </c>
      <c r="I6" s="37">
        <f t="shared" ref="I6:I11" si="7">F6*856+H6*1113+(F6+H6)*352.79</f>
        <v>990507.45</v>
      </c>
      <c r="J6" s="28">
        <f>599+55</f>
        <v>654</v>
      </c>
      <c r="K6" s="28">
        <f>407+39</f>
        <v>446</v>
      </c>
      <c r="L6" s="37">
        <f t="shared" si="0"/>
        <v>1509284.095</v>
      </c>
      <c r="M6" s="28">
        <f>580+55</f>
        <v>635</v>
      </c>
      <c r="N6" s="28">
        <f>423+39</f>
        <v>462</v>
      </c>
      <c r="O6" s="37">
        <f t="shared" si="1"/>
        <v>1574806.5267</v>
      </c>
      <c r="P6" s="28">
        <f>562+55</f>
        <v>617</v>
      </c>
      <c r="Q6" s="28">
        <f>410+39</f>
        <v>449</v>
      </c>
      <c r="R6" s="37">
        <f>(P6*856+Q6*1113+(P6+Q6)*352.79)*1.149+(P6+Q6)*0.53-1</f>
        <v>1613717.6278600001</v>
      </c>
      <c r="S6" s="30">
        <f t="shared" si="2"/>
        <v>2365</v>
      </c>
      <c r="T6" s="31">
        <f t="shared" si="3"/>
        <v>1781</v>
      </c>
      <c r="U6" s="30">
        <f t="shared" si="4"/>
        <v>5828980.6995600006</v>
      </c>
      <c r="V6" s="22"/>
      <c r="W6" s="29">
        <f t="shared" si="5"/>
        <v>5828980.6995600006</v>
      </c>
      <c r="X6" s="29">
        <f t="shared" si="6"/>
        <v>0</v>
      </c>
      <c r="AA6">
        <v>166</v>
      </c>
      <c r="AB6">
        <v>118</v>
      </c>
      <c r="AC6">
        <f t="shared" ref="AC6:AC11" si="8">ROUND((AA6/$AC$2),0)</f>
        <v>55</v>
      </c>
      <c r="AD6">
        <f t="shared" ref="AD6:AD11" si="9">ROUND((AB6/$AC$2),0)</f>
        <v>39</v>
      </c>
    </row>
    <row r="7" spans="1:30" ht="15" thickBot="1" x14ac:dyDescent="0.35">
      <c r="A7" s="26">
        <v>4</v>
      </c>
      <c r="B7" s="27" t="s">
        <v>8</v>
      </c>
      <c r="C7" s="28">
        <v>26</v>
      </c>
      <c r="D7" s="28">
        <v>28</v>
      </c>
      <c r="E7" s="37">
        <v>53420</v>
      </c>
      <c r="F7" s="87">
        <v>24</v>
      </c>
      <c r="G7" s="88"/>
      <c r="H7" s="42">
        <v>19</v>
      </c>
      <c r="I7" s="37">
        <f t="shared" si="7"/>
        <v>56860.97</v>
      </c>
      <c r="J7" s="28">
        <f>31+2</f>
        <v>33</v>
      </c>
      <c r="K7" s="28">
        <f>26+3</f>
        <v>29</v>
      </c>
      <c r="L7" s="37">
        <f t="shared" si="0"/>
        <v>86105.889099999986</v>
      </c>
      <c r="M7" s="28">
        <f>29+2</f>
        <v>31</v>
      </c>
      <c r="N7" s="28">
        <f>30+3</f>
        <v>33</v>
      </c>
      <c r="O7" s="37">
        <f t="shared" si="1"/>
        <v>93569.4804</v>
      </c>
      <c r="P7" s="28">
        <f>29+2</f>
        <v>31</v>
      </c>
      <c r="Q7" s="28">
        <f>29+3</f>
        <v>32</v>
      </c>
      <c r="R7" s="37">
        <f t="shared" ref="R7:R11" si="10">(P7*856+Q7*1113+(P7+Q7)*352.79)*1.149+(P7+Q7)*0.53</f>
        <v>96983.44773</v>
      </c>
      <c r="S7" s="30">
        <f t="shared" si="2"/>
        <v>145</v>
      </c>
      <c r="T7" s="31">
        <f t="shared" si="3"/>
        <v>141</v>
      </c>
      <c r="U7" s="30">
        <f t="shared" si="4"/>
        <v>386939.78723000002</v>
      </c>
      <c r="V7" s="22"/>
      <c r="W7" s="29">
        <f t="shared" si="5"/>
        <v>386939.78723000002</v>
      </c>
      <c r="X7" s="29">
        <f t="shared" si="6"/>
        <v>0</v>
      </c>
      <c r="AA7">
        <v>7</v>
      </c>
      <c r="AB7">
        <v>8</v>
      </c>
      <c r="AC7">
        <f t="shared" si="8"/>
        <v>2</v>
      </c>
      <c r="AD7">
        <f t="shared" si="9"/>
        <v>3</v>
      </c>
    </row>
    <row r="8" spans="1:30" ht="21" thickBot="1" x14ac:dyDescent="0.35">
      <c r="A8" s="26">
        <v>5</v>
      </c>
      <c r="B8" s="27" t="s">
        <v>9</v>
      </c>
      <c r="C8" s="28">
        <v>33</v>
      </c>
      <c r="D8" s="28">
        <v>64</v>
      </c>
      <c r="E8" s="37">
        <v>99480</v>
      </c>
      <c r="F8" s="87">
        <v>266</v>
      </c>
      <c r="G8" s="88"/>
      <c r="H8" s="42">
        <v>80</v>
      </c>
      <c r="I8" s="37">
        <f t="shared" si="7"/>
        <v>438801.34</v>
      </c>
      <c r="J8" s="28">
        <f>353+32</f>
        <v>385</v>
      </c>
      <c r="K8" s="28">
        <f>111+10</f>
        <v>121</v>
      </c>
      <c r="L8" s="37">
        <f t="shared" si="0"/>
        <v>671668.25329999998</v>
      </c>
      <c r="M8" s="28">
        <f>341+32</f>
        <v>373</v>
      </c>
      <c r="N8" s="28">
        <f>113+10</f>
        <v>123</v>
      </c>
      <c r="O8" s="37">
        <f t="shared" si="1"/>
        <v>687976.2156</v>
      </c>
      <c r="P8" s="28">
        <f>331+32</f>
        <v>363</v>
      </c>
      <c r="Q8" s="28">
        <f>110+10</f>
        <v>120</v>
      </c>
      <c r="R8" s="37">
        <f t="shared" si="10"/>
        <v>706529.70993000013</v>
      </c>
      <c r="S8" s="30">
        <f t="shared" si="2"/>
        <v>1420</v>
      </c>
      <c r="T8" s="31">
        <f t="shared" si="3"/>
        <v>508</v>
      </c>
      <c r="U8" s="30">
        <f t="shared" si="4"/>
        <v>2604455.5188300004</v>
      </c>
      <c r="V8" s="22"/>
      <c r="W8" s="29">
        <f t="shared" si="5"/>
        <v>2604455.5188300004</v>
      </c>
      <c r="X8" s="29">
        <f t="shared" si="6"/>
        <v>0</v>
      </c>
      <c r="AA8">
        <v>97</v>
      </c>
      <c r="AB8">
        <v>31</v>
      </c>
      <c r="AC8">
        <f t="shared" si="8"/>
        <v>32</v>
      </c>
      <c r="AD8">
        <f t="shared" si="9"/>
        <v>10</v>
      </c>
    </row>
    <row r="9" spans="1:30" ht="21" thickBot="1" x14ac:dyDescent="0.35">
      <c r="A9" s="26">
        <v>6</v>
      </c>
      <c r="B9" s="27" t="s">
        <v>10</v>
      </c>
      <c r="C9" s="28">
        <v>22</v>
      </c>
      <c r="D9" s="28">
        <v>82</v>
      </c>
      <c r="E9" s="37">
        <v>110098</v>
      </c>
      <c r="F9" s="87">
        <v>87</v>
      </c>
      <c r="G9" s="88"/>
      <c r="H9" s="42">
        <v>456</v>
      </c>
      <c r="I9" s="37">
        <f t="shared" si="7"/>
        <v>773564.97</v>
      </c>
      <c r="J9" s="28">
        <f>115+10</f>
        <v>125</v>
      </c>
      <c r="K9" s="28">
        <f>667+59</f>
        <v>726</v>
      </c>
      <c r="L9" s="37">
        <f t="shared" si="0"/>
        <v>1269949.09305</v>
      </c>
      <c r="M9" s="28">
        <f>111+10</f>
        <v>121</v>
      </c>
      <c r="N9" s="28">
        <f>659+59</f>
        <v>718</v>
      </c>
      <c r="O9" s="37">
        <f t="shared" si="1"/>
        <v>1306583.8829000001</v>
      </c>
      <c r="P9" s="28">
        <f>107+10</f>
        <v>117</v>
      </c>
      <c r="Q9" s="28">
        <f>639+59</f>
        <v>698</v>
      </c>
      <c r="R9" s="37">
        <f t="shared" si="10"/>
        <v>1338499.72765</v>
      </c>
      <c r="S9" s="30">
        <f t="shared" si="2"/>
        <v>472</v>
      </c>
      <c r="T9" s="31">
        <f t="shared" si="3"/>
        <v>2680</v>
      </c>
      <c r="U9" s="30">
        <f t="shared" si="4"/>
        <v>4798695.6736000003</v>
      </c>
      <c r="V9" s="22"/>
      <c r="W9" s="29">
        <f t="shared" si="5"/>
        <v>4798695.6736000003</v>
      </c>
      <c r="X9" s="29">
        <f t="shared" si="6"/>
        <v>0</v>
      </c>
      <c r="AA9">
        <v>31</v>
      </c>
      <c r="AB9">
        <v>178</v>
      </c>
      <c r="AC9">
        <f t="shared" si="8"/>
        <v>10</v>
      </c>
      <c r="AD9">
        <f t="shared" si="9"/>
        <v>59</v>
      </c>
    </row>
    <row r="10" spans="1:30" ht="15" thickBot="1" x14ac:dyDescent="0.35">
      <c r="A10" s="26">
        <v>7</v>
      </c>
      <c r="B10" s="27" t="s">
        <v>11</v>
      </c>
      <c r="C10" s="28">
        <v>102</v>
      </c>
      <c r="D10" s="28">
        <v>143</v>
      </c>
      <c r="E10" s="37">
        <v>246471</v>
      </c>
      <c r="F10" s="87">
        <v>253</v>
      </c>
      <c r="G10" s="88"/>
      <c r="H10" s="42">
        <v>514</v>
      </c>
      <c r="I10" s="37">
        <f t="shared" si="7"/>
        <v>1059239.93</v>
      </c>
      <c r="J10" s="28">
        <f>335+31</f>
        <v>366</v>
      </c>
      <c r="K10" s="28">
        <f>746+67</f>
        <v>813</v>
      </c>
      <c r="L10" s="37">
        <f t="shared" si="0"/>
        <v>1707639.1084499999</v>
      </c>
      <c r="M10" s="28">
        <f>324+31</f>
        <v>355</v>
      </c>
      <c r="N10" s="28">
        <f>741+67</f>
        <v>808</v>
      </c>
      <c r="O10" s="37">
        <f t="shared" si="1"/>
        <v>1758691.8593000001</v>
      </c>
      <c r="P10" s="28">
        <f>313+31</f>
        <v>344</v>
      </c>
      <c r="Q10" s="28">
        <f>718+67</f>
        <v>785</v>
      </c>
      <c r="R10" s="37">
        <f t="shared" si="10"/>
        <v>1800471.1475900004</v>
      </c>
      <c r="S10" s="30">
        <f t="shared" si="2"/>
        <v>1420</v>
      </c>
      <c r="T10" s="31">
        <f t="shared" si="3"/>
        <v>3063</v>
      </c>
      <c r="U10" s="30">
        <f t="shared" si="4"/>
        <v>6572513.0453399997</v>
      </c>
      <c r="V10" s="22"/>
      <c r="W10" s="29">
        <f t="shared" si="5"/>
        <v>6572513.0453399997</v>
      </c>
      <c r="X10" s="29">
        <f t="shared" si="6"/>
        <v>0</v>
      </c>
      <c r="AA10">
        <v>93</v>
      </c>
      <c r="AB10">
        <v>200</v>
      </c>
      <c r="AC10">
        <f t="shared" si="8"/>
        <v>31</v>
      </c>
      <c r="AD10">
        <f t="shared" si="9"/>
        <v>67</v>
      </c>
    </row>
    <row r="11" spans="1:30" ht="15" thickBot="1" x14ac:dyDescent="0.35">
      <c r="A11" s="26">
        <v>8</v>
      </c>
      <c r="B11" s="27" t="s">
        <v>12</v>
      </c>
      <c r="C11" s="28">
        <v>35</v>
      </c>
      <c r="D11" s="28">
        <v>68</v>
      </c>
      <c r="E11" s="37">
        <v>105644</v>
      </c>
      <c r="F11" s="87">
        <v>84</v>
      </c>
      <c r="G11" s="88"/>
      <c r="H11" s="42">
        <v>171</v>
      </c>
      <c r="I11" s="37">
        <f t="shared" si="7"/>
        <v>352188.45</v>
      </c>
      <c r="J11" s="28">
        <f>111+10</f>
        <v>121</v>
      </c>
      <c r="K11" s="28">
        <f>245+22</f>
        <v>267</v>
      </c>
      <c r="L11" s="37">
        <f t="shared" si="0"/>
        <v>561822.84840000002</v>
      </c>
      <c r="M11" s="28">
        <f>107+10</f>
        <v>117</v>
      </c>
      <c r="N11" s="28">
        <f>242+22</f>
        <v>264</v>
      </c>
      <c r="O11" s="37">
        <f t="shared" si="1"/>
        <v>575952.71909999999</v>
      </c>
      <c r="P11" s="28">
        <f>103+10</f>
        <v>113</v>
      </c>
      <c r="Q11" s="28">
        <f>234+22</f>
        <v>256</v>
      </c>
      <c r="R11" s="37">
        <f t="shared" si="10"/>
        <v>588294.57098999992</v>
      </c>
      <c r="S11" s="30">
        <f t="shared" si="2"/>
        <v>470</v>
      </c>
      <c r="T11" s="31">
        <f>D11+H11+K11+N11+Q11</f>
        <v>1026</v>
      </c>
      <c r="U11" s="30">
        <f t="shared" si="4"/>
        <v>2183902.58849</v>
      </c>
      <c r="V11" s="22"/>
      <c r="W11" s="29">
        <f t="shared" si="5"/>
        <v>2183902.58849</v>
      </c>
      <c r="X11" s="29">
        <f t="shared" si="6"/>
        <v>0</v>
      </c>
      <c r="AA11">
        <v>30</v>
      </c>
      <c r="AB11">
        <v>67</v>
      </c>
      <c r="AC11">
        <f t="shared" si="8"/>
        <v>10</v>
      </c>
      <c r="AD11">
        <f t="shared" si="9"/>
        <v>22</v>
      </c>
    </row>
    <row r="12" spans="1:30" ht="15" thickBot="1" x14ac:dyDescent="0.35">
      <c r="A12" s="89" t="s">
        <v>13</v>
      </c>
      <c r="B12" s="91"/>
      <c r="C12" s="34">
        <f>SUM(C4:C11)</f>
        <v>347</v>
      </c>
      <c r="D12" s="34">
        <f>SUM(D4:D11)</f>
        <v>698</v>
      </c>
      <c r="E12" s="35">
        <f>SUM(E4:E11)</f>
        <v>1073906</v>
      </c>
      <c r="F12" s="96">
        <f>SUM(F4:G11)</f>
        <v>2209</v>
      </c>
      <c r="G12" s="97"/>
      <c r="H12" s="39">
        <f t="shared" ref="H12:R12" si="11">SUM(H4:H11)</f>
        <v>2144</v>
      </c>
      <c r="I12" s="39">
        <f t="shared" si="11"/>
        <v>5812870.8700000001</v>
      </c>
      <c r="J12" s="30">
        <f t="shared" si="11"/>
        <v>3192</v>
      </c>
      <c r="K12" s="30">
        <f t="shared" si="11"/>
        <v>3337</v>
      </c>
      <c r="L12" s="39">
        <f t="shared" si="11"/>
        <v>9143539.8609500006</v>
      </c>
      <c r="M12" s="30">
        <f t="shared" si="11"/>
        <v>3096</v>
      </c>
      <c r="N12" s="30">
        <f t="shared" si="11"/>
        <v>3345</v>
      </c>
      <c r="O12" s="39">
        <f t="shared" si="11"/>
        <v>9423574.7151000015</v>
      </c>
      <c r="P12" s="30">
        <f t="shared" si="11"/>
        <v>3007</v>
      </c>
      <c r="Q12" s="30">
        <f t="shared" si="11"/>
        <v>3251</v>
      </c>
      <c r="R12" s="39">
        <f t="shared" si="11"/>
        <v>9655045.66818</v>
      </c>
      <c r="S12" s="30">
        <f>C12+F12+J12+M12+P12</f>
        <v>11851</v>
      </c>
      <c r="T12" s="30">
        <f>D12+H12+K12+N12+Q12</f>
        <v>12775</v>
      </c>
      <c r="U12" s="43">
        <f>SUM(U4:U11)</f>
        <v>35108937.114229999</v>
      </c>
      <c r="V12" s="22"/>
      <c r="W12" s="29">
        <f>SUM(W4:W11)</f>
        <v>35108937.114229999</v>
      </c>
      <c r="X12" s="29">
        <f t="shared" si="6"/>
        <v>0</v>
      </c>
    </row>
    <row r="13" spans="1:30" ht="15" thickBot="1" x14ac:dyDescent="0.35">
      <c r="A13" s="89" t="s">
        <v>14</v>
      </c>
      <c r="B13" s="91"/>
      <c r="C13" s="98">
        <f>C12+D12</f>
        <v>1045</v>
      </c>
      <c r="D13" s="99"/>
      <c r="E13" s="36"/>
      <c r="F13" s="96">
        <f>F12+H12</f>
        <v>4353</v>
      </c>
      <c r="G13" s="100"/>
      <c r="H13" s="97"/>
      <c r="I13" s="41"/>
      <c r="J13" s="101">
        <f>J12+K12</f>
        <v>6529</v>
      </c>
      <c r="K13" s="102"/>
      <c r="L13" s="24"/>
      <c r="M13" s="101">
        <f>M12+N12</f>
        <v>6441</v>
      </c>
      <c r="N13" s="102"/>
      <c r="O13" s="24"/>
      <c r="P13" s="101">
        <f>P12+Q12</f>
        <v>6258</v>
      </c>
      <c r="Q13" s="102"/>
      <c r="R13" s="24"/>
      <c r="S13" s="101">
        <f>S12+T12</f>
        <v>24626</v>
      </c>
      <c r="T13" s="102"/>
      <c r="U13" s="24"/>
      <c r="V13" s="22"/>
    </row>
    <row r="17" spans="5:21" x14ac:dyDescent="0.3">
      <c r="E17" t="s">
        <v>30</v>
      </c>
      <c r="F17">
        <v>2209</v>
      </c>
      <c r="H17">
        <v>2144</v>
      </c>
    </row>
    <row r="18" spans="5:21" ht="15" thickBot="1" x14ac:dyDescent="0.35">
      <c r="F18" s="38">
        <f>F17/F12</f>
        <v>1</v>
      </c>
      <c r="H18">
        <f>H17/H12</f>
        <v>1</v>
      </c>
      <c r="U18" s="40">
        <v>35108937</v>
      </c>
    </row>
  </sheetData>
  <mergeCells count="32">
    <mergeCell ref="A1:A3"/>
    <mergeCell ref="B1:B3"/>
    <mergeCell ref="G1:I1"/>
    <mergeCell ref="J1:L1"/>
    <mergeCell ref="M1:O1"/>
    <mergeCell ref="F3:G3"/>
    <mergeCell ref="F2:H2"/>
    <mergeCell ref="J2:K2"/>
    <mergeCell ref="M2:N2"/>
    <mergeCell ref="C1:E1"/>
    <mergeCell ref="C2:D2"/>
    <mergeCell ref="J13:K13"/>
    <mergeCell ref="M13:N13"/>
    <mergeCell ref="P13:Q13"/>
    <mergeCell ref="S13:T13"/>
    <mergeCell ref="F10:G10"/>
    <mergeCell ref="F11:G11"/>
    <mergeCell ref="A12:B12"/>
    <mergeCell ref="F12:G12"/>
    <mergeCell ref="A13:B13"/>
    <mergeCell ref="C13:D13"/>
    <mergeCell ref="F13:H13"/>
    <mergeCell ref="F7:G7"/>
    <mergeCell ref="F8:G8"/>
    <mergeCell ref="F9:G9"/>
    <mergeCell ref="P1:R1"/>
    <mergeCell ref="S1:V1"/>
    <mergeCell ref="P2:Q2"/>
    <mergeCell ref="S2:T2"/>
    <mergeCell ref="F4:G4"/>
    <mergeCell ref="F5:G5"/>
    <mergeCell ref="F6:G6"/>
  </mergeCells>
  <pageMargins left="0.7" right="0.7" top="0.75" bottom="0.75" header="0.3" footer="0.3"/>
  <pageSetup paperSize="9" scale="4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6"/>
  <sheetViews>
    <sheetView zoomScale="90" zoomScaleNormal="90" workbookViewId="0">
      <selection activeCell="R4" sqref="R4"/>
    </sheetView>
  </sheetViews>
  <sheetFormatPr defaultRowHeight="14.4" x14ac:dyDescent="0.3"/>
  <cols>
    <col min="2" max="2" width="21.44140625" bestFit="1" customWidth="1"/>
    <col min="12" max="12" width="9" bestFit="1" customWidth="1"/>
    <col min="23" max="23" width="11.44140625" customWidth="1"/>
  </cols>
  <sheetData>
    <row r="1" spans="1:30" ht="15" thickBot="1" x14ac:dyDescent="0.35">
      <c r="A1" s="103" t="s">
        <v>25</v>
      </c>
      <c r="B1" s="106" t="s">
        <v>0</v>
      </c>
      <c r="C1" s="110">
        <v>2024</v>
      </c>
      <c r="D1" s="110"/>
      <c r="E1" s="110"/>
      <c r="F1" s="32"/>
      <c r="G1" s="89">
        <v>2025</v>
      </c>
      <c r="H1" s="90"/>
      <c r="I1" s="91"/>
      <c r="J1" s="89">
        <v>2026</v>
      </c>
      <c r="K1" s="90"/>
      <c r="L1" s="91"/>
      <c r="M1" s="89">
        <v>2027</v>
      </c>
      <c r="N1" s="90"/>
      <c r="O1" s="91"/>
      <c r="P1" s="89">
        <v>2028</v>
      </c>
      <c r="Q1" s="90"/>
      <c r="R1" s="91"/>
      <c r="S1" s="89" t="s">
        <v>13</v>
      </c>
      <c r="T1" s="90"/>
      <c r="U1" s="90"/>
      <c r="V1" s="91"/>
    </row>
    <row r="2" spans="1:30" ht="21" customHeight="1" thickBot="1" x14ac:dyDescent="0.35">
      <c r="A2" s="104"/>
      <c r="B2" s="104"/>
      <c r="C2" s="111" t="s">
        <v>1</v>
      </c>
      <c r="D2" s="112"/>
      <c r="E2" s="33" t="s">
        <v>2</v>
      </c>
      <c r="F2" s="92" t="s">
        <v>1</v>
      </c>
      <c r="G2" s="109"/>
      <c r="H2" s="93"/>
      <c r="I2" s="33" t="s">
        <v>2</v>
      </c>
      <c r="J2" s="92" t="s">
        <v>1</v>
      </c>
      <c r="K2" s="93"/>
      <c r="L2" s="33" t="s">
        <v>2</v>
      </c>
      <c r="M2" s="92" t="s">
        <v>1</v>
      </c>
      <c r="N2" s="93"/>
      <c r="O2" s="33" t="s">
        <v>2</v>
      </c>
      <c r="P2" s="92" t="s">
        <v>1</v>
      </c>
      <c r="Q2" s="93"/>
      <c r="R2" s="33" t="s">
        <v>2</v>
      </c>
      <c r="S2" s="94" t="s">
        <v>1</v>
      </c>
      <c r="T2" s="95"/>
      <c r="U2" s="21" t="s">
        <v>2</v>
      </c>
      <c r="V2" s="22"/>
      <c r="AA2" t="s">
        <v>31</v>
      </c>
      <c r="AB2" t="s">
        <v>32</v>
      </c>
      <c r="AC2">
        <v>3</v>
      </c>
    </row>
    <row r="3" spans="1:30" ht="15" thickBot="1" x14ac:dyDescent="0.35">
      <c r="A3" s="105"/>
      <c r="B3" s="105"/>
      <c r="C3" s="23" t="s">
        <v>3</v>
      </c>
      <c r="D3" s="23" t="s">
        <v>4</v>
      </c>
      <c r="E3" s="24"/>
      <c r="F3" s="107" t="s">
        <v>3</v>
      </c>
      <c r="G3" s="108"/>
      <c r="H3" s="23" t="s">
        <v>4</v>
      </c>
      <c r="I3" s="24"/>
      <c r="J3" s="23" t="s">
        <v>3</v>
      </c>
      <c r="K3" s="23" t="s">
        <v>4</v>
      </c>
      <c r="L3" s="24"/>
      <c r="M3" s="23" t="s">
        <v>3</v>
      </c>
      <c r="N3" s="23" t="s">
        <v>4</v>
      </c>
      <c r="O3" s="24"/>
      <c r="P3" s="23" t="s">
        <v>3</v>
      </c>
      <c r="Q3" s="23" t="s">
        <v>4</v>
      </c>
      <c r="R3" s="24"/>
      <c r="S3" s="25" t="s">
        <v>3</v>
      </c>
      <c r="T3" s="25" t="s">
        <v>4</v>
      </c>
      <c r="U3" s="24"/>
      <c r="V3" s="22"/>
    </row>
    <row r="4" spans="1:30" ht="15" thickBot="1" x14ac:dyDescent="0.35">
      <c r="A4" s="26">
        <v>1</v>
      </c>
      <c r="B4" s="27" t="s">
        <v>5</v>
      </c>
      <c r="C4" s="28">
        <v>37</v>
      </c>
      <c r="D4" s="28">
        <v>64</v>
      </c>
      <c r="E4" s="44">
        <v>134041</v>
      </c>
      <c r="F4" s="87">
        <v>224</v>
      </c>
      <c r="G4" s="88"/>
      <c r="H4" s="42">
        <v>112</v>
      </c>
      <c r="I4" s="37">
        <f>F4*856+H4*1113+(F4+H4)*352.79</f>
        <v>434937.44</v>
      </c>
      <c r="J4" s="28">
        <f>922+242</f>
        <v>1164</v>
      </c>
      <c r="K4" s="28">
        <f>209+31</f>
        <v>240</v>
      </c>
      <c r="L4" s="37">
        <f>(J4*856+K4*1113+(J4+K4)*352.79)*1.04</f>
        <v>1829174.0064000003</v>
      </c>
      <c r="M4" s="28">
        <f>893+242</f>
        <v>1135</v>
      </c>
      <c r="N4" s="28">
        <f>211+31</f>
        <v>242</v>
      </c>
      <c r="O4" s="37">
        <f>(M4*856+N4*1113+(M4+N4)*352.79)*1.04*1.04</f>
        <v>1867596.3729280003</v>
      </c>
      <c r="P4" s="28">
        <f>865+242</f>
        <v>1107</v>
      </c>
      <c r="Q4" s="28">
        <f>204+31</f>
        <v>235</v>
      </c>
      <c r="R4" s="37">
        <f>(P4*856+Q4*1113+(P4+Q4)*352.79)*1.04*1.04*1.04+(P4+Q4)*0.53-1</f>
        <v>1893396.5050995203</v>
      </c>
      <c r="S4" s="30">
        <f>C4+F4+J4+M4+P4</f>
        <v>3667</v>
      </c>
      <c r="T4" s="31">
        <f>D4+H4+K4+N4+Q4</f>
        <v>893</v>
      </c>
      <c r="U4" s="30">
        <f>E4+I4+L4+O4+R4</f>
        <v>6159145.3244275209</v>
      </c>
      <c r="V4" s="22"/>
      <c r="W4" s="29">
        <f>E4+I4+L4+O4+R4</f>
        <v>6159145.3244275209</v>
      </c>
      <c r="X4" s="29">
        <f>W4-U4</f>
        <v>0</v>
      </c>
      <c r="AA4">
        <f>254+G23</f>
        <v>726</v>
      </c>
      <c r="AB4">
        <f>58+I23</f>
        <v>92</v>
      </c>
      <c r="AC4">
        <f>ROUND((AA4/$AC$2),0)</f>
        <v>242</v>
      </c>
      <c r="AD4">
        <f>ROUND((AB4/$AC$2),0)</f>
        <v>31</v>
      </c>
    </row>
    <row r="5" spans="1:30" ht="15" thickBot="1" x14ac:dyDescent="0.35">
      <c r="A5" s="26">
        <v>2</v>
      </c>
      <c r="B5" s="27" t="s">
        <v>6</v>
      </c>
      <c r="C5" s="28">
        <v>85</v>
      </c>
      <c r="D5" s="28">
        <v>128</v>
      </c>
      <c r="E5" s="44">
        <v>280993</v>
      </c>
      <c r="F5" s="87">
        <v>111</v>
      </c>
      <c r="G5" s="88"/>
      <c r="H5" s="42">
        <v>349</v>
      </c>
      <c r="I5" s="37">
        <f>F5*856+H5*1113+(F5+H5)*352.79</f>
        <v>645736.4</v>
      </c>
      <c r="J5" s="28">
        <f>459+121</f>
        <v>580</v>
      </c>
      <c r="K5" s="28">
        <f>647+95</f>
        <v>742</v>
      </c>
      <c r="L5" s="37">
        <f t="shared" ref="L5:L11" si="0">(J5*856+K5*1113+(J5+K5)*352.79)*1.04</f>
        <v>1860262.9552</v>
      </c>
      <c r="M5" s="28">
        <f>444+121</f>
        <v>565</v>
      </c>
      <c r="N5" s="28">
        <f>647+95</f>
        <v>742</v>
      </c>
      <c r="O5" s="37">
        <f t="shared" ref="O5:O11" si="1">(M5*856+N5*1113+(M5+N5)*352.79)*1.04*1.04</f>
        <v>1915062.0644480002</v>
      </c>
      <c r="P5" s="28">
        <f>430+121</f>
        <v>551</v>
      </c>
      <c r="Q5" s="28">
        <f>628+95</f>
        <v>723</v>
      </c>
      <c r="R5" s="37">
        <f t="shared" ref="R5:R11" si="2">(P5*856+Q5*1113+(P5+Q5)*352.79)*1.04*1.04*1.04+(P5+Q5)*0.53-1</f>
        <v>1941975.1524134402</v>
      </c>
      <c r="S5" s="30">
        <f t="shared" ref="S5:S11" si="3">C5+F5+J5+M5+P5</f>
        <v>1892</v>
      </c>
      <c r="T5" s="31">
        <f t="shared" ref="T5:U11" si="4">D5+H5+K5+N5+Q5</f>
        <v>2684</v>
      </c>
      <c r="U5" s="30">
        <f t="shared" si="4"/>
        <v>6644029.57206144</v>
      </c>
      <c r="V5" s="22"/>
      <c r="W5" s="29">
        <f t="shared" ref="W5:W11" si="5">E5+I5+L5+O5+R5</f>
        <v>6644029.57206144</v>
      </c>
      <c r="X5" s="29">
        <f t="shared" ref="X5:X12" si="6">W5-U5</f>
        <v>0</v>
      </c>
      <c r="AA5">
        <f>127+G24</f>
        <v>363</v>
      </c>
      <c r="AB5">
        <f>179+I24</f>
        <v>285</v>
      </c>
      <c r="AC5">
        <f>ROUND((AA5/$AC$2),0)</f>
        <v>121</v>
      </c>
      <c r="AD5">
        <f>ROUND((AB5/$AC$2),0)</f>
        <v>95</v>
      </c>
    </row>
    <row r="6" spans="1:30" ht="21" thickBot="1" x14ac:dyDescent="0.35">
      <c r="A6" s="26">
        <v>3</v>
      </c>
      <c r="B6" s="27" t="s">
        <v>7</v>
      </c>
      <c r="C6" s="28">
        <v>7</v>
      </c>
      <c r="D6" s="28">
        <v>121</v>
      </c>
      <c r="E6" s="44">
        <v>179527</v>
      </c>
      <c r="F6" s="87">
        <v>145</v>
      </c>
      <c r="G6" s="88"/>
      <c r="H6" s="42">
        <v>232</v>
      </c>
      <c r="I6" s="37">
        <f t="shared" ref="I6:I11" si="7">F6*856+H6*1113+(F6+H6)*352.79</f>
        <v>515337.83</v>
      </c>
      <c r="J6" s="28">
        <f>599+158</f>
        <v>757</v>
      </c>
      <c r="K6" s="28">
        <f>407+63</f>
        <v>470</v>
      </c>
      <c r="L6" s="37">
        <f t="shared" si="0"/>
        <v>1668134.3432000002</v>
      </c>
      <c r="M6" s="28">
        <f>580+158</f>
        <v>738</v>
      </c>
      <c r="N6" s="28">
        <f>423+63</f>
        <v>486</v>
      </c>
      <c r="O6" s="37">
        <f t="shared" si="1"/>
        <v>1735384.9743360002</v>
      </c>
      <c r="P6" s="28">
        <f>562+158</f>
        <v>720</v>
      </c>
      <c r="Q6" s="28">
        <f>410+63</f>
        <v>473</v>
      </c>
      <c r="R6" s="37">
        <f t="shared" si="2"/>
        <v>1759522.0376940803</v>
      </c>
      <c r="S6" s="30">
        <f t="shared" si="3"/>
        <v>2367</v>
      </c>
      <c r="T6" s="31">
        <f t="shared" si="4"/>
        <v>1782</v>
      </c>
      <c r="U6" s="30">
        <f t="shared" si="4"/>
        <v>5857906.18523008</v>
      </c>
      <c r="V6" s="22"/>
      <c r="W6" s="29">
        <f t="shared" si="5"/>
        <v>5857906.18523008</v>
      </c>
      <c r="X6" s="29">
        <f t="shared" si="6"/>
        <v>0</v>
      </c>
      <c r="AA6">
        <f>166+G25</f>
        <v>473</v>
      </c>
      <c r="AB6">
        <f>118+I25</f>
        <v>189</v>
      </c>
      <c r="AC6">
        <f t="shared" ref="AC6:AC11" si="8">ROUND((AA6/$AC$2),0)</f>
        <v>158</v>
      </c>
      <c r="AD6">
        <f t="shared" ref="AD6:AD11" si="9">ROUND((AB6/$AC$2),0)</f>
        <v>63</v>
      </c>
    </row>
    <row r="7" spans="1:30" ht="15" thickBot="1" x14ac:dyDescent="0.35">
      <c r="A7" s="26">
        <v>4</v>
      </c>
      <c r="B7" s="27" t="s">
        <v>8</v>
      </c>
      <c r="C7" s="28">
        <v>26</v>
      </c>
      <c r="D7" s="28">
        <v>28</v>
      </c>
      <c r="E7" s="44">
        <v>70161</v>
      </c>
      <c r="F7" s="87">
        <v>8</v>
      </c>
      <c r="G7" s="88"/>
      <c r="H7" s="42">
        <v>15</v>
      </c>
      <c r="I7" s="37">
        <f t="shared" si="7"/>
        <v>31657.17</v>
      </c>
      <c r="J7" s="28">
        <f>31+8</f>
        <v>39</v>
      </c>
      <c r="K7" s="28">
        <f>26+4</f>
        <v>30</v>
      </c>
      <c r="L7" s="37">
        <f t="shared" si="0"/>
        <v>94761.170400000017</v>
      </c>
      <c r="M7" s="28">
        <f>29+8</f>
        <v>37</v>
      </c>
      <c r="N7" s="28">
        <f>30+4</f>
        <v>34</v>
      </c>
      <c r="O7" s="37">
        <f t="shared" si="1"/>
        <v>102278.35654400001</v>
      </c>
      <c r="P7" s="28">
        <f>29+8</f>
        <v>37</v>
      </c>
      <c r="Q7" s="28">
        <f>29+4</f>
        <v>33</v>
      </c>
      <c r="R7" s="37">
        <f t="shared" si="2"/>
        <v>104756.77640320003</v>
      </c>
      <c r="S7" s="30">
        <f t="shared" si="3"/>
        <v>147</v>
      </c>
      <c r="T7" s="31">
        <f t="shared" si="4"/>
        <v>140</v>
      </c>
      <c r="U7" s="30">
        <f t="shared" si="4"/>
        <v>403614.47334720008</v>
      </c>
      <c r="V7" s="22"/>
      <c r="W7" s="29">
        <f t="shared" si="5"/>
        <v>403614.47334720008</v>
      </c>
      <c r="X7" s="29">
        <f t="shared" si="6"/>
        <v>0</v>
      </c>
      <c r="AA7">
        <f>7+G26</f>
        <v>23</v>
      </c>
      <c r="AB7">
        <f>8+I26</f>
        <v>12</v>
      </c>
      <c r="AC7">
        <f t="shared" si="8"/>
        <v>8</v>
      </c>
      <c r="AD7">
        <f t="shared" si="9"/>
        <v>4</v>
      </c>
    </row>
    <row r="8" spans="1:30" ht="21" thickBot="1" x14ac:dyDescent="0.35">
      <c r="A8" s="26">
        <v>5</v>
      </c>
      <c r="B8" s="27" t="s">
        <v>9</v>
      </c>
      <c r="C8" s="28">
        <v>33</v>
      </c>
      <c r="D8" s="28">
        <v>64</v>
      </c>
      <c r="E8" s="44">
        <v>129346</v>
      </c>
      <c r="F8" s="87">
        <v>85</v>
      </c>
      <c r="G8" s="88"/>
      <c r="H8" s="42">
        <v>61</v>
      </c>
      <c r="I8" s="37">
        <f t="shared" si="7"/>
        <v>192160.34</v>
      </c>
      <c r="J8" s="28">
        <f>353+93</f>
        <v>446</v>
      </c>
      <c r="K8" s="28">
        <f>111+17</f>
        <v>128</v>
      </c>
      <c r="L8" s="37">
        <f t="shared" si="0"/>
        <v>755811.11840000004</v>
      </c>
      <c r="M8" s="28">
        <f>341+93</f>
        <v>434</v>
      </c>
      <c r="N8" s="28">
        <f>113+17</f>
        <v>130</v>
      </c>
      <c r="O8" s="37">
        <f t="shared" si="1"/>
        <v>773525.23289600015</v>
      </c>
      <c r="P8" s="28">
        <f>331+93</f>
        <v>424</v>
      </c>
      <c r="Q8" s="28">
        <f>110+17</f>
        <v>127</v>
      </c>
      <c r="R8" s="37">
        <f t="shared" si="2"/>
        <v>786213.58545856003</v>
      </c>
      <c r="S8" s="30">
        <f t="shared" si="3"/>
        <v>1422</v>
      </c>
      <c r="T8" s="31">
        <f t="shared" si="4"/>
        <v>510</v>
      </c>
      <c r="U8" s="30">
        <f t="shared" si="4"/>
        <v>2637056.2767545599</v>
      </c>
      <c r="V8" s="22"/>
      <c r="W8" s="29">
        <f t="shared" si="5"/>
        <v>2637056.2767545599</v>
      </c>
      <c r="X8" s="29">
        <f t="shared" si="6"/>
        <v>0</v>
      </c>
      <c r="AA8">
        <f>97+G27</f>
        <v>278</v>
      </c>
      <c r="AB8">
        <f>31+I27</f>
        <v>50</v>
      </c>
      <c r="AC8">
        <f t="shared" si="8"/>
        <v>93</v>
      </c>
      <c r="AD8">
        <f t="shared" si="9"/>
        <v>17</v>
      </c>
    </row>
    <row r="9" spans="1:30" ht="21" thickBot="1" x14ac:dyDescent="0.35">
      <c r="A9" s="26">
        <v>6</v>
      </c>
      <c r="B9" s="27" t="s">
        <v>10</v>
      </c>
      <c r="C9" s="28">
        <v>22</v>
      </c>
      <c r="D9" s="28">
        <v>82</v>
      </c>
      <c r="E9" s="44">
        <v>141918</v>
      </c>
      <c r="F9" s="87">
        <v>28</v>
      </c>
      <c r="G9" s="88"/>
      <c r="H9" s="42">
        <v>350</v>
      </c>
      <c r="I9" s="37">
        <f t="shared" si="7"/>
        <v>546872.62</v>
      </c>
      <c r="J9" s="28">
        <f>115+30</f>
        <v>145</v>
      </c>
      <c r="K9" s="28">
        <f>667+95</f>
        <v>762</v>
      </c>
      <c r="L9" s="37">
        <f t="shared" si="0"/>
        <v>1343894.7912000001</v>
      </c>
      <c r="M9" s="28">
        <f>111+30</f>
        <v>141</v>
      </c>
      <c r="N9" s="28">
        <f>659+95</f>
        <v>754</v>
      </c>
      <c r="O9" s="37">
        <f t="shared" si="1"/>
        <v>1379737.6860800001</v>
      </c>
      <c r="P9" s="28">
        <f>107+30</f>
        <v>137</v>
      </c>
      <c r="Q9" s="28">
        <f>639+95</f>
        <v>734</v>
      </c>
      <c r="R9" s="37">
        <f t="shared" si="2"/>
        <v>1396972.6380537599</v>
      </c>
      <c r="S9" s="30">
        <f t="shared" si="3"/>
        <v>473</v>
      </c>
      <c r="T9" s="31">
        <f t="shared" si="4"/>
        <v>2682</v>
      </c>
      <c r="U9" s="30">
        <f t="shared" si="4"/>
        <v>4809395.7353337603</v>
      </c>
      <c r="V9" s="22"/>
      <c r="W9" s="29">
        <f t="shared" si="5"/>
        <v>4809395.7353337603</v>
      </c>
      <c r="X9" s="29">
        <f t="shared" si="6"/>
        <v>0</v>
      </c>
      <c r="AA9">
        <f>31+G28</f>
        <v>90</v>
      </c>
      <c r="AB9">
        <f>178+I28</f>
        <v>284</v>
      </c>
      <c r="AC9">
        <f t="shared" si="8"/>
        <v>30</v>
      </c>
      <c r="AD9">
        <f t="shared" si="9"/>
        <v>95</v>
      </c>
    </row>
    <row r="10" spans="1:30" ht="15" thickBot="1" x14ac:dyDescent="0.35">
      <c r="A10" s="26">
        <v>7</v>
      </c>
      <c r="B10" s="27" t="s">
        <v>11</v>
      </c>
      <c r="C10" s="28">
        <v>102</v>
      </c>
      <c r="D10" s="28">
        <v>143</v>
      </c>
      <c r="E10" s="44">
        <v>322185</v>
      </c>
      <c r="F10" s="87">
        <v>81</v>
      </c>
      <c r="G10" s="88"/>
      <c r="H10" s="42">
        <v>394</v>
      </c>
      <c r="I10" s="37">
        <f t="shared" si="7"/>
        <v>675433.25</v>
      </c>
      <c r="J10" s="28">
        <f>335+88</f>
        <v>423</v>
      </c>
      <c r="K10" s="28">
        <f>746+107</f>
        <v>853</v>
      </c>
      <c r="L10" s="37">
        <f t="shared" si="0"/>
        <v>1832102.5216000001</v>
      </c>
      <c r="M10" s="28">
        <f>324+88</f>
        <v>412</v>
      </c>
      <c r="N10" s="28">
        <f>741+107</f>
        <v>848</v>
      </c>
      <c r="O10" s="37">
        <f t="shared" si="1"/>
        <v>1883077.9302399999</v>
      </c>
      <c r="P10" s="28">
        <f>313+88</f>
        <v>401</v>
      </c>
      <c r="Q10" s="28">
        <f>718+107</f>
        <v>825</v>
      </c>
      <c r="R10" s="37">
        <f t="shared" si="2"/>
        <v>1906170.1282905606</v>
      </c>
      <c r="S10" s="30">
        <f t="shared" si="3"/>
        <v>1419</v>
      </c>
      <c r="T10" s="31">
        <f t="shared" si="4"/>
        <v>3063</v>
      </c>
      <c r="U10" s="30">
        <f t="shared" si="4"/>
        <v>6618968.8301305603</v>
      </c>
      <c r="V10" s="22"/>
      <c r="W10" s="29">
        <f t="shared" si="5"/>
        <v>6618968.8301305603</v>
      </c>
      <c r="X10" s="29">
        <f t="shared" si="6"/>
        <v>0</v>
      </c>
      <c r="AA10">
        <f>93+G29</f>
        <v>265</v>
      </c>
      <c r="AB10">
        <f>200+I29</f>
        <v>320</v>
      </c>
      <c r="AC10">
        <f t="shared" si="8"/>
        <v>88</v>
      </c>
      <c r="AD10">
        <f t="shared" si="9"/>
        <v>107</v>
      </c>
    </row>
    <row r="11" spans="1:30" ht="15" thickBot="1" x14ac:dyDescent="0.35">
      <c r="A11" s="26">
        <v>8</v>
      </c>
      <c r="B11" s="27" t="s">
        <v>12</v>
      </c>
      <c r="C11" s="28">
        <v>35</v>
      </c>
      <c r="D11" s="28">
        <v>68</v>
      </c>
      <c r="E11" s="44">
        <v>137356</v>
      </c>
      <c r="F11" s="87">
        <v>27</v>
      </c>
      <c r="G11" s="88"/>
      <c r="H11" s="42">
        <v>131</v>
      </c>
      <c r="I11" s="37">
        <f t="shared" si="7"/>
        <v>224655.82</v>
      </c>
      <c r="J11" s="28">
        <f>111+29</f>
        <v>140</v>
      </c>
      <c r="K11" s="28">
        <f>245+36</f>
        <v>281</v>
      </c>
      <c r="L11" s="37">
        <f t="shared" si="0"/>
        <v>604362.29359999998</v>
      </c>
      <c r="M11" s="28">
        <f>107+29</f>
        <v>136</v>
      </c>
      <c r="N11" s="28">
        <f>242+36</f>
        <v>278</v>
      </c>
      <c r="O11" s="37">
        <f t="shared" si="1"/>
        <v>618550.88089600008</v>
      </c>
      <c r="P11" s="28">
        <f>103+29</f>
        <v>132</v>
      </c>
      <c r="Q11" s="28">
        <f>234+36</f>
        <v>270</v>
      </c>
      <c r="R11" s="37">
        <f t="shared" si="2"/>
        <v>624875.56349312013</v>
      </c>
      <c r="S11" s="30">
        <f t="shared" si="3"/>
        <v>470</v>
      </c>
      <c r="T11" s="31">
        <f>D11+H11+K11+N11+Q11</f>
        <v>1028</v>
      </c>
      <c r="U11" s="30">
        <f t="shared" si="4"/>
        <v>2209800.55798912</v>
      </c>
      <c r="V11" s="22"/>
      <c r="W11" s="29">
        <f t="shared" si="5"/>
        <v>2209800.55798912</v>
      </c>
      <c r="X11" s="29">
        <f t="shared" si="6"/>
        <v>0</v>
      </c>
      <c r="AA11">
        <f>30+G30</f>
        <v>87</v>
      </c>
      <c r="AB11">
        <f>67+I30</f>
        <v>107</v>
      </c>
      <c r="AC11">
        <f t="shared" si="8"/>
        <v>29</v>
      </c>
      <c r="AD11">
        <f t="shared" si="9"/>
        <v>36</v>
      </c>
    </row>
    <row r="12" spans="1:30" ht="15" thickBot="1" x14ac:dyDescent="0.35">
      <c r="A12" s="89" t="s">
        <v>13</v>
      </c>
      <c r="B12" s="91"/>
      <c r="C12" s="34">
        <f>SUM(C4:C11)</f>
        <v>347</v>
      </c>
      <c r="D12" s="34">
        <f>SUM(D4:D11)</f>
        <v>698</v>
      </c>
      <c r="E12" s="45">
        <f>SUM(E4:E11)</f>
        <v>1395527</v>
      </c>
      <c r="F12" s="96">
        <f>SUM(F4:G11)</f>
        <v>709</v>
      </c>
      <c r="G12" s="97"/>
      <c r="H12" s="39">
        <f t="shared" ref="H12:R12" si="10">SUM(H4:H11)</f>
        <v>1644</v>
      </c>
      <c r="I12" s="39">
        <f t="shared" si="10"/>
        <v>3266790.87</v>
      </c>
      <c r="J12" s="30">
        <f t="shared" si="10"/>
        <v>3694</v>
      </c>
      <c r="K12" s="30">
        <f t="shared" si="10"/>
        <v>3506</v>
      </c>
      <c r="L12" s="39">
        <f t="shared" si="10"/>
        <v>9988503.2000000011</v>
      </c>
      <c r="M12" s="30">
        <f t="shared" si="10"/>
        <v>3598</v>
      </c>
      <c r="N12" s="30">
        <f t="shared" si="10"/>
        <v>3514</v>
      </c>
      <c r="O12" s="39">
        <f t="shared" si="10"/>
        <v>10275213.498368001</v>
      </c>
      <c r="P12" s="30">
        <f t="shared" si="10"/>
        <v>3509</v>
      </c>
      <c r="Q12" s="30">
        <f t="shared" si="10"/>
        <v>3420</v>
      </c>
      <c r="R12" s="39">
        <f t="shared" si="10"/>
        <v>10413882.38690624</v>
      </c>
      <c r="S12" s="30">
        <f>C12+F12+J12+M12+P12</f>
        <v>11857</v>
      </c>
      <c r="T12" s="30">
        <f>D12+H12+K12+N12+Q12</f>
        <v>12782</v>
      </c>
      <c r="U12" s="43">
        <f>SUM(U4:U11)</f>
        <v>35339916.955274239</v>
      </c>
      <c r="V12" s="22"/>
      <c r="W12" s="29">
        <f>SUM(W4:W11)</f>
        <v>35339916.955274239</v>
      </c>
      <c r="X12" s="29">
        <f t="shared" si="6"/>
        <v>0</v>
      </c>
    </row>
    <row r="13" spans="1:30" ht="15" thickBot="1" x14ac:dyDescent="0.35">
      <c r="A13" s="89" t="s">
        <v>14</v>
      </c>
      <c r="B13" s="91"/>
      <c r="C13" s="98">
        <f>C12+D12</f>
        <v>1045</v>
      </c>
      <c r="D13" s="99"/>
      <c r="E13" s="36"/>
      <c r="F13" s="96">
        <f>F12+H12</f>
        <v>2353</v>
      </c>
      <c r="G13" s="100"/>
      <c r="H13" s="97"/>
      <c r="I13" s="41"/>
      <c r="J13" s="101">
        <f>J12+K12</f>
        <v>7200</v>
      </c>
      <c r="K13" s="102"/>
      <c r="L13" s="24"/>
      <c r="M13" s="101">
        <f>M12+N12</f>
        <v>7112</v>
      </c>
      <c r="N13" s="102"/>
      <c r="O13" s="24"/>
      <c r="P13" s="101">
        <f>P12+Q12</f>
        <v>6929</v>
      </c>
      <c r="Q13" s="102"/>
      <c r="R13" s="24"/>
      <c r="S13" s="101">
        <f>S12+T12</f>
        <v>24639</v>
      </c>
      <c r="T13" s="102"/>
      <c r="U13" s="24"/>
      <c r="V13" s="22"/>
      <c r="AA13">
        <f>SUM(AA4:AA12)</f>
        <v>2305</v>
      </c>
      <c r="AB13">
        <f>SUM(AB4:AB12)</f>
        <v>1339</v>
      </c>
    </row>
    <row r="17" spans="2:21" x14ac:dyDescent="0.3">
      <c r="E17" t="s">
        <v>30</v>
      </c>
      <c r="F17">
        <v>2209</v>
      </c>
      <c r="H17">
        <v>2144</v>
      </c>
    </row>
    <row r="18" spans="2:21" ht="15" thickBot="1" x14ac:dyDescent="0.35">
      <c r="F18" s="38">
        <f>F17/F12</f>
        <v>3.1156558533145273</v>
      </c>
      <c r="H18">
        <f>H17/H12</f>
        <v>1.3041362530413625</v>
      </c>
      <c r="U18" s="40">
        <v>35108937</v>
      </c>
    </row>
    <row r="22" spans="2:21" x14ac:dyDescent="0.3">
      <c r="F22" t="s">
        <v>3</v>
      </c>
      <c r="H22" t="s">
        <v>4</v>
      </c>
      <c r="K22" t="s">
        <v>3</v>
      </c>
      <c r="L22" t="s">
        <v>4</v>
      </c>
    </row>
    <row r="23" spans="2:21" ht="15" thickBot="1" x14ac:dyDescent="0.35">
      <c r="B23" s="27" t="s">
        <v>5</v>
      </c>
      <c r="F23">
        <v>696</v>
      </c>
      <c r="G23" s="47">
        <f>ROUND(($G$31/$F$31*F23),0)-1</f>
        <v>472</v>
      </c>
      <c r="H23">
        <v>146</v>
      </c>
      <c r="I23">
        <f>ROUND(($I$31/$H$31*H23),0)</f>
        <v>34</v>
      </c>
      <c r="K23">
        <f>F23-G23</f>
        <v>224</v>
      </c>
      <c r="L23">
        <f>H23-I23</f>
        <v>112</v>
      </c>
    </row>
    <row r="24" spans="2:21" ht="15" thickBot="1" x14ac:dyDescent="0.35">
      <c r="B24" s="27" t="s">
        <v>6</v>
      </c>
      <c r="F24">
        <v>347</v>
      </c>
      <c r="G24">
        <f>ROUND(($G$31/$F$31*F24),0)</f>
        <v>236</v>
      </c>
      <c r="H24">
        <v>455</v>
      </c>
      <c r="I24">
        <f t="shared" ref="I24:I30" si="11">ROUND(($I$31/$H$31*H24),0)</f>
        <v>106</v>
      </c>
      <c r="K24">
        <f t="shared" ref="K24:K31" si="12">F24-G24</f>
        <v>111</v>
      </c>
      <c r="L24">
        <f t="shared" ref="L24:L29" si="13">H24-I24</f>
        <v>349</v>
      </c>
    </row>
    <row r="25" spans="2:21" ht="21" thickBot="1" x14ac:dyDescent="0.35">
      <c r="B25" s="27" t="s">
        <v>7</v>
      </c>
      <c r="F25">
        <v>452</v>
      </c>
      <c r="G25">
        <f t="shared" ref="G25:G30" si="14">ROUND(($G$31/$F$31*F25),0)</f>
        <v>307</v>
      </c>
      <c r="H25">
        <v>303</v>
      </c>
      <c r="I25">
        <f t="shared" si="11"/>
        <v>71</v>
      </c>
      <c r="K25">
        <f t="shared" si="12"/>
        <v>145</v>
      </c>
      <c r="L25">
        <f t="shared" si="13"/>
        <v>232</v>
      </c>
    </row>
    <row r="26" spans="2:21" ht="15" thickBot="1" x14ac:dyDescent="0.35">
      <c r="B26" s="27" t="s">
        <v>8</v>
      </c>
      <c r="F26">
        <v>24</v>
      </c>
      <c r="G26">
        <f t="shared" si="14"/>
        <v>16</v>
      </c>
      <c r="H26">
        <v>19</v>
      </c>
      <c r="I26">
        <f t="shared" si="11"/>
        <v>4</v>
      </c>
      <c r="K26">
        <f t="shared" si="12"/>
        <v>8</v>
      </c>
      <c r="L26">
        <f t="shared" si="13"/>
        <v>15</v>
      </c>
    </row>
    <row r="27" spans="2:21" ht="21" thickBot="1" x14ac:dyDescent="0.35">
      <c r="B27" s="27" t="s">
        <v>9</v>
      </c>
      <c r="F27">
        <v>266</v>
      </c>
      <c r="G27">
        <f t="shared" si="14"/>
        <v>181</v>
      </c>
      <c r="H27">
        <v>80</v>
      </c>
      <c r="I27">
        <f t="shared" si="11"/>
        <v>19</v>
      </c>
      <c r="K27">
        <f t="shared" si="12"/>
        <v>85</v>
      </c>
      <c r="L27">
        <f t="shared" si="13"/>
        <v>61</v>
      </c>
    </row>
    <row r="28" spans="2:21" ht="21" thickBot="1" x14ac:dyDescent="0.35">
      <c r="B28" s="27" t="s">
        <v>10</v>
      </c>
      <c r="F28">
        <v>87</v>
      </c>
      <c r="G28">
        <f t="shared" si="14"/>
        <v>59</v>
      </c>
      <c r="H28">
        <v>456</v>
      </c>
      <c r="I28">
        <f t="shared" si="11"/>
        <v>106</v>
      </c>
      <c r="K28">
        <f>F28-G28</f>
        <v>28</v>
      </c>
      <c r="L28">
        <f t="shared" si="13"/>
        <v>350</v>
      </c>
    </row>
    <row r="29" spans="2:21" ht="15" thickBot="1" x14ac:dyDescent="0.35">
      <c r="B29" s="27" t="s">
        <v>11</v>
      </c>
      <c r="F29">
        <v>253</v>
      </c>
      <c r="G29">
        <f t="shared" si="14"/>
        <v>172</v>
      </c>
      <c r="H29">
        <v>514</v>
      </c>
      <c r="I29">
        <f t="shared" si="11"/>
        <v>120</v>
      </c>
      <c r="K29">
        <f t="shared" si="12"/>
        <v>81</v>
      </c>
      <c r="L29">
        <f t="shared" si="13"/>
        <v>394</v>
      </c>
    </row>
    <row r="30" spans="2:21" ht="15" thickBot="1" x14ac:dyDescent="0.35">
      <c r="B30" s="27" t="s">
        <v>12</v>
      </c>
      <c r="F30">
        <v>84</v>
      </c>
      <c r="G30">
        <f t="shared" si="14"/>
        <v>57</v>
      </c>
      <c r="H30">
        <v>171</v>
      </c>
      <c r="I30">
        <f t="shared" si="11"/>
        <v>40</v>
      </c>
      <c r="K30">
        <f>F30-G30</f>
        <v>27</v>
      </c>
      <c r="L30">
        <f>H30-I30</f>
        <v>131</v>
      </c>
    </row>
    <row r="31" spans="2:21" x14ac:dyDescent="0.3">
      <c r="F31" s="46">
        <v>2209</v>
      </c>
      <c r="G31" s="46">
        <v>1500</v>
      </c>
      <c r="H31" s="46">
        <v>2144</v>
      </c>
      <c r="I31" s="46">
        <v>500</v>
      </c>
      <c r="K31">
        <f t="shared" si="12"/>
        <v>709</v>
      </c>
      <c r="L31">
        <f>H31-I31</f>
        <v>1644</v>
      </c>
      <c r="M31">
        <f>K31+L31</f>
        <v>2353</v>
      </c>
      <c r="N31" t="s">
        <v>36</v>
      </c>
    </row>
    <row r="33" spans="6:9" x14ac:dyDescent="0.3">
      <c r="G33">
        <f>SUM(G23:G30)</f>
        <v>1500</v>
      </c>
      <c r="I33">
        <f>SUM(I23:I30)</f>
        <v>500</v>
      </c>
    </row>
    <row r="35" spans="6:9" x14ac:dyDescent="0.3">
      <c r="F35" t="s">
        <v>33</v>
      </c>
      <c r="G35" t="s">
        <v>34</v>
      </c>
      <c r="H35" t="s">
        <v>35</v>
      </c>
    </row>
    <row r="36" spans="6:9" x14ac:dyDescent="0.3">
      <c r="F36">
        <v>4353</v>
      </c>
      <c r="G36">
        <f>G31+I31</f>
        <v>2000</v>
      </c>
      <c r="H36">
        <f>F36-G36</f>
        <v>2353</v>
      </c>
    </row>
  </sheetData>
  <mergeCells count="32">
    <mergeCell ref="J13:K13"/>
    <mergeCell ref="M13:N13"/>
    <mergeCell ref="P13:Q13"/>
    <mergeCell ref="S13:T13"/>
    <mergeCell ref="F10:G10"/>
    <mergeCell ref="F11:G11"/>
    <mergeCell ref="A12:B12"/>
    <mergeCell ref="F12:G12"/>
    <mergeCell ref="A13:B13"/>
    <mergeCell ref="C13:D13"/>
    <mergeCell ref="F13:H13"/>
    <mergeCell ref="F9:G9"/>
    <mergeCell ref="P1:R1"/>
    <mergeCell ref="S1:V1"/>
    <mergeCell ref="C2:D2"/>
    <mergeCell ref="F2:H2"/>
    <mergeCell ref="J2:K2"/>
    <mergeCell ref="M2:N2"/>
    <mergeCell ref="P2:Q2"/>
    <mergeCell ref="S2:T2"/>
    <mergeCell ref="M1:O1"/>
    <mergeCell ref="F4:G4"/>
    <mergeCell ref="F5:G5"/>
    <mergeCell ref="F6:G6"/>
    <mergeCell ref="F7:G7"/>
    <mergeCell ref="F8:G8"/>
    <mergeCell ref="A1:A3"/>
    <mergeCell ref="B1:B3"/>
    <mergeCell ref="C1:E1"/>
    <mergeCell ref="G1:I1"/>
    <mergeCell ref="J1:L1"/>
    <mergeCell ref="F3:G3"/>
  </mergeCells>
  <pageMargins left="0.7" right="0.7" top="0.75" bottom="0.75" header="0.3" footer="0.3"/>
  <pageSetup paperSize="9" scale="4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"/>
  <sheetViews>
    <sheetView zoomScale="90" zoomScaleNormal="90" workbookViewId="0">
      <selection activeCell="L4" sqref="L4"/>
    </sheetView>
  </sheetViews>
  <sheetFormatPr defaultRowHeight="14.4" x14ac:dyDescent="0.3"/>
  <cols>
    <col min="2" max="2" width="21.44140625" bestFit="1" customWidth="1"/>
    <col min="12" max="12" width="9" bestFit="1" customWidth="1"/>
    <col min="23" max="23" width="11.44140625" customWidth="1"/>
  </cols>
  <sheetData>
    <row r="1" spans="1:33" ht="15" thickBot="1" x14ac:dyDescent="0.35">
      <c r="A1" s="103" t="s">
        <v>25</v>
      </c>
      <c r="B1" s="106" t="s">
        <v>0</v>
      </c>
      <c r="C1" s="110">
        <v>2024</v>
      </c>
      <c r="D1" s="110"/>
      <c r="E1" s="110"/>
      <c r="F1" s="32"/>
      <c r="G1" s="89">
        <v>2025</v>
      </c>
      <c r="H1" s="90"/>
      <c r="I1" s="91"/>
      <c r="J1" s="89">
        <v>2026</v>
      </c>
      <c r="K1" s="90"/>
      <c r="L1" s="91"/>
      <c r="M1" s="89">
        <v>2027</v>
      </c>
      <c r="N1" s="90"/>
      <c r="O1" s="91"/>
      <c r="P1" s="89">
        <v>2028</v>
      </c>
      <c r="Q1" s="90"/>
      <c r="R1" s="91"/>
      <c r="S1" s="89" t="s">
        <v>13</v>
      </c>
      <c r="T1" s="90"/>
      <c r="U1" s="90"/>
      <c r="V1" s="91"/>
    </row>
    <row r="2" spans="1:33" ht="21" customHeight="1" thickBot="1" x14ac:dyDescent="0.35">
      <c r="A2" s="104"/>
      <c r="B2" s="104"/>
      <c r="C2" s="111" t="s">
        <v>1</v>
      </c>
      <c r="D2" s="112"/>
      <c r="E2" s="33" t="s">
        <v>2</v>
      </c>
      <c r="F2" s="92" t="s">
        <v>1</v>
      </c>
      <c r="G2" s="109"/>
      <c r="H2" s="93"/>
      <c r="I2" s="33" t="s">
        <v>2</v>
      </c>
      <c r="J2" s="92" t="s">
        <v>1</v>
      </c>
      <c r="K2" s="93"/>
      <c r="L2" s="33" t="s">
        <v>2</v>
      </c>
      <c r="M2" s="92" t="s">
        <v>1</v>
      </c>
      <c r="N2" s="93"/>
      <c r="O2" s="33" t="s">
        <v>2</v>
      </c>
      <c r="P2" s="92" t="s">
        <v>1</v>
      </c>
      <c r="Q2" s="93"/>
      <c r="R2" s="33" t="s">
        <v>2</v>
      </c>
      <c r="S2" s="94" t="s">
        <v>1</v>
      </c>
      <c r="T2" s="95"/>
      <c r="U2" s="21" t="s">
        <v>2</v>
      </c>
      <c r="V2" s="22"/>
      <c r="AA2" t="s">
        <v>31</v>
      </c>
      <c r="AB2" t="s">
        <v>32</v>
      </c>
      <c r="AC2">
        <v>3</v>
      </c>
      <c r="AF2" s="48" t="s">
        <v>37</v>
      </c>
      <c r="AG2" s="48"/>
    </row>
    <row r="3" spans="1:33" ht="15" thickBot="1" x14ac:dyDescent="0.35">
      <c r="A3" s="105"/>
      <c r="B3" s="105"/>
      <c r="C3" s="23" t="s">
        <v>3</v>
      </c>
      <c r="D3" s="23" t="s">
        <v>4</v>
      </c>
      <c r="E3" s="24"/>
      <c r="F3" s="107" t="s">
        <v>3</v>
      </c>
      <c r="G3" s="108"/>
      <c r="H3" s="23" t="s">
        <v>4</v>
      </c>
      <c r="I3" s="24"/>
      <c r="J3" s="23" t="s">
        <v>3</v>
      </c>
      <c r="K3" s="23" t="s">
        <v>4</v>
      </c>
      <c r="L3" s="24"/>
      <c r="M3" s="23" t="s">
        <v>3</v>
      </c>
      <c r="N3" s="23" t="s">
        <v>4</v>
      </c>
      <c r="O3" s="24"/>
      <c r="P3" s="23" t="s">
        <v>3</v>
      </c>
      <c r="Q3" s="23" t="s">
        <v>4</v>
      </c>
      <c r="R3" s="24"/>
      <c r="S3" s="25" t="s">
        <v>3</v>
      </c>
      <c r="T3" s="25" t="s">
        <v>4</v>
      </c>
      <c r="U3" s="24"/>
      <c r="V3" s="22"/>
      <c r="AF3" s="48"/>
      <c r="AG3" s="48"/>
    </row>
    <row r="4" spans="1:33" ht="15" thickBot="1" x14ac:dyDescent="0.35">
      <c r="A4" s="26">
        <v>1</v>
      </c>
      <c r="B4" s="27" t="s">
        <v>5</v>
      </c>
      <c r="C4" s="28">
        <v>37</v>
      </c>
      <c r="D4" s="28">
        <v>64</v>
      </c>
      <c r="E4" s="44">
        <v>134041</v>
      </c>
      <c r="F4" s="87">
        <v>224</v>
      </c>
      <c r="G4" s="88"/>
      <c r="H4" s="42">
        <v>112</v>
      </c>
      <c r="I4" s="37">
        <f>F4*856+H4*1113+(F4+H4)*$AF$4</f>
        <v>432178.88</v>
      </c>
      <c r="J4" s="28">
        <f>922+242</f>
        <v>1164</v>
      </c>
      <c r="K4" s="28">
        <f>209+31</f>
        <v>240</v>
      </c>
      <c r="L4" s="37">
        <f>(J4*856+K4*1113+(J4+K4)*$AF$4)*1.04</f>
        <v>1817186.0928</v>
      </c>
      <c r="M4" s="28">
        <f>893+242</f>
        <v>1135</v>
      </c>
      <c r="N4" s="28">
        <f>211+31</f>
        <v>242</v>
      </c>
      <c r="O4" s="37">
        <f>(M4*856+N4*1113+(M4+N4)*$AF$4)*1.04*1.04</f>
        <v>1855368.7010560001</v>
      </c>
      <c r="P4" s="28">
        <f>865+242+1</f>
        <v>1108</v>
      </c>
      <c r="Q4" s="28">
        <f>204+31-2</f>
        <v>233</v>
      </c>
      <c r="R4" s="37">
        <f>(P4*856+Q4*1113+(P4+Q4)*$AF$4)*1.04*1.04*1.04+X23</f>
        <v>1878404.0267059202</v>
      </c>
      <c r="S4" s="30">
        <f>C4+F4+J4+M4+P4</f>
        <v>3668</v>
      </c>
      <c r="T4" s="31">
        <f>D4+H4+K4+N4+Q4</f>
        <v>891</v>
      </c>
      <c r="U4" s="30">
        <f>E4+I4+L4+O4+R4</f>
        <v>6117178.7005619202</v>
      </c>
      <c r="V4" s="22"/>
      <c r="W4" s="29">
        <f>E4+I4+L4+O4+R4</f>
        <v>6117178.7005619202</v>
      </c>
      <c r="X4" s="29">
        <f>W4-U4</f>
        <v>0</v>
      </c>
      <c r="AA4">
        <f>254+G23</f>
        <v>726</v>
      </c>
      <c r="AB4">
        <f>58+I23</f>
        <v>92</v>
      </c>
      <c r="AC4">
        <f>ROUND((AA4/$AC$2),0)</f>
        <v>242</v>
      </c>
      <c r="AD4">
        <f>ROUND((AB4/$AC$2),0)</f>
        <v>31</v>
      </c>
      <c r="AF4" s="48">
        <v>344.58</v>
      </c>
      <c r="AG4" s="48"/>
    </row>
    <row r="5" spans="1:33" ht="15" thickBot="1" x14ac:dyDescent="0.35">
      <c r="A5" s="26">
        <v>2</v>
      </c>
      <c r="B5" s="27" t="s">
        <v>6</v>
      </c>
      <c r="C5" s="28">
        <v>85</v>
      </c>
      <c r="D5" s="28">
        <v>128</v>
      </c>
      <c r="E5" s="44">
        <v>280993</v>
      </c>
      <c r="F5" s="87">
        <v>111</v>
      </c>
      <c r="G5" s="88"/>
      <c r="H5" s="42">
        <v>349</v>
      </c>
      <c r="I5" s="37">
        <f t="shared" ref="I5:I11" si="0">F5*856+H5*1113+(F5+H5)*$AF$4</f>
        <v>641959.80000000005</v>
      </c>
      <c r="J5" s="28">
        <f>459+121</f>
        <v>580</v>
      </c>
      <c r="K5" s="28">
        <f>647+95</f>
        <v>742</v>
      </c>
      <c r="L5" s="37">
        <f t="shared" ref="L5:L11" si="1">(J5*856+K5*1113+(J5+K5)*$AF$4)*1.04</f>
        <v>1848975.1904</v>
      </c>
      <c r="M5" s="28">
        <f>444+121</f>
        <v>565</v>
      </c>
      <c r="N5" s="28">
        <f>647+95</f>
        <v>742</v>
      </c>
      <c r="O5" s="37">
        <f t="shared" ref="O5:O11" si="2">(M5*856+N5*1113+(M5+N5)*$AF$4)*1.04*1.04</f>
        <v>1903455.9880960002</v>
      </c>
      <c r="P5" s="28">
        <f>430+121-1</f>
        <v>550</v>
      </c>
      <c r="Q5" s="28">
        <f>628+95+1</f>
        <v>724</v>
      </c>
      <c r="R5" s="37">
        <f t="shared" ref="R5:R11" si="3">(P5*856+Q5*1113+(P5+Q5)*$AF$4)*1.04*1.04*1.04+X24</f>
        <v>1929861.4624588802</v>
      </c>
      <c r="S5" s="30">
        <f t="shared" ref="S5:S11" si="4">C5+F5+J5+M5+P5</f>
        <v>1891</v>
      </c>
      <c r="T5" s="31">
        <f t="shared" ref="T5:U11" si="5">D5+H5+K5+N5+Q5</f>
        <v>2685</v>
      </c>
      <c r="U5" s="30">
        <f t="shared" si="5"/>
        <v>6605245.4409548808</v>
      </c>
      <c r="V5" s="22"/>
      <c r="W5" s="29">
        <f t="shared" ref="W5:W11" si="6">E5+I5+L5+O5+R5</f>
        <v>6605245.4409548808</v>
      </c>
      <c r="X5" s="29">
        <f t="shared" ref="X5:X12" si="7">W5-U5</f>
        <v>0</v>
      </c>
      <c r="AA5">
        <f>127+G24</f>
        <v>363</v>
      </c>
      <c r="AB5">
        <f>179+I24</f>
        <v>285</v>
      </c>
      <c r="AC5">
        <f>ROUND((AA5/$AC$2),0)</f>
        <v>121</v>
      </c>
      <c r="AD5">
        <f>ROUND((AB5/$AC$2),0)</f>
        <v>95</v>
      </c>
    </row>
    <row r="6" spans="1:33" ht="21" thickBot="1" x14ac:dyDescent="0.35">
      <c r="A6" s="26">
        <v>3</v>
      </c>
      <c r="B6" s="27" t="s">
        <v>7</v>
      </c>
      <c r="C6" s="28">
        <v>7</v>
      </c>
      <c r="D6" s="28">
        <v>121</v>
      </c>
      <c r="E6" s="44">
        <v>179527</v>
      </c>
      <c r="F6" s="87">
        <v>145</v>
      </c>
      <c r="G6" s="88"/>
      <c r="H6" s="42">
        <v>232</v>
      </c>
      <c r="I6" s="37">
        <f t="shared" si="0"/>
        <v>512242.66</v>
      </c>
      <c r="J6" s="28">
        <f>599+158</f>
        <v>757</v>
      </c>
      <c r="K6" s="28">
        <f>407+63</f>
        <v>470</v>
      </c>
      <c r="L6" s="37">
        <f t="shared" si="1"/>
        <v>1657657.7264</v>
      </c>
      <c r="M6" s="28">
        <f>580+158</f>
        <v>738</v>
      </c>
      <c r="N6" s="28">
        <f>423+63</f>
        <v>486</v>
      </c>
      <c r="O6" s="37">
        <f t="shared" si="2"/>
        <v>1724515.932672</v>
      </c>
      <c r="P6" s="28">
        <f>562+158-2</f>
        <v>718</v>
      </c>
      <c r="Q6" s="28">
        <f>410+63-1</f>
        <v>472</v>
      </c>
      <c r="R6" s="37">
        <f t="shared" si="3"/>
        <v>1743567.6757888002</v>
      </c>
      <c r="S6" s="30">
        <f t="shared" si="4"/>
        <v>2365</v>
      </c>
      <c r="T6" s="31">
        <f t="shared" si="5"/>
        <v>1781</v>
      </c>
      <c r="U6" s="30">
        <f t="shared" si="5"/>
        <v>5817510.9948608</v>
      </c>
      <c r="V6" s="22"/>
      <c r="W6" s="29">
        <f t="shared" si="6"/>
        <v>5817510.9948608</v>
      </c>
      <c r="X6" s="29">
        <f t="shared" si="7"/>
        <v>0</v>
      </c>
      <c r="AA6">
        <f>166+G25</f>
        <v>473</v>
      </c>
      <c r="AB6">
        <f>118+I25</f>
        <v>189</v>
      </c>
      <c r="AC6">
        <f t="shared" ref="AC6:AC11" si="8">ROUND((AA6/$AC$2),0)</f>
        <v>158</v>
      </c>
      <c r="AD6">
        <f t="shared" ref="AD6:AD11" si="9">ROUND((AB6/$AC$2),0)</f>
        <v>63</v>
      </c>
    </row>
    <row r="7" spans="1:33" ht="15" thickBot="1" x14ac:dyDescent="0.35">
      <c r="A7" s="26">
        <v>4</v>
      </c>
      <c r="B7" s="27" t="s">
        <v>8</v>
      </c>
      <c r="C7" s="28">
        <v>26</v>
      </c>
      <c r="D7" s="28">
        <v>28</v>
      </c>
      <c r="E7" s="44">
        <v>70161</v>
      </c>
      <c r="F7" s="87">
        <v>8</v>
      </c>
      <c r="G7" s="88"/>
      <c r="H7" s="42">
        <v>15</v>
      </c>
      <c r="I7" s="37">
        <f t="shared" si="0"/>
        <v>31468.34</v>
      </c>
      <c r="J7" s="28">
        <f>31+8</f>
        <v>39</v>
      </c>
      <c r="K7" s="28">
        <f>26+4</f>
        <v>30</v>
      </c>
      <c r="L7" s="37">
        <f t="shared" si="1"/>
        <v>94172.020800000013</v>
      </c>
      <c r="M7" s="28">
        <f>29+8</f>
        <v>37</v>
      </c>
      <c r="N7" s="28">
        <f>30+4</f>
        <v>34</v>
      </c>
      <c r="O7" s="37">
        <f t="shared" si="2"/>
        <v>101647.88108799999</v>
      </c>
      <c r="P7" s="28">
        <f>29+8-2</f>
        <v>35</v>
      </c>
      <c r="Q7" s="28">
        <f>29+4+1</f>
        <v>34</v>
      </c>
      <c r="R7" s="37">
        <f t="shared" si="3"/>
        <v>103014.81788928001</v>
      </c>
      <c r="S7" s="30">
        <f t="shared" si="4"/>
        <v>145</v>
      </c>
      <c r="T7" s="31">
        <f t="shared" si="5"/>
        <v>141</v>
      </c>
      <c r="U7" s="30">
        <f t="shared" si="5"/>
        <v>400464.05977728008</v>
      </c>
      <c r="V7" s="22"/>
      <c r="W7" s="29">
        <f t="shared" si="6"/>
        <v>400464.05977728008</v>
      </c>
      <c r="X7" s="29">
        <f t="shared" si="7"/>
        <v>0</v>
      </c>
      <c r="AA7">
        <f>7+G26</f>
        <v>23</v>
      </c>
      <c r="AB7">
        <f>8+I26</f>
        <v>12</v>
      </c>
      <c r="AC7">
        <f t="shared" si="8"/>
        <v>8</v>
      </c>
      <c r="AD7">
        <f t="shared" si="9"/>
        <v>4</v>
      </c>
    </row>
    <row r="8" spans="1:33" ht="21" thickBot="1" x14ac:dyDescent="0.35">
      <c r="A8" s="26">
        <v>5</v>
      </c>
      <c r="B8" s="27" t="s">
        <v>9</v>
      </c>
      <c r="C8" s="28">
        <v>33</v>
      </c>
      <c r="D8" s="28">
        <v>64</v>
      </c>
      <c r="E8" s="44">
        <v>129346</v>
      </c>
      <c r="F8" s="87">
        <v>85</v>
      </c>
      <c r="G8" s="88"/>
      <c r="H8" s="42">
        <v>61</v>
      </c>
      <c r="I8" s="37">
        <f t="shared" si="0"/>
        <v>190961.68</v>
      </c>
      <c r="J8" s="28">
        <f>353+93</f>
        <v>446</v>
      </c>
      <c r="K8" s="28">
        <f>111+17</f>
        <v>128</v>
      </c>
      <c r="L8" s="37">
        <f t="shared" si="1"/>
        <v>750910.07679999992</v>
      </c>
      <c r="M8" s="28">
        <f>341+93</f>
        <v>434</v>
      </c>
      <c r="N8" s="28">
        <f>113+17</f>
        <v>130</v>
      </c>
      <c r="O8" s="37">
        <f t="shared" si="2"/>
        <v>768516.94899199996</v>
      </c>
      <c r="P8" s="28">
        <f>331+93-2</f>
        <v>422</v>
      </c>
      <c r="Q8" s="28">
        <f>110+17-2</f>
        <v>125</v>
      </c>
      <c r="R8" s="37">
        <f t="shared" si="3"/>
        <v>774869.85995264014</v>
      </c>
      <c r="S8" s="30">
        <f t="shared" si="4"/>
        <v>1420</v>
      </c>
      <c r="T8" s="31">
        <f t="shared" si="5"/>
        <v>508</v>
      </c>
      <c r="U8" s="30">
        <f t="shared" si="5"/>
        <v>2614604.5657446398</v>
      </c>
      <c r="V8" s="22"/>
      <c r="W8" s="29">
        <f t="shared" si="6"/>
        <v>2614604.5657446398</v>
      </c>
      <c r="X8" s="29">
        <f t="shared" si="7"/>
        <v>0</v>
      </c>
      <c r="AA8">
        <f>97+G27</f>
        <v>278</v>
      </c>
      <c r="AB8">
        <f>31+I27</f>
        <v>50</v>
      </c>
      <c r="AC8">
        <f t="shared" si="8"/>
        <v>93</v>
      </c>
      <c r="AD8">
        <f t="shared" si="9"/>
        <v>17</v>
      </c>
    </row>
    <row r="9" spans="1:33" ht="21" thickBot="1" x14ac:dyDescent="0.35">
      <c r="A9" s="26">
        <v>6</v>
      </c>
      <c r="B9" s="27" t="s">
        <v>10</v>
      </c>
      <c r="C9" s="28">
        <v>22</v>
      </c>
      <c r="D9" s="28">
        <v>82</v>
      </c>
      <c r="E9" s="44">
        <v>141918</v>
      </c>
      <c r="F9" s="87">
        <v>28</v>
      </c>
      <c r="G9" s="88"/>
      <c r="H9" s="42">
        <v>350</v>
      </c>
      <c r="I9" s="37">
        <f t="shared" si="0"/>
        <v>543769.24</v>
      </c>
      <c r="J9" s="28">
        <f>115+30</f>
        <v>145</v>
      </c>
      <c r="K9" s="28">
        <f>667+95</f>
        <v>762</v>
      </c>
      <c r="L9" s="37">
        <f t="shared" si="1"/>
        <v>1336150.4624000001</v>
      </c>
      <c r="M9" s="28">
        <f>111+30</f>
        <v>141</v>
      </c>
      <c r="N9" s="28">
        <f>659+95</f>
        <v>754</v>
      </c>
      <c r="O9" s="37">
        <f t="shared" si="2"/>
        <v>1371790.1433600003</v>
      </c>
      <c r="P9" s="28">
        <f>107+30-1</f>
        <v>136</v>
      </c>
      <c r="Q9" s="28">
        <f>639+95-2</f>
        <v>732</v>
      </c>
      <c r="R9" s="37">
        <f t="shared" si="3"/>
        <v>1383863.5590681599</v>
      </c>
      <c r="S9" s="30">
        <f t="shared" si="4"/>
        <v>472</v>
      </c>
      <c r="T9" s="31">
        <f t="shared" si="5"/>
        <v>2680</v>
      </c>
      <c r="U9" s="30">
        <f t="shared" si="5"/>
        <v>4777491.4048281601</v>
      </c>
      <c r="V9" s="22"/>
      <c r="W9" s="29">
        <f t="shared" si="6"/>
        <v>4777491.4048281601</v>
      </c>
      <c r="X9" s="29">
        <f t="shared" si="7"/>
        <v>0</v>
      </c>
      <c r="AA9">
        <f>31+G28</f>
        <v>90</v>
      </c>
      <c r="AB9">
        <f>178+I28</f>
        <v>284</v>
      </c>
      <c r="AC9">
        <f t="shared" si="8"/>
        <v>30</v>
      </c>
      <c r="AD9">
        <f t="shared" si="9"/>
        <v>95</v>
      </c>
    </row>
    <row r="10" spans="1:33" ht="15" thickBot="1" x14ac:dyDescent="0.35">
      <c r="A10" s="26">
        <v>7</v>
      </c>
      <c r="B10" s="27" t="s">
        <v>11</v>
      </c>
      <c r="C10" s="28">
        <v>102</v>
      </c>
      <c r="D10" s="28">
        <v>143</v>
      </c>
      <c r="E10" s="44">
        <v>322185</v>
      </c>
      <c r="F10" s="87">
        <v>81</v>
      </c>
      <c r="G10" s="88"/>
      <c r="H10" s="42">
        <v>394</v>
      </c>
      <c r="I10" s="37">
        <f t="shared" si="0"/>
        <v>671533.5</v>
      </c>
      <c r="J10" s="28">
        <f>335+88</f>
        <v>423</v>
      </c>
      <c r="K10" s="28">
        <f>746+107</f>
        <v>853</v>
      </c>
      <c r="L10" s="37">
        <f t="shared" si="1"/>
        <v>1821207.5232000002</v>
      </c>
      <c r="M10" s="28">
        <f>324+88</f>
        <v>412</v>
      </c>
      <c r="N10" s="28">
        <f>741+107</f>
        <v>848</v>
      </c>
      <c r="O10" s="37">
        <f t="shared" si="2"/>
        <v>1871889.2108800001</v>
      </c>
      <c r="P10" s="28">
        <f>313+88+1</f>
        <v>402</v>
      </c>
      <c r="Q10" s="28">
        <f>718+107</f>
        <v>825</v>
      </c>
      <c r="R10" s="37">
        <f t="shared" si="3"/>
        <v>1895585.5639142401</v>
      </c>
      <c r="S10" s="30">
        <f t="shared" si="4"/>
        <v>1420</v>
      </c>
      <c r="T10" s="31">
        <f t="shared" si="5"/>
        <v>3063</v>
      </c>
      <c r="U10" s="30">
        <f t="shared" si="5"/>
        <v>6582400.7979942402</v>
      </c>
      <c r="V10" s="22"/>
      <c r="W10" s="29">
        <f t="shared" si="6"/>
        <v>6582400.7979942402</v>
      </c>
      <c r="X10" s="29">
        <f t="shared" si="7"/>
        <v>0</v>
      </c>
      <c r="AA10">
        <f>93+G29</f>
        <v>265</v>
      </c>
      <c r="AB10">
        <f>200+I29</f>
        <v>320</v>
      </c>
      <c r="AC10">
        <f t="shared" si="8"/>
        <v>88</v>
      </c>
      <c r="AD10">
        <f t="shared" si="9"/>
        <v>107</v>
      </c>
    </row>
    <row r="11" spans="1:33" ht="15" thickBot="1" x14ac:dyDescent="0.35">
      <c r="A11" s="26">
        <v>8</v>
      </c>
      <c r="B11" s="27" t="s">
        <v>12</v>
      </c>
      <c r="C11" s="28">
        <v>35</v>
      </c>
      <c r="D11" s="28">
        <v>68</v>
      </c>
      <c r="E11" s="44">
        <v>137356</v>
      </c>
      <c r="F11" s="87">
        <v>27</v>
      </c>
      <c r="G11" s="88"/>
      <c r="H11" s="42">
        <v>131</v>
      </c>
      <c r="I11" s="37">
        <f t="shared" si="0"/>
        <v>223358.64</v>
      </c>
      <c r="J11" s="28">
        <f>111+29</f>
        <v>140</v>
      </c>
      <c r="K11" s="28">
        <f>245+36</f>
        <v>281</v>
      </c>
      <c r="L11" s="37">
        <f t="shared" si="1"/>
        <v>600767.62719999999</v>
      </c>
      <c r="M11" s="28">
        <f>107+29</f>
        <v>136</v>
      </c>
      <c r="N11" s="28">
        <f>242+36</f>
        <v>278</v>
      </c>
      <c r="O11" s="37">
        <f t="shared" si="2"/>
        <v>614874.58739200013</v>
      </c>
      <c r="P11" s="28">
        <f>103+29</f>
        <v>132</v>
      </c>
      <c r="Q11" s="28">
        <f>234+36-2</f>
        <v>268</v>
      </c>
      <c r="R11" s="37">
        <f t="shared" si="3"/>
        <v>617683.82131200016</v>
      </c>
      <c r="S11" s="30">
        <f t="shared" si="4"/>
        <v>470</v>
      </c>
      <c r="T11" s="31">
        <f>D11+H11+K11+N11+Q11</f>
        <v>1026</v>
      </c>
      <c r="U11" s="30">
        <f t="shared" si="5"/>
        <v>2194040.6759040002</v>
      </c>
      <c r="V11" s="22"/>
      <c r="W11" s="29">
        <f t="shared" si="6"/>
        <v>2194040.6759040002</v>
      </c>
      <c r="X11" s="29">
        <f t="shared" si="7"/>
        <v>0</v>
      </c>
      <c r="AA11">
        <f>30+G30</f>
        <v>87</v>
      </c>
      <c r="AB11">
        <f>67+I30</f>
        <v>107</v>
      </c>
      <c r="AC11">
        <f t="shared" si="8"/>
        <v>29</v>
      </c>
      <c r="AD11">
        <f t="shared" si="9"/>
        <v>36</v>
      </c>
    </row>
    <row r="12" spans="1:33" ht="15" thickBot="1" x14ac:dyDescent="0.35">
      <c r="A12" s="89" t="s">
        <v>13</v>
      </c>
      <c r="B12" s="91"/>
      <c r="C12" s="34">
        <f>SUM(C4:C11)</f>
        <v>347</v>
      </c>
      <c r="D12" s="34">
        <f>SUM(D4:D11)</f>
        <v>698</v>
      </c>
      <c r="E12" s="45">
        <f>SUM(E4:E11)</f>
        <v>1395527</v>
      </c>
      <c r="F12" s="96">
        <f>SUM(F4:G11)</f>
        <v>709</v>
      </c>
      <c r="G12" s="97"/>
      <c r="H12" s="39">
        <f t="shared" ref="H12:R12" si="10">SUM(H4:H11)</f>
        <v>1644</v>
      </c>
      <c r="I12" s="39">
        <f t="shared" si="10"/>
        <v>3247472.74</v>
      </c>
      <c r="J12" s="30">
        <f t="shared" si="10"/>
        <v>3694</v>
      </c>
      <c r="K12" s="30">
        <f t="shared" si="10"/>
        <v>3506</v>
      </c>
      <c r="L12" s="39">
        <f t="shared" si="10"/>
        <v>9927026.7200000007</v>
      </c>
      <c r="M12" s="30">
        <f t="shared" si="10"/>
        <v>3598</v>
      </c>
      <c r="N12" s="30">
        <f t="shared" si="10"/>
        <v>3514</v>
      </c>
      <c r="O12" s="39">
        <f t="shared" si="10"/>
        <v>10212059.393536</v>
      </c>
      <c r="P12" s="30">
        <f t="shared" si="10"/>
        <v>3503</v>
      </c>
      <c r="Q12" s="30">
        <f t="shared" si="10"/>
        <v>3413</v>
      </c>
      <c r="R12" s="39">
        <f t="shared" si="10"/>
        <v>10326850.787089922</v>
      </c>
      <c r="S12" s="30">
        <f>C12+F12+J12+M12+P12</f>
        <v>11851</v>
      </c>
      <c r="T12" s="30">
        <f>D12+H12+K12+N12+Q12</f>
        <v>12775</v>
      </c>
      <c r="U12" s="43">
        <f>SUM(U4:U11)</f>
        <v>35108936.640625924</v>
      </c>
      <c r="V12" s="22"/>
      <c r="W12" s="29">
        <f>SUM(W4:W11)</f>
        <v>35108936.640625924</v>
      </c>
      <c r="X12" s="29">
        <f t="shared" si="7"/>
        <v>0</v>
      </c>
    </row>
    <row r="13" spans="1:33" ht="15" thickBot="1" x14ac:dyDescent="0.35">
      <c r="A13" s="89" t="s">
        <v>14</v>
      </c>
      <c r="B13" s="91"/>
      <c r="C13" s="98">
        <f>C12+D12</f>
        <v>1045</v>
      </c>
      <c r="D13" s="99"/>
      <c r="E13" s="36"/>
      <c r="F13" s="96">
        <f>F12+H12</f>
        <v>2353</v>
      </c>
      <c r="G13" s="100"/>
      <c r="H13" s="97"/>
      <c r="I13" s="41"/>
      <c r="J13" s="101">
        <f>J12+K12</f>
        <v>7200</v>
      </c>
      <c r="K13" s="102"/>
      <c r="L13" s="24"/>
      <c r="M13" s="101">
        <f>M12+N12</f>
        <v>7112</v>
      </c>
      <c r="N13" s="102"/>
      <c r="O13" s="24"/>
      <c r="P13" s="101">
        <f>P12+Q12</f>
        <v>6916</v>
      </c>
      <c r="Q13" s="102"/>
      <c r="R13" s="24"/>
      <c r="S13" s="101">
        <f>S12+T12</f>
        <v>24626</v>
      </c>
      <c r="T13" s="102"/>
      <c r="U13" s="24"/>
      <c r="V13" s="22"/>
      <c r="AA13">
        <f>SUM(AA4:AA12)</f>
        <v>2305</v>
      </c>
      <c r="AB13">
        <f>SUM(AB4:AB12)</f>
        <v>1339</v>
      </c>
    </row>
    <row r="17" spans="2:24" x14ac:dyDescent="0.3">
      <c r="E17" t="s">
        <v>30</v>
      </c>
      <c r="F17">
        <v>2209</v>
      </c>
      <c r="H17">
        <v>2144</v>
      </c>
    </row>
    <row r="18" spans="2:24" ht="15" thickBot="1" x14ac:dyDescent="0.35">
      <c r="F18" s="38">
        <f>F17/F12</f>
        <v>3.1156558533145273</v>
      </c>
      <c r="H18">
        <f>H17/H12</f>
        <v>1.3041362530413625</v>
      </c>
      <c r="U18" s="40">
        <v>35108937</v>
      </c>
    </row>
    <row r="21" spans="2:24" x14ac:dyDescent="0.3">
      <c r="U21" s="29">
        <v>203</v>
      </c>
    </row>
    <row r="22" spans="2:24" x14ac:dyDescent="0.3">
      <c r="F22" t="s">
        <v>3</v>
      </c>
      <c r="H22" t="s">
        <v>4</v>
      </c>
      <c r="K22" t="s">
        <v>3</v>
      </c>
      <c r="L22" t="s">
        <v>4</v>
      </c>
    </row>
    <row r="23" spans="2:24" ht="15" thickBot="1" x14ac:dyDescent="0.35">
      <c r="B23" s="27" t="s">
        <v>5</v>
      </c>
      <c r="F23">
        <v>696</v>
      </c>
      <c r="G23" s="47">
        <f>ROUND(($G$31/$F$31*F23),0)-1</f>
        <v>472</v>
      </c>
      <c r="H23">
        <v>146</v>
      </c>
      <c r="I23">
        <f>ROUND(($I$31/$H$31*H23),0)</f>
        <v>34</v>
      </c>
      <c r="K23">
        <f>F23-G23</f>
        <v>224</v>
      </c>
      <c r="L23">
        <f>H23-I23</f>
        <v>112</v>
      </c>
      <c r="W23">
        <f>P4+Q4</f>
        <v>1341</v>
      </c>
      <c r="X23">
        <f>ROUND((W23/$W$31*$U$21),0)+1</f>
        <v>40</v>
      </c>
    </row>
    <row r="24" spans="2:24" ht="15" thickBot="1" x14ac:dyDescent="0.35">
      <c r="B24" s="27" t="s">
        <v>6</v>
      </c>
      <c r="F24">
        <v>347</v>
      </c>
      <c r="G24">
        <f>ROUND(($G$31/$F$31*F24),0)</f>
        <v>236</v>
      </c>
      <c r="H24">
        <v>455</v>
      </c>
      <c r="I24">
        <f t="shared" ref="I24:I30" si="11">ROUND(($I$31/$H$31*H24),0)</f>
        <v>106</v>
      </c>
      <c r="K24">
        <f t="shared" ref="K24:K31" si="12">F24-G24</f>
        <v>111</v>
      </c>
      <c r="L24">
        <f t="shared" ref="L24:L29" si="13">H24-I24</f>
        <v>349</v>
      </c>
      <c r="W24">
        <f t="shared" ref="W24:W31" si="14">P5+Q5</f>
        <v>1274</v>
      </c>
      <c r="X24">
        <f t="shared" ref="X24:X30" si="15">ROUND((W24/$W$31*$U$21),0)</f>
        <v>37</v>
      </c>
    </row>
    <row r="25" spans="2:24" ht="21" thickBot="1" x14ac:dyDescent="0.35">
      <c r="B25" s="27" t="s">
        <v>7</v>
      </c>
      <c r="F25">
        <v>452</v>
      </c>
      <c r="G25">
        <f t="shared" ref="G25:G30" si="16">ROUND(($G$31/$F$31*F25),0)</f>
        <v>307</v>
      </c>
      <c r="H25">
        <v>303</v>
      </c>
      <c r="I25">
        <f t="shared" si="11"/>
        <v>71</v>
      </c>
      <c r="K25">
        <f t="shared" si="12"/>
        <v>145</v>
      </c>
      <c r="L25">
        <f t="shared" si="13"/>
        <v>232</v>
      </c>
      <c r="W25">
        <f t="shared" si="14"/>
        <v>1190</v>
      </c>
      <c r="X25">
        <f t="shared" si="15"/>
        <v>35</v>
      </c>
    </row>
    <row r="26" spans="2:24" ht="15" thickBot="1" x14ac:dyDescent="0.35">
      <c r="B26" s="27" t="s">
        <v>8</v>
      </c>
      <c r="F26">
        <v>24</v>
      </c>
      <c r="G26">
        <f t="shared" si="16"/>
        <v>16</v>
      </c>
      <c r="H26">
        <v>19</v>
      </c>
      <c r="I26">
        <f t="shared" si="11"/>
        <v>4</v>
      </c>
      <c r="K26">
        <f t="shared" si="12"/>
        <v>8</v>
      </c>
      <c r="L26">
        <f t="shared" si="13"/>
        <v>15</v>
      </c>
      <c r="W26">
        <f t="shared" si="14"/>
        <v>69</v>
      </c>
      <c r="X26">
        <f t="shared" si="15"/>
        <v>2</v>
      </c>
    </row>
    <row r="27" spans="2:24" ht="21" thickBot="1" x14ac:dyDescent="0.35">
      <c r="B27" s="27" t="s">
        <v>9</v>
      </c>
      <c r="F27">
        <v>266</v>
      </c>
      <c r="G27">
        <f t="shared" si="16"/>
        <v>181</v>
      </c>
      <c r="H27">
        <v>80</v>
      </c>
      <c r="I27">
        <f t="shared" si="11"/>
        <v>19</v>
      </c>
      <c r="K27">
        <f t="shared" si="12"/>
        <v>85</v>
      </c>
      <c r="L27">
        <f t="shared" si="13"/>
        <v>61</v>
      </c>
      <c r="W27">
        <f t="shared" si="14"/>
        <v>547</v>
      </c>
      <c r="X27">
        <f t="shared" si="15"/>
        <v>16</v>
      </c>
    </row>
    <row r="28" spans="2:24" ht="21" thickBot="1" x14ac:dyDescent="0.35">
      <c r="B28" s="27" t="s">
        <v>10</v>
      </c>
      <c r="F28">
        <v>87</v>
      </c>
      <c r="G28">
        <f t="shared" si="16"/>
        <v>59</v>
      </c>
      <c r="H28">
        <v>456</v>
      </c>
      <c r="I28">
        <f t="shared" si="11"/>
        <v>106</v>
      </c>
      <c r="K28">
        <f>F28-G28</f>
        <v>28</v>
      </c>
      <c r="L28">
        <f t="shared" si="13"/>
        <v>350</v>
      </c>
      <c r="W28">
        <f t="shared" si="14"/>
        <v>868</v>
      </c>
      <c r="X28">
        <f t="shared" si="15"/>
        <v>25</v>
      </c>
    </row>
    <row r="29" spans="2:24" ht="15" thickBot="1" x14ac:dyDescent="0.35">
      <c r="B29" s="27" t="s">
        <v>11</v>
      </c>
      <c r="F29">
        <v>253</v>
      </c>
      <c r="G29">
        <f t="shared" si="16"/>
        <v>172</v>
      </c>
      <c r="H29">
        <v>514</v>
      </c>
      <c r="I29">
        <f t="shared" si="11"/>
        <v>120</v>
      </c>
      <c r="K29">
        <f t="shared" si="12"/>
        <v>81</v>
      </c>
      <c r="L29">
        <f t="shared" si="13"/>
        <v>394</v>
      </c>
      <c r="W29">
        <f t="shared" si="14"/>
        <v>1227</v>
      </c>
      <c r="X29">
        <f t="shared" si="15"/>
        <v>36</v>
      </c>
    </row>
    <row r="30" spans="2:24" ht="15" thickBot="1" x14ac:dyDescent="0.35">
      <c r="B30" s="27" t="s">
        <v>12</v>
      </c>
      <c r="F30">
        <v>84</v>
      </c>
      <c r="G30">
        <f t="shared" si="16"/>
        <v>57</v>
      </c>
      <c r="H30">
        <v>171</v>
      </c>
      <c r="I30">
        <f t="shared" si="11"/>
        <v>40</v>
      </c>
      <c r="K30">
        <f>F30-G30</f>
        <v>27</v>
      </c>
      <c r="L30">
        <f>H30-I30</f>
        <v>131</v>
      </c>
      <c r="W30">
        <f t="shared" si="14"/>
        <v>400</v>
      </c>
      <c r="X30">
        <f t="shared" si="15"/>
        <v>12</v>
      </c>
    </row>
    <row r="31" spans="2:24" x14ac:dyDescent="0.3">
      <c r="F31" s="46">
        <v>2209</v>
      </c>
      <c r="G31" s="46">
        <v>1500</v>
      </c>
      <c r="H31" s="46">
        <v>2144</v>
      </c>
      <c r="I31" s="46">
        <v>500</v>
      </c>
      <c r="K31">
        <f t="shared" si="12"/>
        <v>709</v>
      </c>
      <c r="L31">
        <f>H31-I31</f>
        <v>1644</v>
      </c>
      <c r="M31">
        <f>K31+L31</f>
        <v>2353</v>
      </c>
      <c r="N31" t="s">
        <v>36</v>
      </c>
      <c r="W31" s="46">
        <f t="shared" si="14"/>
        <v>6916</v>
      </c>
      <c r="X31">
        <f>ROUND((W31/$W$31*$U$21),0)</f>
        <v>203</v>
      </c>
    </row>
    <row r="33" spans="6:9" x14ac:dyDescent="0.3">
      <c r="G33">
        <f>SUM(G23:G30)</f>
        <v>1500</v>
      </c>
      <c r="I33">
        <f>SUM(I23:I30)</f>
        <v>500</v>
      </c>
    </row>
    <row r="35" spans="6:9" x14ac:dyDescent="0.3">
      <c r="F35" t="s">
        <v>33</v>
      </c>
      <c r="G35" t="s">
        <v>34</v>
      </c>
      <c r="H35" t="s">
        <v>35</v>
      </c>
    </row>
    <row r="36" spans="6:9" x14ac:dyDescent="0.3">
      <c r="F36">
        <v>4353</v>
      </c>
      <c r="G36">
        <f>G31+I31</f>
        <v>2000</v>
      </c>
      <c r="H36">
        <f>F36-G36</f>
        <v>2353</v>
      </c>
    </row>
  </sheetData>
  <mergeCells count="32">
    <mergeCell ref="J13:K13"/>
    <mergeCell ref="M13:N13"/>
    <mergeCell ref="P13:Q13"/>
    <mergeCell ref="S13:T13"/>
    <mergeCell ref="F10:G10"/>
    <mergeCell ref="F11:G11"/>
    <mergeCell ref="A12:B12"/>
    <mergeCell ref="F12:G12"/>
    <mergeCell ref="A13:B13"/>
    <mergeCell ref="C13:D13"/>
    <mergeCell ref="F13:H13"/>
    <mergeCell ref="F9:G9"/>
    <mergeCell ref="P1:R1"/>
    <mergeCell ref="S1:V1"/>
    <mergeCell ref="C2:D2"/>
    <mergeCell ref="F2:H2"/>
    <mergeCell ref="J2:K2"/>
    <mergeCell ref="M2:N2"/>
    <mergeCell ref="P2:Q2"/>
    <mergeCell ref="S2:T2"/>
    <mergeCell ref="M1:O1"/>
    <mergeCell ref="F4:G4"/>
    <mergeCell ref="F5:G5"/>
    <mergeCell ref="F6:G6"/>
    <mergeCell ref="F7:G7"/>
    <mergeCell ref="F8:G8"/>
    <mergeCell ref="A1:A3"/>
    <mergeCell ref="B1:B3"/>
    <mergeCell ref="C1:E1"/>
    <mergeCell ref="G1:I1"/>
    <mergeCell ref="J1:L1"/>
    <mergeCell ref="F3:G3"/>
  </mergeCells>
  <pageMargins left="0.7" right="0.7" top="0.75" bottom="0.75" header="0.3" footer="0.3"/>
  <pageSetup paperSize="9" scale="4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workbookViewId="0">
      <selection activeCell="F26" sqref="F26"/>
    </sheetView>
  </sheetViews>
  <sheetFormatPr defaultColWidth="8.6640625" defaultRowHeight="13.8" x14ac:dyDescent="0.25"/>
  <cols>
    <col min="1" max="1" width="8.6640625" style="49"/>
    <col min="2" max="2" width="15.109375" style="49" bestFit="1" customWidth="1"/>
    <col min="3" max="3" width="17.88671875" style="49" customWidth="1"/>
    <col min="4" max="4" width="23.44140625" style="49" customWidth="1"/>
    <col min="5" max="5" width="14.5546875" style="49" customWidth="1"/>
    <col min="6" max="6" width="20" style="49" customWidth="1"/>
    <col min="7" max="7" width="12.109375" style="49" customWidth="1"/>
    <col min="8" max="16384" width="8.6640625" style="49"/>
  </cols>
  <sheetData>
    <row r="1" spans="2:7" s="59" customFormat="1" x14ac:dyDescent="0.25">
      <c r="B1" s="59" t="s">
        <v>43</v>
      </c>
    </row>
    <row r="2" spans="2:7" x14ac:dyDescent="0.25">
      <c r="C2" s="50"/>
    </row>
    <row r="3" spans="2:7" ht="41.4" x14ac:dyDescent="0.25">
      <c r="B3" s="51" t="s">
        <v>39</v>
      </c>
      <c r="C3" s="52" t="s">
        <v>38</v>
      </c>
      <c r="D3" s="52" t="s">
        <v>40</v>
      </c>
      <c r="E3" s="52" t="s">
        <v>41</v>
      </c>
      <c r="F3" s="54" t="s">
        <v>42</v>
      </c>
      <c r="G3" s="51" t="s">
        <v>2</v>
      </c>
    </row>
    <row r="4" spans="2:7" x14ac:dyDescent="0.25">
      <c r="B4" s="51" t="s">
        <v>3</v>
      </c>
      <c r="C4" s="55">
        <v>856</v>
      </c>
      <c r="D4" s="51">
        <v>344.58</v>
      </c>
      <c r="E4" s="58">
        <f>C4+D4</f>
        <v>1200.58</v>
      </c>
      <c r="F4" s="56">
        <v>224</v>
      </c>
      <c r="G4" s="57">
        <f>E4*F4</f>
        <v>268929.91999999998</v>
      </c>
    </row>
    <row r="5" spans="2:7" x14ac:dyDescent="0.25">
      <c r="B5" s="51" t="s">
        <v>4</v>
      </c>
      <c r="C5" s="55">
        <v>1113</v>
      </c>
      <c r="D5" s="51">
        <v>344.58</v>
      </c>
      <c r="E5" s="58">
        <f>C5+D5</f>
        <v>1457.58</v>
      </c>
      <c r="F5" s="56">
        <v>112</v>
      </c>
      <c r="G5" s="57">
        <f>E5*F5</f>
        <v>163248.95999999999</v>
      </c>
    </row>
    <row r="6" spans="2:7" ht="17.399999999999999" x14ac:dyDescent="0.55000000000000004">
      <c r="B6" s="53"/>
      <c r="C6" s="53"/>
      <c r="D6" s="53"/>
      <c r="E6" s="53"/>
      <c r="F6" s="53"/>
      <c r="G6" s="60">
        <f>SUM(G4:G5)</f>
        <v>432178.88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21"/>
  <sheetViews>
    <sheetView tabSelected="1" workbookViewId="0">
      <selection activeCell="A6" sqref="A6"/>
    </sheetView>
  </sheetViews>
  <sheetFormatPr defaultColWidth="8.6640625" defaultRowHeight="13.2" x14ac:dyDescent="0.25"/>
  <cols>
    <col min="1" max="1" width="5.109375" style="61" customWidth="1"/>
    <col min="2" max="2" width="42.33203125" style="61" customWidth="1"/>
    <col min="3" max="4" width="10.6640625" style="61" customWidth="1"/>
    <col min="5" max="5" width="11.6640625" style="61" customWidth="1"/>
    <col min="6" max="16384" width="8.6640625" style="61"/>
  </cols>
  <sheetData>
    <row r="1" spans="1:5" x14ac:dyDescent="0.25">
      <c r="E1" s="63" t="s">
        <v>45</v>
      </c>
    </row>
    <row r="2" spans="1:5" x14ac:dyDescent="0.25">
      <c r="E2" s="63" t="s">
        <v>22</v>
      </c>
    </row>
    <row r="3" spans="1:5" x14ac:dyDescent="0.25">
      <c r="E3" s="63" t="s">
        <v>44</v>
      </c>
    </row>
    <row r="5" spans="1:5" ht="97.5" customHeight="1" x14ac:dyDescent="0.25">
      <c r="A5" s="113" t="s">
        <v>49</v>
      </c>
      <c r="B5" s="114"/>
      <c r="C5" s="114"/>
      <c r="D5" s="114"/>
      <c r="E5" s="114"/>
    </row>
    <row r="6" spans="1:5" x14ac:dyDescent="0.25">
      <c r="A6" s="62"/>
    </row>
    <row r="7" spans="1:5" s="49" customFormat="1" ht="40.5" customHeight="1" x14ac:dyDescent="0.25">
      <c r="A7" s="115" t="s">
        <v>25</v>
      </c>
      <c r="B7" s="116" t="s">
        <v>0</v>
      </c>
      <c r="C7" s="116" t="s">
        <v>1</v>
      </c>
      <c r="D7" s="116"/>
      <c r="E7" s="117" t="s">
        <v>2</v>
      </c>
    </row>
    <row r="8" spans="1:5" s="49" customFormat="1" ht="22.5" customHeight="1" x14ac:dyDescent="0.25">
      <c r="A8" s="115"/>
      <c r="B8" s="116"/>
      <c r="C8" s="64" t="s">
        <v>3</v>
      </c>
      <c r="D8" s="64" t="s">
        <v>4</v>
      </c>
      <c r="E8" s="118"/>
    </row>
    <row r="9" spans="1:5" s="49" customFormat="1" ht="18.899999999999999" customHeight="1" x14ac:dyDescent="0.25">
      <c r="A9" s="65" t="s">
        <v>46</v>
      </c>
      <c r="B9" s="66" t="s">
        <v>5</v>
      </c>
      <c r="C9" s="65">
        <v>1164</v>
      </c>
      <c r="D9" s="65">
        <v>240</v>
      </c>
      <c r="E9" s="67">
        <v>1817186</v>
      </c>
    </row>
    <row r="10" spans="1:5" s="49" customFormat="1" ht="18.899999999999999" customHeight="1" x14ac:dyDescent="0.25">
      <c r="A10" s="65" t="s">
        <v>15</v>
      </c>
      <c r="B10" s="66" t="s">
        <v>6</v>
      </c>
      <c r="C10" s="65">
        <v>580</v>
      </c>
      <c r="D10" s="65">
        <v>742</v>
      </c>
      <c r="E10" s="67">
        <v>1848975</v>
      </c>
    </row>
    <row r="11" spans="1:5" s="49" customFormat="1" ht="18.899999999999999" customHeight="1" x14ac:dyDescent="0.25">
      <c r="A11" s="65" t="s">
        <v>16</v>
      </c>
      <c r="B11" s="66" t="s">
        <v>7</v>
      </c>
      <c r="C11" s="65">
        <v>757</v>
      </c>
      <c r="D11" s="65">
        <v>470</v>
      </c>
      <c r="E11" s="67">
        <v>1657658</v>
      </c>
    </row>
    <row r="12" spans="1:5" s="49" customFormat="1" ht="18.899999999999999" customHeight="1" x14ac:dyDescent="0.25">
      <c r="A12" s="65" t="s">
        <v>17</v>
      </c>
      <c r="B12" s="66" t="s">
        <v>8</v>
      </c>
      <c r="C12" s="51">
        <v>39</v>
      </c>
      <c r="D12" s="65">
        <v>30</v>
      </c>
      <c r="E12" s="67">
        <v>94172</v>
      </c>
    </row>
    <row r="13" spans="1:5" s="49" customFormat="1" ht="18.899999999999999" customHeight="1" x14ac:dyDescent="0.25">
      <c r="A13" s="65" t="s">
        <v>18</v>
      </c>
      <c r="B13" s="66" t="s">
        <v>9</v>
      </c>
      <c r="C13" s="65">
        <v>446</v>
      </c>
      <c r="D13" s="65">
        <v>128</v>
      </c>
      <c r="E13" s="67">
        <v>750910</v>
      </c>
    </row>
    <row r="14" spans="1:5" s="49" customFormat="1" ht="18.899999999999999" customHeight="1" x14ac:dyDescent="0.25">
      <c r="A14" s="65" t="s">
        <v>19</v>
      </c>
      <c r="B14" s="66" t="s">
        <v>10</v>
      </c>
      <c r="C14" s="65">
        <v>145</v>
      </c>
      <c r="D14" s="65">
        <v>762</v>
      </c>
      <c r="E14" s="67">
        <v>1336150</v>
      </c>
    </row>
    <row r="15" spans="1:5" s="49" customFormat="1" ht="18.899999999999999" customHeight="1" x14ac:dyDescent="0.25">
      <c r="A15" s="65" t="s">
        <v>20</v>
      </c>
      <c r="B15" s="66" t="s">
        <v>11</v>
      </c>
      <c r="C15" s="65">
        <v>423</v>
      </c>
      <c r="D15" s="65">
        <v>853</v>
      </c>
      <c r="E15" s="67">
        <v>1821208</v>
      </c>
    </row>
    <row r="16" spans="1:5" s="49" customFormat="1" ht="18.899999999999999" customHeight="1" x14ac:dyDescent="0.25">
      <c r="A16" s="65" t="s">
        <v>21</v>
      </c>
      <c r="B16" s="66" t="s">
        <v>12</v>
      </c>
      <c r="C16" s="65">
        <v>140</v>
      </c>
      <c r="D16" s="65">
        <v>281</v>
      </c>
      <c r="E16" s="67">
        <v>600768</v>
      </c>
    </row>
    <row r="17" spans="1:5" s="49" customFormat="1" ht="18.899999999999999" customHeight="1" x14ac:dyDescent="0.25">
      <c r="A17" s="120" t="s">
        <v>13</v>
      </c>
      <c r="B17" s="120"/>
      <c r="C17" s="68">
        <f>SUM(C9:C16)</f>
        <v>3694</v>
      </c>
      <c r="D17" s="68">
        <f>SUM(D9:D16)</f>
        <v>3506</v>
      </c>
      <c r="E17" s="121">
        <f>SUM(E9:E16)</f>
        <v>9927027</v>
      </c>
    </row>
    <row r="18" spans="1:5" s="49" customFormat="1" ht="18.899999999999999" customHeight="1" x14ac:dyDescent="0.25">
      <c r="A18" s="120" t="s">
        <v>14</v>
      </c>
      <c r="B18" s="120"/>
      <c r="C18" s="123">
        <f>SUM(C17:D17)</f>
        <v>7200</v>
      </c>
      <c r="D18" s="123"/>
      <c r="E18" s="122"/>
    </row>
    <row r="20" spans="1:5" s="49" customFormat="1" ht="13.8" x14ac:dyDescent="0.25">
      <c r="A20" s="119" t="s">
        <v>47</v>
      </c>
      <c r="B20" s="119"/>
      <c r="C20" s="119"/>
      <c r="D20" s="119"/>
      <c r="E20" s="119"/>
    </row>
    <row r="21" spans="1:5" s="49" customFormat="1" ht="13.8" x14ac:dyDescent="0.25">
      <c r="A21" s="119" t="s">
        <v>48</v>
      </c>
      <c r="B21" s="119"/>
      <c r="C21" s="119"/>
      <c r="D21" s="119"/>
      <c r="E21" s="119"/>
    </row>
  </sheetData>
  <mergeCells count="11">
    <mergeCell ref="A20:E20"/>
    <mergeCell ref="A21:E21"/>
    <mergeCell ref="A17:B17"/>
    <mergeCell ref="E17:E18"/>
    <mergeCell ref="A18:B18"/>
    <mergeCell ref="C18:D18"/>
    <mergeCell ref="A5:E5"/>
    <mergeCell ref="A7:A8"/>
    <mergeCell ref="B7:B8"/>
    <mergeCell ref="C7:D7"/>
    <mergeCell ref="E7:E8"/>
  </mergeCells>
  <pageMargins left="1.1811023622047245" right="0.39370078740157483" top="0.78740157480314965" bottom="0.78740157480314965" header="0" footer="0"/>
  <pageSetup paperSize="9" firstPageNumber="190" orientation="portrait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Приложение № 2.34 </vt:lpstr>
      <vt:lpstr>Приложение № 2.34 расчет</vt:lpstr>
      <vt:lpstr>Лист1</vt:lpstr>
      <vt:lpstr>Лист1 (2)</vt:lpstr>
      <vt:lpstr>ИТОГО</vt:lpstr>
      <vt:lpstr>Расчет 2025</vt:lpstr>
      <vt:lpstr>Приложение № 2.21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Москович Елена Владимировна</dc:creator>
  <cp:lastModifiedBy>Шеремет Наталья Николаевна</cp:lastModifiedBy>
  <cp:lastPrinted>2025-12-26T06:44:47Z</cp:lastPrinted>
  <dcterms:created xsi:type="dcterms:W3CDTF">2024-10-30T14:44:39Z</dcterms:created>
  <dcterms:modified xsi:type="dcterms:W3CDTF">2025-12-26T06:46:52Z</dcterms:modified>
</cp:coreProperties>
</file>