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 1 (1695)" sheetId="2" r:id="rId1"/>
  </sheets>
  <definedNames>
    <definedName name="_xlnm.Print_Titles" localSheetId="0">'приложение № 1 (1695)'!$13:$13</definedName>
    <definedName name="_xlnm.Print_Area" localSheetId="0">'приложение № 1 (1695)'!$A$1:$K$91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7" i="2" l="1"/>
  <c r="J71" i="2" l="1"/>
  <c r="J70" i="2"/>
  <c r="I71" i="2"/>
  <c r="I70" i="2"/>
  <c r="H71" i="2"/>
  <c r="H70" i="2"/>
  <c r="G71" i="2"/>
  <c r="G70" i="2"/>
  <c r="F71" i="2"/>
  <c r="F70" i="2"/>
  <c r="E71" i="2"/>
  <c r="E70" i="2"/>
  <c r="D71" i="2"/>
  <c r="D70" i="2"/>
  <c r="C89" i="2"/>
  <c r="K89" i="2"/>
  <c r="H87" i="2"/>
  <c r="C87" i="2"/>
  <c r="F87" i="2"/>
  <c r="J87" i="2"/>
  <c r="G87" i="2"/>
  <c r="E87" i="2"/>
  <c r="D87" i="2"/>
  <c r="K66" i="2"/>
  <c r="D65" i="2"/>
  <c r="E65" i="2"/>
  <c r="F65" i="2"/>
  <c r="G65" i="2"/>
  <c r="H65" i="2"/>
  <c r="I65" i="2"/>
  <c r="J65" i="2"/>
  <c r="C65" i="2"/>
  <c r="K65" i="2" l="1"/>
  <c r="C56" i="2"/>
  <c r="C48" i="2"/>
  <c r="C54" i="2" l="1"/>
  <c r="C30" i="2"/>
  <c r="I23" i="2"/>
  <c r="E23" i="2"/>
  <c r="D23" i="2"/>
  <c r="C23" i="2"/>
  <c r="D22" i="2"/>
  <c r="J17" i="2"/>
  <c r="I17" i="2"/>
  <c r="H17" i="2"/>
  <c r="G17" i="2"/>
  <c r="F17" i="2"/>
  <c r="E17" i="2"/>
  <c r="D17" i="2"/>
  <c r="C58" i="2" l="1"/>
  <c r="C62" i="2"/>
  <c r="C63" i="2"/>
  <c r="J63" i="2"/>
  <c r="I63" i="2"/>
  <c r="H63" i="2"/>
  <c r="F63" i="2"/>
  <c r="E63" i="2"/>
  <c r="D63" i="2"/>
  <c r="K58" i="2"/>
  <c r="C47" i="2" l="1"/>
  <c r="K63" i="2"/>
  <c r="C42" i="2"/>
  <c r="C77" i="2"/>
  <c r="C70" i="2"/>
  <c r="C83" i="2" l="1"/>
  <c r="C51" i="2"/>
  <c r="C81" i="2" l="1"/>
  <c r="C79" i="2"/>
  <c r="C22" i="2"/>
  <c r="C85" i="2" l="1"/>
  <c r="E15" i="2" l="1"/>
  <c r="F15" i="2"/>
  <c r="G15" i="2"/>
  <c r="H15" i="2"/>
  <c r="I15" i="2"/>
  <c r="J15" i="2"/>
  <c r="C15" i="2"/>
  <c r="D15" i="2"/>
  <c r="K70" i="2" l="1"/>
  <c r="K71" i="2"/>
  <c r="K73" i="2"/>
  <c r="C69" i="2"/>
  <c r="D69" i="2"/>
  <c r="E69" i="2"/>
  <c r="F69" i="2"/>
  <c r="G69" i="2"/>
  <c r="H69" i="2"/>
  <c r="I69" i="2"/>
  <c r="J69" i="2"/>
  <c r="K17" i="2" l="1"/>
  <c r="K85" i="2" l="1"/>
  <c r="K83" i="2"/>
  <c r="K81" i="2"/>
  <c r="K79" i="2"/>
  <c r="K77" i="2"/>
  <c r="K75" i="2"/>
  <c r="K62" i="2"/>
  <c r="K60" i="2"/>
  <c r="K57" i="2"/>
  <c r="K56" i="2"/>
  <c r="K54" i="2"/>
  <c r="K53" i="2"/>
  <c r="K52" i="2"/>
  <c r="K51" i="2"/>
  <c r="K50" i="2"/>
  <c r="K49" i="2"/>
  <c r="K48" i="2"/>
  <c r="J47" i="2"/>
  <c r="I47" i="2"/>
  <c r="H47" i="2"/>
  <c r="G47" i="2"/>
  <c r="F47" i="2"/>
  <c r="E47" i="2"/>
  <c r="D47" i="2"/>
  <c r="K45" i="2"/>
  <c r="J44" i="2"/>
  <c r="I44" i="2"/>
  <c r="H44" i="2"/>
  <c r="G44" i="2"/>
  <c r="F44" i="2"/>
  <c r="E44" i="2"/>
  <c r="D44" i="2"/>
  <c r="C44" i="2"/>
  <c r="K42" i="2"/>
  <c r="J41" i="2"/>
  <c r="I41" i="2"/>
  <c r="H41" i="2"/>
  <c r="G41" i="2"/>
  <c r="F41" i="2"/>
  <c r="E41" i="2"/>
  <c r="D41" i="2"/>
  <c r="C41" i="2"/>
  <c r="K39" i="2"/>
  <c r="K38" i="2"/>
  <c r="K37" i="2"/>
  <c r="K36" i="2"/>
  <c r="K35" i="2"/>
  <c r="K34" i="2"/>
  <c r="J33" i="2"/>
  <c r="I33" i="2"/>
  <c r="H33" i="2"/>
  <c r="G33" i="2"/>
  <c r="F33" i="2"/>
  <c r="E33" i="2"/>
  <c r="D33" i="2"/>
  <c r="C33" i="2"/>
  <c r="K32" i="2"/>
  <c r="K30" i="2"/>
  <c r="K29" i="2"/>
  <c r="K28" i="2"/>
  <c r="K27" i="2"/>
  <c r="J26" i="2"/>
  <c r="I26" i="2"/>
  <c r="H26" i="2"/>
  <c r="G26" i="2"/>
  <c r="F26" i="2"/>
  <c r="E26" i="2"/>
  <c r="D26" i="2"/>
  <c r="C26" i="2"/>
  <c r="K24" i="2"/>
  <c r="K23" i="2"/>
  <c r="K22" i="2"/>
  <c r="K21" i="2"/>
  <c r="K20" i="2"/>
  <c r="K19" i="2"/>
  <c r="K47" i="2" l="1"/>
  <c r="C14" i="2"/>
  <c r="E14" i="2"/>
  <c r="G14" i="2"/>
  <c r="I14" i="2"/>
  <c r="K69" i="2"/>
  <c r="K87" i="2"/>
  <c r="K15" i="2"/>
  <c r="K26" i="2"/>
  <c r="D14" i="2"/>
  <c r="F14" i="2"/>
  <c r="H14" i="2"/>
  <c r="J14" i="2"/>
  <c r="K44" i="2"/>
  <c r="K33" i="2"/>
  <c r="K41" i="2"/>
  <c r="F91" i="2" l="1"/>
  <c r="G91" i="2"/>
  <c r="H91" i="2"/>
  <c r="E91" i="2"/>
  <c r="C91" i="2"/>
  <c r="D91" i="2"/>
  <c r="I91" i="2"/>
  <c r="J91" i="2"/>
  <c r="K14" i="2"/>
  <c r="K91" i="2" l="1"/>
</calcChain>
</file>

<file path=xl/sharedStrings.xml><?xml version="1.0" encoding="utf-8"?>
<sst xmlns="http://schemas.openxmlformats.org/spreadsheetml/2006/main" count="79" uniqueCount="76">
  <si>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</si>
  <si>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</si>
  <si>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</si>
  <si>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</si>
  <si>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</si>
  <si>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</si>
  <si>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</si>
  <si>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</si>
  <si>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</si>
  <si>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</si>
  <si>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</si>
  <si>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</si>
  <si>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</si>
  <si>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</si>
  <si>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</si>
  <si>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</si>
  <si>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</si>
  <si>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</si>
  <si>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</si>
  <si>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</si>
  <si>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</si>
  <si>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</si>
  <si>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</si>
  <si>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</si>
  <si>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</si>
  <si>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</si>
  <si>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</si>
  <si>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</si>
  <si>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</si>
  <si>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</si>
  <si>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</si>
  <si>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</si>
  <si>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</si>
  <si>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</si>
  <si>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</si>
  <si>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</si>
  <si>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</si>
  <si>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</si>
  <si>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</si>
  <si>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</si>
  <si>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</si>
  <si>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</si>
  <si>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</si>
  <si>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</si>
  <si>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</si>
  <si>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</si>
  <si>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</si>
  <si>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</si>
  <si>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</si>
  <si>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</si>
  <si>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</si>
  <si>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</si>
  <si>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</si>
  <si>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</si>
  <si>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</si>
  <si>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</si>
  <si>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</si>
  <si>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</si>
  <si>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</si>
  <si>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</si>
  <si>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</si>
  <si>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</si>
  <si>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</si>
  <si>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</si>
  <si>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</si>
  <si>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административные штрафы и санкции, возмещение ущерба</t>
  </si>
  <si>
    <t>Безвозмездные перечисления</t>
  </si>
  <si>
    <t>Прочие безвозмездные перечисления</t>
  </si>
  <si>
    <t xml:space="preserve">Иные поступления, носящие нерегулярный характер </t>
  </si>
  <si>
    <t>"О внесении изменений и дополнений</t>
  </si>
  <si>
    <t>в Закон Приднестровской Молдавской Республики</t>
  </si>
  <si>
    <t>Прочие поступления от реализации имущества и валюты</t>
  </si>
  <si>
    <t>Налог с выручки организаций, применяющих упрощенную систему налогообложения, бухгалтерского учета и отчетности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</si>
  <si>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мягкрим инветарем, а также приобретение специализированного медицинского автотранспорта и иные цели развития отрасли здравоохранения</t>
  </si>
  <si>
    <t>От нерезидентов</t>
  </si>
  <si>
    <t>Доходы от предпринимательской и иной приносящей доход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</si>
</sst>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5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 wrapText="1"/>
    </xf>
    <xf numFmtId="166" fontId="3" fillId="0" borderId="0" xfId="0" applyNumberFormat="1" applyFont="1" applyFill="1" applyAlignment="1">
      <alignment horizontal="right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164" fontId="3" fillId="2" borderId="22" xfId="1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vertical="center" wrapText="1"/>
    </xf>
    <xf numFmtId="1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164" fontId="3" fillId="2" borderId="13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164" fontId="4" fillId="2" borderId="24" xfId="1" applyNumberFormat="1" applyFont="1" applyFill="1" applyBorder="1" applyAlignment="1">
      <alignment horizontal="center" vertical="center"/>
    </xf>
    <xf numFmtId="164" fontId="4" fillId="2" borderId="23" xfId="1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22" xfId="1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view="pageBreakPreview" zoomScaleNormal="100" zoomScaleSheetLayoutView="100" workbookViewId="0">
      <pane xSplit="2" ySplit="13" topLeftCell="C32" activePane="bottomRight" state="frozen"/>
      <selection pane="topRight" activeCell="C1" sqref="C1"/>
      <selection pane="bottomLeft" activeCell="A10" sqref="A10"/>
      <selection pane="bottomRight" activeCell="B36" sqref="B36"/>
    </sheetView>
  </sheetViews>
  <sheetFormatPr defaultColWidth="58.33203125" defaultRowHeight="15.6" x14ac:dyDescent="0.3"/>
  <cols>
    <col min="1" max="1" width="9" style="1" customWidth="1"/>
    <col min="2" max="2" width="52.88671875" style="2" customWidth="1"/>
    <col min="3" max="3" width="15.6640625" style="3" bestFit="1" customWidth="1"/>
    <col min="4" max="6" width="14" style="3" bestFit="1" customWidth="1"/>
    <col min="7" max="7" width="12.6640625" style="3" bestFit="1" customWidth="1"/>
    <col min="8" max="8" width="14" style="3" bestFit="1" customWidth="1"/>
    <col min="9" max="9" width="15.5546875" style="3" bestFit="1" customWidth="1"/>
    <col min="10" max="10" width="12.6640625" style="3" bestFit="1" customWidth="1"/>
    <col min="11" max="11" width="15.6640625" style="3" customWidth="1"/>
    <col min="12" max="17" width="12.109375" style="3" customWidth="1"/>
    <col min="18" max="81" width="58.33203125" style="3"/>
    <col min="82" max="82" width="9" style="3" customWidth="1"/>
    <col min="83" max="83" width="60.33203125" style="3" customWidth="1"/>
    <col min="84" max="84" width="15.6640625" style="3" bestFit="1" customWidth="1"/>
    <col min="85" max="85" width="14.109375" style="3" bestFit="1" customWidth="1"/>
    <col min="86" max="86" width="14.109375" style="3" customWidth="1"/>
    <col min="87" max="87" width="14.109375" style="3" bestFit="1" customWidth="1"/>
    <col min="88" max="89" width="13.109375" style="3" bestFit="1" customWidth="1"/>
    <col min="90" max="90" width="14" style="3" customWidth="1"/>
    <col min="91" max="91" width="13.109375" style="3" customWidth="1"/>
    <col min="92" max="92" width="16.44140625" style="3" customWidth="1"/>
    <col min="93" max="93" width="18.5546875" style="3" customWidth="1"/>
    <col min="94" max="94" width="8.109375" style="3" bestFit="1" customWidth="1"/>
    <col min="95" max="337" width="58.33203125" style="3"/>
    <col min="338" max="338" width="9" style="3" customWidth="1"/>
    <col min="339" max="339" width="60.33203125" style="3" customWidth="1"/>
    <col min="340" max="340" width="15.6640625" style="3" bestFit="1" customWidth="1"/>
    <col min="341" max="341" width="14.109375" style="3" bestFit="1" customWidth="1"/>
    <col min="342" max="342" width="14.109375" style="3" customWidth="1"/>
    <col min="343" max="343" width="14.109375" style="3" bestFit="1" customWidth="1"/>
    <col min="344" max="345" width="13.109375" style="3" bestFit="1" customWidth="1"/>
    <col min="346" max="346" width="14" style="3" customWidth="1"/>
    <col min="347" max="347" width="13.109375" style="3" customWidth="1"/>
    <col min="348" max="348" width="16.44140625" style="3" customWidth="1"/>
    <col min="349" max="349" width="18.5546875" style="3" customWidth="1"/>
    <col min="350" max="350" width="8.109375" style="3" bestFit="1" customWidth="1"/>
    <col min="351" max="593" width="58.33203125" style="3"/>
    <col min="594" max="594" width="9" style="3" customWidth="1"/>
    <col min="595" max="595" width="60.33203125" style="3" customWidth="1"/>
    <col min="596" max="596" width="15.6640625" style="3" bestFit="1" customWidth="1"/>
    <col min="597" max="597" width="14.109375" style="3" bestFit="1" customWidth="1"/>
    <col min="598" max="598" width="14.109375" style="3" customWidth="1"/>
    <col min="599" max="599" width="14.109375" style="3" bestFit="1" customWidth="1"/>
    <col min="600" max="601" width="13.109375" style="3" bestFit="1" customWidth="1"/>
    <col min="602" max="602" width="14" style="3" customWidth="1"/>
    <col min="603" max="603" width="13.109375" style="3" customWidth="1"/>
    <col min="604" max="604" width="16.44140625" style="3" customWidth="1"/>
    <col min="605" max="605" width="18.5546875" style="3" customWidth="1"/>
    <col min="606" max="606" width="8.109375" style="3" bestFit="1" customWidth="1"/>
    <col min="607" max="849" width="58.33203125" style="3"/>
    <col min="850" max="850" width="9" style="3" customWidth="1"/>
    <col min="851" max="851" width="60.33203125" style="3" customWidth="1"/>
    <col min="852" max="852" width="15.6640625" style="3" bestFit="1" customWidth="1"/>
    <col min="853" max="853" width="14.109375" style="3" bestFit="1" customWidth="1"/>
    <col min="854" max="854" width="14.109375" style="3" customWidth="1"/>
    <col min="855" max="855" width="14.109375" style="3" bestFit="1" customWidth="1"/>
    <col min="856" max="857" width="13.109375" style="3" bestFit="1" customWidth="1"/>
    <col min="858" max="858" width="14" style="3" customWidth="1"/>
    <col min="859" max="859" width="13.109375" style="3" customWidth="1"/>
    <col min="860" max="860" width="16.44140625" style="3" customWidth="1"/>
    <col min="861" max="861" width="18.5546875" style="3" customWidth="1"/>
    <col min="862" max="862" width="8.109375" style="3" bestFit="1" customWidth="1"/>
    <col min="863" max="1105" width="58.33203125" style="3"/>
    <col min="1106" max="1106" width="9" style="3" customWidth="1"/>
    <col min="1107" max="1107" width="60.33203125" style="3" customWidth="1"/>
    <col min="1108" max="1108" width="15.6640625" style="3" bestFit="1" customWidth="1"/>
    <col min="1109" max="1109" width="14.109375" style="3" bestFit="1" customWidth="1"/>
    <col min="1110" max="1110" width="14.109375" style="3" customWidth="1"/>
    <col min="1111" max="1111" width="14.109375" style="3" bestFit="1" customWidth="1"/>
    <col min="1112" max="1113" width="13.109375" style="3" bestFit="1" customWidth="1"/>
    <col min="1114" max="1114" width="14" style="3" customWidth="1"/>
    <col min="1115" max="1115" width="13.109375" style="3" customWidth="1"/>
    <col min="1116" max="1116" width="16.44140625" style="3" customWidth="1"/>
    <col min="1117" max="1117" width="18.5546875" style="3" customWidth="1"/>
    <col min="1118" max="1118" width="8.109375" style="3" bestFit="1" customWidth="1"/>
    <col min="1119" max="1361" width="58.33203125" style="3"/>
    <col min="1362" max="1362" width="9" style="3" customWidth="1"/>
    <col min="1363" max="1363" width="60.33203125" style="3" customWidth="1"/>
    <col min="1364" max="1364" width="15.6640625" style="3" bestFit="1" customWidth="1"/>
    <col min="1365" max="1365" width="14.109375" style="3" bestFit="1" customWidth="1"/>
    <col min="1366" max="1366" width="14.109375" style="3" customWidth="1"/>
    <col min="1367" max="1367" width="14.109375" style="3" bestFit="1" customWidth="1"/>
    <col min="1368" max="1369" width="13.109375" style="3" bestFit="1" customWidth="1"/>
    <col min="1370" max="1370" width="14" style="3" customWidth="1"/>
    <col min="1371" max="1371" width="13.109375" style="3" customWidth="1"/>
    <col min="1372" max="1372" width="16.44140625" style="3" customWidth="1"/>
    <col min="1373" max="1373" width="18.5546875" style="3" customWidth="1"/>
    <col min="1374" max="1374" width="8.109375" style="3" bestFit="1" customWidth="1"/>
    <col min="1375" max="1617" width="58.33203125" style="3"/>
    <col min="1618" max="1618" width="9" style="3" customWidth="1"/>
    <col min="1619" max="1619" width="60.33203125" style="3" customWidth="1"/>
    <col min="1620" max="1620" width="15.6640625" style="3" bestFit="1" customWidth="1"/>
    <col min="1621" max="1621" width="14.109375" style="3" bestFit="1" customWidth="1"/>
    <col min="1622" max="1622" width="14.109375" style="3" customWidth="1"/>
    <col min="1623" max="1623" width="14.109375" style="3" bestFit="1" customWidth="1"/>
    <col min="1624" max="1625" width="13.109375" style="3" bestFit="1" customWidth="1"/>
    <col min="1626" max="1626" width="14" style="3" customWidth="1"/>
    <col min="1627" max="1627" width="13.109375" style="3" customWidth="1"/>
    <col min="1628" max="1628" width="16.44140625" style="3" customWidth="1"/>
    <col min="1629" max="1629" width="18.5546875" style="3" customWidth="1"/>
    <col min="1630" max="1630" width="8.109375" style="3" bestFit="1" customWidth="1"/>
    <col min="1631" max="1873" width="58.33203125" style="3"/>
    <col min="1874" max="1874" width="9" style="3" customWidth="1"/>
    <col min="1875" max="1875" width="60.33203125" style="3" customWidth="1"/>
    <col min="1876" max="1876" width="15.6640625" style="3" bestFit="1" customWidth="1"/>
    <col min="1877" max="1877" width="14.109375" style="3" bestFit="1" customWidth="1"/>
    <col min="1878" max="1878" width="14.109375" style="3" customWidth="1"/>
    <col min="1879" max="1879" width="14.109375" style="3" bestFit="1" customWidth="1"/>
    <col min="1880" max="1881" width="13.109375" style="3" bestFit="1" customWidth="1"/>
    <col min="1882" max="1882" width="14" style="3" customWidth="1"/>
    <col min="1883" max="1883" width="13.109375" style="3" customWidth="1"/>
    <col min="1884" max="1884" width="16.44140625" style="3" customWidth="1"/>
    <col min="1885" max="1885" width="18.5546875" style="3" customWidth="1"/>
    <col min="1886" max="1886" width="8.109375" style="3" bestFit="1" customWidth="1"/>
    <col min="1887" max="2129" width="58.33203125" style="3"/>
    <col min="2130" max="2130" width="9" style="3" customWidth="1"/>
    <col min="2131" max="2131" width="60.33203125" style="3" customWidth="1"/>
    <col min="2132" max="2132" width="15.6640625" style="3" bestFit="1" customWidth="1"/>
    <col min="2133" max="2133" width="14.109375" style="3" bestFit="1" customWidth="1"/>
    <col min="2134" max="2134" width="14.109375" style="3" customWidth="1"/>
    <col min="2135" max="2135" width="14.109375" style="3" bestFit="1" customWidth="1"/>
    <col min="2136" max="2137" width="13.109375" style="3" bestFit="1" customWidth="1"/>
    <col min="2138" max="2138" width="14" style="3" customWidth="1"/>
    <col min="2139" max="2139" width="13.109375" style="3" customWidth="1"/>
    <col min="2140" max="2140" width="16.44140625" style="3" customWidth="1"/>
    <col min="2141" max="2141" width="18.5546875" style="3" customWidth="1"/>
    <col min="2142" max="2142" width="8.109375" style="3" bestFit="1" customWidth="1"/>
    <col min="2143" max="2385" width="58.33203125" style="3"/>
    <col min="2386" max="2386" width="9" style="3" customWidth="1"/>
    <col min="2387" max="2387" width="60.33203125" style="3" customWidth="1"/>
    <col min="2388" max="2388" width="15.6640625" style="3" bestFit="1" customWidth="1"/>
    <col min="2389" max="2389" width="14.109375" style="3" bestFit="1" customWidth="1"/>
    <col min="2390" max="2390" width="14.109375" style="3" customWidth="1"/>
    <col min="2391" max="2391" width="14.109375" style="3" bestFit="1" customWidth="1"/>
    <col min="2392" max="2393" width="13.109375" style="3" bestFit="1" customWidth="1"/>
    <col min="2394" max="2394" width="14" style="3" customWidth="1"/>
    <col min="2395" max="2395" width="13.109375" style="3" customWidth="1"/>
    <col min="2396" max="2396" width="16.44140625" style="3" customWidth="1"/>
    <col min="2397" max="2397" width="18.5546875" style="3" customWidth="1"/>
    <col min="2398" max="2398" width="8.109375" style="3" bestFit="1" customWidth="1"/>
    <col min="2399" max="2641" width="58.33203125" style="3"/>
    <col min="2642" max="2642" width="9" style="3" customWidth="1"/>
    <col min="2643" max="2643" width="60.33203125" style="3" customWidth="1"/>
    <col min="2644" max="2644" width="15.6640625" style="3" bestFit="1" customWidth="1"/>
    <col min="2645" max="2645" width="14.109375" style="3" bestFit="1" customWidth="1"/>
    <col min="2646" max="2646" width="14.109375" style="3" customWidth="1"/>
    <col min="2647" max="2647" width="14.109375" style="3" bestFit="1" customWidth="1"/>
    <col min="2648" max="2649" width="13.109375" style="3" bestFit="1" customWidth="1"/>
    <col min="2650" max="2650" width="14" style="3" customWidth="1"/>
    <col min="2651" max="2651" width="13.109375" style="3" customWidth="1"/>
    <col min="2652" max="2652" width="16.44140625" style="3" customWidth="1"/>
    <col min="2653" max="2653" width="18.5546875" style="3" customWidth="1"/>
    <col min="2654" max="2654" width="8.109375" style="3" bestFit="1" customWidth="1"/>
    <col min="2655" max="2897" width="58.33203125" style="3"/>
    <col min="2898" max="2898" width="9" style="3" customWidth="1"/>
    <col min="2899" max="2899" width="60.33203125" style="3" customWidth="1"/>
    <col min="2900" max="2900" width="15.6640625" style="3" bestFit="1" customWidth="1"/>
    <col min="2901" max="2901" width="14.109375" style="3" bestFit="1" customWidth="1"/>
    <col min="2902" max="2902" width="14.109375" style="3" customWidth="1"/>
    <col min="2903" max="2903" width="14.109375" style="3" bestFit="1" customWidth="1"/>
    <col min="2904" max="2905" width="13.109375" style="3" bestFit="1" customWidth="1"/>
    <col min="2906" max="2906" width="14" style="3" customWidth="1"/>
    <col min="2907" max="2907" width="13.109375" style="3" customWidth="1"/>
    <col min="2908" max="2908" width="16.44140625" style="3" customWidth="1"/>
    <col min="2909" max="2909" width="18.5546875" style="3" customWidth="1"/>
    <col min="2910" max="2910" width="8.109375" style="3" bestFit="1" customWidth="1"/>
    <col min="2911" max="3153" width="58.33203125" style="3"/>
    <col min="3154" max="3154" width="9" style="3" customWidth="1"/>
    <col min="3155" max="3155" width="60.33203125" style="3" customWidth="1"/>
    <col min="3156" max="3156" width="15.6640625" style="3" bestFit="1" customWidth="1"/>
    <col min="3157" max="3157" width="14.109375" style="3" bestFit="1" customWidth="1"/>
    <col min="3158" max="3158" width="14.109375" style="3" customWidth="1"/>
    <col min="3159" max="3159" width="14.109375" style="3" bestFit="1" customWidth="1"/>
    <col min="3160" max="3161" width="13.109375" style="3" bestFit="1" customWidth="1"/>
    <col min="3162" max="3162" width="14" style="3" customWidth="1"/>
    <col min="3163" max="3163" width="13.109375" style="3" customWidth="1"/>
    <col min="3164" max="3164" width="16.44140625" style="3" customWidth="1"/>
    <col min="3165" max="3165" width="18.5546875" style="3" customWidth="1"/>
    <col min="3166" max="3166" width="8.109375" style="3" bestFit="1" customWidth="1"/>
    <col min="3167" max="3409" width="58.33203125" style="3"/>
    <col min="3410" max="3410" width="9" style="3" customWidth="1"/>
    <col min="3411" max="3411" width="60.33203125" style="3" customWidth="1"/>
    <col min="3412" max="3412" width="15.6640625" style="3" bestFit="1" customWidth="1"/>
    <col min="3413" max="3413" width="14.109375" style="3" bestFit="1" customWidth="1"/>
    <col min="3414" max="3414" width="14.109375" style="3" customWidth="1"/>
    <col min="3415" max="3415" width="14.109375" style="3" bestFit="1" customWidth="1"/>
    <col min="3416" max="3417" width="13.109375" style="3" bestFit="1" customWidth="1"/>
    <col min="3418" max="3418" width="14" style="3" customWidth="1"/>
    <col min="3419" max="3419" width="13.109375" style="3" customWidth="1"/>
    <col min="3420" max="3420" width="16.44140625" style="3" customWidth="1"/>
    <col min="3421" max="3421" width="18.5546875" style="3" customWidth="1"/>
    <col min="3422" max="3422" width="8.109375" style="3" bestFit="1" customWidth="1"/>
    <col min="3423" max="3665" width="58.33203125" style="3"/>
    <col min="3666" max="3666" width="9" style="3" customWidth="1"/>
    <col min="3667" max="3667" width="60.33203125" style="3" customWidth="1"/>
    <col min="3668" max="3668" width="15.6640625" style="3" bestFit="1" customWidth="1"/>
    <col min="3669" max="3669" width="14.109375" style="3" bestFit="1" customWidth="1"/>
    <col min="3670" max="3670" width="14.109375" style="3" customWidth="1"/>
    <col min="3671" max="3671" width="14.109375" style="3" bestFit="1" customWidth="1"/>
    <col min="3672" max="3673" width="13.109375" style="3" bestFit="1" customWidth="1"/>
    <col min="3674" max="3674" width="14" style="3" customWidth="1"/>
    <col min="3675" max="3675" width="13.109375" style="3" customWidth="1"/>
    <col min="3676" max="3676" width="16.44140625" style="3" customWidth="1"/>
    <col min="3677" max="3677" width="18.5546875" style="3" customWidth="1"/>
    <col min="3678" max="3678" width="8.109375" style="3" bestFit="1" customWidth="1"/>
    <col min="3679" max="3921" width="58.33203125" style="3"/>
    <col min="3922" max="3922" width="9" style="3" customWidth="1"/>
    <col min="3923" max="3923" width="60.33203125" style="3" customWidth="1"/>
    <col min="3924" max="3924" width="15.6640625" style="3" bestFit="1" customWidth="1"/>
    <col min="3925" max="3925" width="14.109375" style="3" bestFit="1" customWidth="1"/>
    <col min="3926" max="3926" width="14.109375" style="3" customWidth="1"/>
    <col min="3927" max="3927" width="14.109375" style="3" bestFit="1" customWidth="1"/>
    <col min="3928" max="3929" width="13.109375" style="3" bestFit="1" customWidth="1"/>
    <col min="3930" max="3930" width="14" style="3" customWidth="1"/>
    <col min="3931" max="3931" width="13.109375" style="3" customWidth="1"/>
    <col min="3932" max="3932" width="16.44140625" style="3" customWidth="1"/>
    <col min="3933" max="3933" width="18.5546875" style="3" customWidth="1"/>
    <col min="3934" max="3934" width="8.109375" style="3" bestFit="1" customWidth="1"/>
    <col min="3935" max="4177" width="58.33203125" style="3"/>
    <col min="4178" max="4178" width="9" style="3" customWidth="1"/>
    <col min="4179" max="4179" width="60.33203125" style="3" customWidth="1"/>
    <col min="4180" max="4180" width="15.6640625" style="3" bestFit="1" customWidth="1"/>
    <col min="4181" max="4181" width="14.109375" style="3" bestFit="1" customWidth="1"/>
    <col min="4182" max="4182" width="14.109375" style="3" customWidth="1"/>
    <col min="4183" max="4183" width="14.109375" style="3" bestFit="1" customWidth="1"/>
    <col min="4184" max="4185" width="13.109375" style="3" bestFit="1" customWidth="1"/>
    <col min="4186" max="4186" width="14" style="3" customWidth="1"/>
    <col min="4187" max="4187" width="13.109375" style="3" customWidth="1"/>
    <col min="4188" max="4188" width="16.44140625" style="3" customWidth="1"/>
    <col min="4189" max="4189" width="18.5546875" style="3" customWidth="1"/>
    <col min="4190" max="4190" width="8.109375" style="3" bestFit="1" customWidth="1"/>
    <col min="4191" max="4433" width="58.33203125" style="3"/>
    <col min="4434" max="4434" width="9" style="3" customWidth="1"/>
    <col min="4435" max="4435" width="60.33203125" style="3" customWidth="1"/>
    <col min="4436" max="4436" width="15.6640625" style="3" bestFit="1" customWidth="1"/>
    <col min="4437" max="4437" width="14.109375" style="3" bestFit="1" customWidth="1"/>
    <col min="4438" max="4438" width="14.109375" style="3" customWidth="1"/>
    <col min="4439" max="4439" width="14.109375" style="3" bestFit="1" customWidth="1"/>
    <col min="4440" max="4441" width="13.109375" style="3" bestFit="1" customWidth="1"/>
    <col min="4442" max="4442" width="14" style="3" customWidth="1"/>
    <col min="4443" max="4443" width="13.109375" style="3" customWidth="1"/>
    <col min="4444" max="4444" width="16.44140625" style="3" customWidth="1"/>
    <col min="4445" max="4445" width="18.5546875" style="3" customWidth="1"/>
    <col min="4446" max="4446" width="8.109375" style="3" bestFit="1" customWidth="1"/>
    <col min="4447" max="4689" width="58.33203125" style="3"/>
    <col min="4690" max="4690" width="9" style="3" customWidth="1"/>
    <col min="4691" max="4691" width="60.33203125" style="3" customWidth="1"/>
    <col min="4692" max="4692" width="15.6640625" style="3" bestFit="1" customWidth="1"/>
    <col min="4693" max="4693" width="14.109375" style="3" bestFit="1" customWidth="1"/>
    <col min="4694" max="4694" width="14.109375" style="3" customWidth="1"/>
    <col min="4695" max="4695" width="14.109375" style="3" bestFit="1" customWidth="1"/>
    <col min="4696" max="4697" width="13.109375" style="3" bestFit="1" customWidth="1"/>
    <col min="4698" max="4698" width="14" style="3" customWidth="1"/>
    <col min="4699" max="4699" width="13.109375" style="3" customWidth="1"/>
    <col min="4700" max="4700" width="16.44140625" style="3" customWidth="1"/>
    <col min="4701" max="4701" width="18.5546875" style="3" customWidth="1"/>
    <col min="4702" max="4702" width="8.109375" style="3" bestFit="1" customWidth="1"/>
    <col min="4703" max="4945" width="58.33203125" style="3"/>
    <col min="4946" max="4946" width="9" style="3" customWidth="1"/>
    <col min="4947" max="4947" width="60.33203125" style="3" customWidth="1"/>
    <col min="4948" max="4948" width="15.6640625" style="3" bestFit="1" customWidth="1"/>
    <col min="4949" max="4949" width="14.109375" style="3" bestFit="1" customWidth="1"/>
    <col min="4950" max="4950" width="14.109375" style="3" customWidth="1"/>
    <col min="4951" max="4951" width="14.109375" style="3" bestFit="1" customWidth="1"/>
    <col min="4952" max="4953" width="13.109375" style="3" bestFit="1" customWidth="1"/>
    <col min="4954" max="4954" width="14" style="3" customWidth="1"/>
    <col min="4955" max="4955" width="13.109375" style="3" customWidth="1"/>
    <col min="4956" max="4956" width="16.44140625" style="3" customWidth="1"/>
    <col min="4957" max="4957" width="18.5546875" style="3" customWidth="1"/>
    <col min="4958" max="4958" width="8.109375" style="3" bestFit="1" customWidth="1"/>
    <col min="4959" max="5201" width="58.33203125" style="3"/>
    <col min="5202" max="5202" width="9" style="3" customWidth="1"/>
    <col min="5203" max="5203" width="60.33203125" style="3" customWidth="1"/>
    <col min="5204" max="5204" width="15.6640625" style="3" bestFit="1" customWidth="1"/>
    <col min="5205" max="5205" width="14.109375" style="3" bestFit="1" customWidth="1"/>
    <col min="5206" max="5206" width="14.109375" style="3" customWidth="1"/>
    <col min="5207" max="5207" width="14.109375" style="3" bestFit="1" customWidth="1"/>
    <col min="5208" max="5209" width="13.109375" style="3" bestFit="1" customWidth="1"/>
    <col min="5210" max="5210" width="14" style="3" customWidth="1"/>
    <col min="5211" max="5211" width="13.109375" style="3" customWidth="1"/>
    <col min="5212" max="5212" width="16.44140625" style="3" customWidth="1"/>
    <col min="5213" max="5213" width="18.5546875" style="3" customWidth="1"/>
    <col min="5214" max="5214" width="8.109375" style="3" bestFit="1" customWidth="1"/>
    <col min="5215" max="5457" width="58.33203125" style="3"/>
    <col min="5458" max="5458" width="9" style="3" customWidth="1"/>
    <col min="5459" max="5459" width="60.33203125" style="3" customWidth="1"/>
    <col min="5460" max="5460" width="15.6640625" style="3" bestFit="1" customWidth="1"/>
    <col min="5461" max="5461" width="14.109375" style="3" bestFit="1" customWidth="1"/>
    <col min="5462" max="5462" width="14.109375" style="3" customWidth="1"/>
    <col min="5463" max="5463" width="14.109375" style="3" bestFit="1" customWidth="1"/>
    <col min="5464" max="5465" width="13.109375" style="3" bestFit="1" customWidth="1"/>
    <col min="5466" max="5466" width="14" style="3" customWidth="1"/>
    <col min="5467" max="5467" width="13.109375" style="3" customWidth="1"/>
    <col min="5468" max="5468" width="16.44140625" style="3" customWidth="1"/>
    <col min="5469" max="5469" width="18.5546875" style="3" customWidth="1"/>
    <col min="5470" max="5470" width="8.109375" style="3" bestFit="1" customWidth="1"/>
    <col min="5471" max="5713" width="58.33203125" style="3"/>
    <col min="5714" max="5714" width="9" style="3" customWidth="1"/>
    <col min="5715" max="5715" width="60.33203125" style="3" customWidth="1"/>
    <col min="5716" max="5716" width="15.6640625" style="3" bestFit="1" customWidth="1"/>
    <col min="5717" max="5717" width="14.109375" style="3" bestFit="1" customWidth="1"/>
    <col min="5718" max="5718" width="14.109375" style="3" customWidth="1"/>
    <col min="5719" max="5719" width="14.109375" style="3" bestFit="1" customWidth="1"/>
    <col min="5720" max="5721" width="13.109375" style="3" bestFit="1" customWidth="1"/>
    <col min="5722" max="5722" width="14" style="3" customWidth="1"/>
    <col min="5723" max="5723" width="13.109375" style="3" customWidth="1"/>
    <col min="5724" max="5724" width="16.44140625" style="3" customWidth="1"/>
    <col min="5725" max="5725" width="18.5546875" style="3" customWidth="1"/>
    <col min="5726" max="5726" width="8.109375" style="3" bestFit="1" customWidth="1"/>
    <col min="5727" max="5969" width="58.33203125" style="3"/>
    <col min="5970" max="5970" width="9" style="3" customWidth="1"/>
    <col min="5971" max="5971" width="60.33203125" style="3" customWidth="1"/>
    <col min="5972" max="5972" width="15.6640625" style="3" bestFit="1" customWidth="1"/>
    <col min="5973" max="5973" width="14.109375" style="3" bestFit="1" customWidth="1"/>
    <col min="5974" max="5974" width="14.109375" style="3" customWidth="1"/>
    <col min="5975" max="5975" width="14.109375" style="3" bestFit="1" customWidth="1"/>
    <col min="5976" max="5977" width="13.109375" style="3" bestFit="1" customWidth="1"/>
    <col min="5978" max="5978" width="14" style="3" customWidth="1"/>
    <col min="5979" max="5979" width="13.109375" style="3" customWidth="1"/>
    <col min="5980" max="5980" width="16.44140625" style="3" customWidth="1"/>
    <col min="5981" max="5981" width="18.5546875" style="3" customWidth="1"/>
    <col min="5982" max="5982" width="8.109375" style="3" bestFit="1" customWidth="1"/>
    <col min="5983" max="6225" width="58.33203125" style="3"/>
    <col min="6226" max="6226" width="9" style="3" customWidth="1"/>
    <col min="6227" max="6227" width="60.33203125" style="3" customWidth="1"/>
    <col min="6228" max="6228" width="15.6640625" style="3" bestFit="1" customWidth="1"/>
    <col min="6229" max="6229" width="14.109375" style="3" bestFit="1" customWidth="1"/>
    <col min="6230" max="6230" width="14.109375" style="3" customWidth="1"/>
    <col min="6231" max="6231" width="14.109375" style="3" bestFit="1" customWidth="1"/>
    <col min="6232" max="6233" width="13.109375" style="3" bestFit="1" customWidth="1"/>
    <col min="6234" max="6234" width="14" style="3" customWidth="1"/>
    <col min="6235" max="6235" width="13.109375" style="3" customWidth="1"/>
    <col min="6236" max="6236" width="16.44140625" style="3" customWidth="1"/>
    <col min="6237" max="6237" width="18.5546875" style="3" customWidth="1"/>
    <col min="6238" max="6238" width="8.109375" style="3" bestFit="1" customWidth="1"/>
    <col min="6239" max="6481" width="58.33203125" style="3"/>
    <col min="6482" max="6482" width="9" style="3" customWidth="1"/>
    <col min="6483" max="6483" width="60.33203125" style="3" customWidth="1"/>
    <col min="6484" max="6484" width="15.6640625" style="3" bestFit="1" customWidth="1"/>
    <col min="6485" max="6485" width="14.109375" style="3" bestFit="1" customWidth="1"/>
    <col min="6486" max="6486" width="14.109375" style="3" customWidth="1"/>
    <col min="6487" max="6487" width="14.109375" style="3" bestFit="1" customWidth="1"/>
    <col min="6488" max="6489" width="13.109375" style="3" bestFit="1" customWidth="1"/>
    <col min="6490" max="6490" width="14" style="3" customWidth="1"/>
    <col min="6491" max="6491" width="13.109375" style="3" customWidth="1"/>
    <col min="6492" max="6492" width="16.44140625" style="3" customWidth="1"/>
    <col min="6493" max="6493" width="18.5546875" style="3" customWidth="1"/>
    <col min="6494" max="6494" width="8.109375" style="3" bestFit="1" customWidth="1"/>
    <col min="6495" max="6737" width="58.33203125" style="3"/>
    <col min="6738" max="6738" width="9" style="3" customWidth="1"/>
    <col min="6739" max="6739" width="60.33203125" style="3" customWidth="1"/>
    <col min="6740" max="6740" width="15.6640625" style="3" bestFit="1" customWidth="1"/>
    <col min="6741" max="6741" width="14.109375" style="3" bestFit="1" customWidth="1"/>
    <col min="6742" max="6742" width="14.109375" style="3" customWidth="1"/>
    <col min="6743" max="6743" width="14.109375" style="3" bestFit="1" customWidth="1"/>
    <col min="6744" max="6745" width="13.109375" style="3" bestFit="1" customWidth="1"/>
    <col min="6746" max="6746" width="14" style="3" customWidth="1"/>
    <col min="6747" max="6747" width="13.109375" style="3" customWidth="1"/>
    <col min="6748" max="6748" width="16.44140625" style="3" customWidth="1"/>
    <col min="6749" max="6749" width="18.5546875" style="3" customWidth="1"/>
    <col min="6750" max="6750" width="8.109375" style="3" bestFit="1" customWidth="1"/>
    <col min="6751" max="6993" width="58.33203125" style="3"/>
    <col min="6994" max="6994" width="9" style="3" customWidth="1"/>
    <col min="6995" max="6995" width="60.33203125" style="3" customWidth="1"/>
    <col min="6996" max="6996" width="15.6640625" style="3" bestFit="1" customWidth="1"/>
    <col min="6997" max="6997" width="14.109375" style="3" bestFit="1" customWidth="1"/>
    <col min="6998" max="6998" width="14.109375" style="3" customWidth="1"/>
    <col min="6999" max="6999" width="14.109375" style="3" bestFit="1" customWidth="1"/>
    <col min="7000" max="7001" width="13.109375" style="3" bestFit="1" customWidth="1"/>
    <col min="7002" max="7002" width="14" style="3" customWidth="1"/>
    <col min="7003" max="7003" width="13.109375" style="3" customWidth="1"/>
    <col min="7004" max="7004" width="16.44140625" style="3" customWidth="1"/>
    <col min="7005" max="7005" width="18.5546875" style="3" customWidth="1"/>
    <col min="7006" max="7006" width="8.109375" style="3" bestFit="1" customWidth="1"/>
    <col min="7007" max="7249" width="58.33203125" style="3"/>
    <col min="7250" max="7250" width="9" style="3" customWidth="1"/>
    <col min="7251" max="7251" width="60.33203125" style="3" customWidth="1"/>
    <col min="7252" max="7252" width="15.6640625" style="3" bestFit="1" customWidth="1"/>
    <col min="7253" max="7253" width="14.109375" style="3" bestFit="1" customWidth="1"/>
    <col min="7254" max="7254" width="14.109375" style="3" customWidth="1"/>
    <col min="7255" max="7255" width="14.109375" style="3" bestFit="1" customWidth="1"/>
    <col min="7256" max="7257" width="13.109375" style="3" bestFit="1" customWidth="1"/>
    <col min="7258" max="7258" width="14" style="3" customWidth="1"/>
    <col min="7259" max="7259" width="13.109375" style="3" customWidth="1"/>
    <col min="7260" max="7260" width="16.44140625" style="3" customWidth="1"/>
    <col min="7261" max="7261" width="18.5546875" style="3" customWidth="1"/>
    <col min="7262" max="7262" width="8.109375" style="3" bestFit="1" customWidth="1"/>
    <col min="7263" max="7505" width="58.33203125" style="3"/>
    <col min="7506" max="7506" width="9" style="3" customWidth="1"/>
    <col min="7507" max="7507" width="60.33203125" style="3" customWidth="1"/>
    <col min="7508" max="7508" width="15.6640625" style="3" bestFit="1" customWidth="1"/>
    <col min="7509" max="7509" width="14.109375" style="3" bestFit="1" customWidth="1"/>
    <col min="7510" max="7510" width="14.109375" style="3" customWidth="1"/>
    <col min="7511" max="7511" width="14.109375" style="3" bestFit="1" customWidth="1"/>
    <col min="7512" max="7513" width="13.109375" style="3" bestFit="1" customWidth="1"/>
    <col min="7514" max="7514" width="14" style="3" customWidth="1"/>
    <col min="7515" max="7515" width="13.109375" style="3" customWidth="1"/>
    <col min="7516" max="7516" width="16.44140625" style="3" customWidth="1"/>
    <col min="7517" max="7517" width="18.5546875" style="3" customWidth="1"/>
    <col min="7518" max="7518" width="8.109375" style="3" bestFit="1" customWidth="1"/>
    <col min="7519" max="7761" width="58.33203125" style="3"/>
    <col min="7762" max="7762" width="9" style="3" customWidth="1"/>
    <col min="7763" max="7763" width="60.33203125" style="3" customWidth="1"/>
    <col min="7764" max="7764" width="15.6640625" style="3" bestFit="1" customWidth="1"/>
    <col min="7765" max="7765" width="14.109375" style="3" bestFit="1" customWidth="1"/>
    <col min="7766" max="7766" width="14.109375" style="3" customWidth="1"/>
    <col min="7767" max="7767" width="14.109375" style="3" bestFit="1" customWidth="1"/>
    <col min="7768" max="7769" width="13.109375" style="3" bestFit="1" customWidth="1"/>
    <col min="7770" max="7770" width="14" style="3" customWidth="1"/>
    <col min="7771" max="7771" width="13.109375" style="3" customWidth="1"/>
    <col min="7772" max="7772" width="16.44140625" style="3" customWidth="1"/>
    <col min="7773" max="7773" width="18.5546875" style="3" customWidth="1"/>
    <col min="7774" max="7774" width="8.109375" style="3" bestFit="1" customWidth="1"/>
    <col min="7775" max="8017" width="58.33203125" style="3"/>
    <col min="8018" max="8018" width="9" style="3" customWidth="1"/>
    <col min="8019" max="8019" width="60.33203125" style="3" customWidth="1"/>
    <col min="8020" max="8020" width="15.6640625" style="3" bestFit="1" customWidth="1"/>
    <col min="8021" max="8021" width="14.109375" style="3" bestFit="1" customWidth="1"/>
    <col min="8022" max="8022" width="14.109375" style="3" customWidth="1"/>
    <col min="8023" max="8023" width="14.109375" style="3" bestFit="1" customWidth="1"/>
    <col min="8024" max="8025" width="13.109375" style="3" bestFit="1" customWidth="1"/>
    <col min="8026" max="8026" width="14" style="3" customWidth="1"/>
    <col min="8027" max="8027" width="13.109375" style="3" customWidth="1"/>
    <col min="8028" max="8028" width="16.44140625" style="3" customWidth="1"/>
    <col min="8029" max="8029" width="18.5546875" style="3" customWidth="1"/>
    <col min="8030" max="8030" width="8.109375" style="3" bestFit="1" customWidth="1"/>
    <col min="8031" max="8273" width="58.33203125" style="3"/>
    <col min="8274" max="8274" width="9" style="3" customWidth="1"/>
    <col min="8275" max="8275" width="60.33203125" style="3" customWidth="1"/>
    <col min="8276" max="8276" width="15.6640625" style="3" bestFit="1" customWidth="1"/>
    <col min="8277" max="8277" width="14.109375" style="3" bestFit="1" customWidth="1"/>
    <col min="8278" max="8278" width="14.109375" style="3" customWidth="1"/>
    <col min="8279" max="8279" width="14.109375" style="3" bestFit="1" customWidth="1"/>
    <col min="8280" max="8281" width="13.109375" style="3" bestFit="1" customWidth="1"/>
    <col min="8282" max="8282" width="14" style="3" customWidth="1"/>
    <col min="8283" max="8283" width="13.109375" style="3" customWidth="1"/>
    <col min="8284" max="8284" width="16.44140625" style="3" customWidth="1"/>
    <col min="8285" max="8285" width="18.5546875" style="3" customWidth="1"/>
    <col min="8286" max="8286" width="8.109375" style="3" bestFit="1" customWidth="1"/>
    <col min="8287" max="8529" width="58.33203125" style="3"/>
    <col min="8530" max="8530" width="9" style="3" customWidth="1"/>
    <col min="8531" max="8531" width="60.33203125" style="3" customWidth="1"/>
    <col min="8532" max="8532" width="15.6640625" style="3" bestFit="1" customWidth="1"/>
    <col min="8533" max="8533" width="14.109375" style="3" bestFit="1" customWidth="1"/>
    <col min="8534" max="8534" width="14.109375" style="3" customWidth="1"/>
    <col min="8535" max="8535" width="14.109375" style="3" bestFit="1" customWidth="1"/>
    <col min="8536" max="8537" width="13.109375" style="3" bestFit="1" customWidth="1"/>
    <col min="8538" max="8538" width="14" style="3" customWidth="1"/>
    <col min="8539" max="8539" width="13.109375" style="3" customWidth="1"/>
    <col min="8540" max="8540" width="16.44140625" style="3" customWidth="1"/>
    <col min="8541" max="8541" width="18.5546875" style="3" customWidth="1"/>
    <col min="8542" max="8542" width="8.109375" style="3" bestFit="1" customWidth="1"/>
    <col min="8543" max="8785" width="58.33203125" style="3"/>
    <col min="8786" max="8786" width="9" style="3" customWidth="1"/>
    <col min="8787" max="8787" width="60.33203125" style="3" customWidth="1"/>
    <col min="8788" max="8788" width="15.6640625" style="3" bestFit="1" customWidth="1"/>
    <col min="8789" max="8789" width="14.109375" style="3" bestFit="1" customWidth="1"/>
    <col min="8790" max="8790" width="14.109375" style="3" customWidth="1"/>
    <col min="8791" max="8791" width="14.109375" style="3" bestFit="1" customWidth="1"/>
    <col min="8792" max="8793" width="13.109375" style="3" bestFit="1" customWidth="1"/>
    <col min="8794" max="8794" width="14" style="3" customWidth="1"/>
    <col min="8795" max="8795" width="13.109375" style="3" customWidth="1"/>
    <col min="8796" max="8796" width="16.44140625" style="3" customWidth="1"/>
    <col min="8797" max="8797" width="18.5546875" style="3" customWidth="1"/>
    <col min="8798" max="8798" width="8.109375" style="3" bestFit="1" customWidth="1"/>
    <col min="8799" max="9041" width="58.33203125" style="3"/>
    <col min="9042" max="9042" width="9" style="3" customWidth="1"/>
    <col min="9043" max="9043" width="60.33203125" style="3" customWidth="1"/>
    <col min="9044" max="9044" width="15.6640625" style="3" bestFit="1" customWidth="1"/>
    <col min="9045" max="9045" width="14.109375" style="3" bestFit="1" customWidth="1"/>
    <col min="9046" max="9046" width="14.109375" style="3" customWidth="1"/>
    <col min="9047" max="9047" width="14.109375" style="3" bestFit="1" customWidth="1"/>
    <col min="9048" max="9049" width="13.109375" style="3" bestFit="1" customWidth="1"/>
    <col min="9050" max="9050" width="14" style="3" customWidth="1"/>
    <col min="9051" max="9051" width="13.109375" style="3" customWidth="1"/>
    <col min="9052" max="9052" width="16.44140625" style="3" customWidth="1"/>
    <col min="9053" max="9053" width="18.5546875" style="3" customWidth="1"/>
    <col min="9054" max="9054" width="8.109375" style="3" bestFit="1" customWidth="1"/>
    <col min="9055" max="9297" width="58.33203125" style="3"/>
    <col min="9298" max="9298" width="9" style="3" customWidth="1"/>
    <col min="9299" max="9299" width="60.33203125" style="3" customWidth="1"/>
    <col min="9300" max="9300" width="15.6640625" style="3" bestFit="1" customWidth="1"/>
    <col min="9301" max="9301" width="14.109375" style="3" bestFit="1" customWidth="1"/>
    <col min="9302" max="9302" width="14.109375" style="3" customWidth="1"/>
    <col min="9303" max="9303" width="14.109375" style="3" bestFit="1" customWidth="1"/>
    <col min="9304" max="9305" width="13.109375" style="3" bestFit="1" customWidth="1"/>
    <col min="9306" max="9306" width="14" style="3" customWidth="1"/>
    <col min="9307" max="9307" width="13.109375" style="3" customWidth="1"/>
    <col min="9308" max="9308" width="16.44140625" style="3" customWidth="1"/>
    <col min="9309" max="9309" width="18.5546875" style="3" customWidth="1"/>
    <col min="9310" max="9310" width="8.109375" style="3" bestFit="1" customWidth="1"/>
    <col min="9311" max="9553" width="58.33203125" style="3"/>
    <col min="9554" max="9554" width="9" style="3" customWidth="1"/>
    <col min="9555" max="9555" width="60.33203125" style="3" customWidth="1"/>
    <col min="9556" max="9556" width="15.6640625" style="3" bestFit="1" customWidth="1"/>
    <col min="9557" max="9557" width="14.109375" style="3" bestFit="1" customWidth="1"/>
    <col min="9558" max="9558" width="14.109375" style="3" customWidth="1"/>
    <col min="9559" max="9559" width="14.109375" style="3" bestFit="1" customWidth="1"/>
    <col min="9560" max="9561" width="13.109375" style="3" bestFit="1" customWidth="1"/>
    <col min="9562" max="9562" width="14" style="3" customWidth="1"/>
    <col min="9563" max="9563" width="13.109375" style="3" customWidth="1"/>
    <col min="9564" max="9564" width="16.44140625" style="3" customWidth="1"/>
    <col min="9565" max="9565" width="18.5546875" style="3" customWidth="1"/>
    <col min="9566" max="9566" width="8.109375" style="3" bestFit="1" customWidth="1"/>
    <col min="9567" max="9809" width="58.33203125" style="3"/>
    <col min="9810" max="9810" width="9" style="3" customWidth="1"/>
    <col min="9811" max="9811" width="60.33203125" style="3" customWidth="1"/>
    <col min="9812" max="9812" width="15.6640625" style="3" bestFit="1" customWidth="1"/>
    <col min="9813" max="9813" width="14.109375" style="3" bestFit="1" customWidth="1"/>
    <col min="9814" max="9814" width="14.109375" style="3" customWidth="1"/>
    <col min="9815" max="9815" width="14.109375" style="3" bestFit="1" customWidth="1"/>
    <col min="9816" max="9817" width="13.109375" style="3" bestFit="1" customWidth="1"/>
    <col min="9818" max="9818" width="14" style="3" customWidth="1"/>
    <col min="9819" max="9819" width="13.109375" style="3" customWidth="1"/>
    <col min="9820" max="9820" width="16.44140625" style="3" customWidth="1"/>
    <col min="9821" max="9821" width="18.5546875" style="3" customWidth="1"/>
    <col min="9822" max="9822" width="8.109375" style="3" bestFit="1" customWidth="1"/>
    <col min="9823" max="10065" width="58.33203125" style="3"/>
    <col min="10066" max="10066" width="9" style="3" customWidth="1"/>
    <col min="10067" max="10067" width="60.33203125" style="3" customWidth="1"/>
    <col min="10068" max="10068" width="15.6640625" style="3" bestFit="1" customWidth="1"/>
    <col min="10069" max="10069" width="14.109375" style="3" bestFit="1" customWidth="1"/>
    <col min="10070" max="10070" width="14.109375" style="3" customWidth="1"/>
    <col min="10071" max="10071" width="14.109375" style="3" bestFit="1" customWidth="1"/>
    <col min="10072" max="10073" width="13.109375" style="3" bestFit="1" customWidth="1"/>
    <col min="10074" max="10074" width="14" style="3" customWidth="1"/>
    <col min="10075" max="10075" width="13.109375" style="3" customWidth="1"/>
    <col min="10076" max="10076" width="16.44140625" style="3" customWidth="1"/>
    <col min="10077" max="10077" width="18.5546875" style="3" customWidth="1"/>
    <col min="10078" max="10078" width="8.109375" style="3" bestFit="1" customWidth="1"/>
    <col min="10079" max="10321" width="58.33203125" style="3"/>
    <col min="10322" max="10322" width="9" style="3" customWidth="1"/>
    <col min="10323" max="10323" width="60.33203125" style="3" customWidth="1"/>
    <col min="10324" max="10324" width="15.6640625" style="3" bestFit="1" customWidth="1"/>
    <col min="10325" max="10325" width="14.109375" style="3" bestFit="1" customWidth="1"/>
    <col min="10326" max="10326" width="14.109375" style="3" customWidth="1"/>
    <col min="10327" max="10327" width="14.109375" style="3" bestFit="1" customWidth="1"/>
    <col min="10328" max="10329" width="13.109375" style="3" bestFit="1" customWidth="1"/>
    <col min="10330" max="10330" width="14" style="3" customWidth="1"/>
    <col min="10331" max="10331" width="13.109375" style="3" customWidth="1"/>
    <col min="10332" max="10332" width="16.44140625" style="3" customWidth="1"/>
    <col min="10333" max="10333" width="18.5546875" style="3" customWidth="1"/>
    <col min="10334" max="10334" width="8.109375" style="3" bestFit="1" customWidth="1"/>
    <col min="10335" max="10577" width="58.33203125" style="3"/>
    <col min="10578" max="10578" width="9" style="3" customWidth="1"/>
    <col min="10579" max="10579" width="60.33203125" style="3" customWidth="1"/>
    <col min="10580" max="10580" width="15.6640625" style="3" bestFit="1" customWidth="1"/>
    <col min="10581" max="10581" width="14.109375" style="3" bestFit="1" customWidth="1"/>
    <col min="10582" max="10582" width="14.109375" style="3" customWidth="1"/>
    <col min="10583" max="10583" width="14.109375" style="3" bestFit="1" customWidth="1"/>
    <col min="10584" max="10585" width="13.109375" style="3" bestFit="1" customWidth="1"/>
    <col min="10586" max="10586" width="14" style="3" customWidth="1"/>
    <col min="10587" max="10587" width="13.109375" style="3" customWidth="1"/>
    <col min="10588" max="10588" width="16.44140625" style="3" customWidth="1"/>
    <col min="10589" max="10589" width="18.5546875" style="3" customWidth="1"/>
    <col min="10590" max="10590" width="8.109375" style="3" bestFit="1" customWidth="1"/>
    <col min="10591" max="10833" width="58.33203125" style="3"/>
    <col min="10834" max="10834" width="9" style="3" customWidth="1"/>
    <col min="10835" max="10835" width="60.33203125" style="3" customWidth="1"/>
    <col min="10836" max="10836" width="15.6640625" style="3" bestFit="1" customWidth="1"/>
    <col min="10837" max="10837" width="14.109375" style="3" bestFit="1" customWidth="1"/>
    <col min="10838" max="10838" width="14.109375" style="3" customWidth="1"/>
    <col min="10839" max="10839" width="14.109375" style="3" bestFit="1" customWidth="1"/>
    <col min="10840" max="10841" width="13.109375" style="3" bestFit="1" customWidth="1"/>
    <col min="10842" max="10842" width="14" style="3" customWidth="1"/>
    <col min="10843" max="10843" width="13.109375" style="3" customWidth="1"/>
    <col min="10844" max="10844" width="16.44140625" style="3" customWidth="1"/>
    <col min="10845" max="10845" width="18.5546875" style="3" customWidth="1"/>
    <col min="10846" max="10846" width="8.109375" style="3" bestFit="1" customWidth="1"/>
    <col min="10847" max="11089" width="58.33203125" style="3"/>
    <col min="11090" max="11090" width="9" style="3" customWidth="1"/>
    <col min="11091" max="11091" width="60.33203125" style="3" customWidth="1"/>
    <col min="11092" max="11092" width="15.6640625" style="3" bestFit="1" customWidth="1"/>
    <col min="11093" max="11093" width="14.109375" style="3" bestFit="1" customWidth="1"/>
    <col min="11094" max="11094" width="14.109375" style="3" customWidth="1"/>
    <col min="11095" max="11095" width="14.109375" style="3" bestFit="1" customWidth="1"/>
    <col min="11096" max="11097" width="13.109375" style="3" bestFit="1" customWidth="1"/>
    <col min="11098" max="11098" width="14" style="3" customWidth="1"/>
    <col min="11099" max="11099" width="13.109375" style="3" customWidth="1"/>
    <col min="11100" max="11100" width="16.44140625" style="3" customWidth="1"/>
    <col min="11101" max="11101" width="18.5546875" style="3" customWidth="1"/>
    <col min="11102" max="11102" width="8.109375" style="3" bestFit="1" customWidth="1"/>
    <col min="11103" max="11345" width="58.33203125" style="3"/>
    <col min="11346" max="11346" width="9" style="3" customWidth="1"/>
    <col min="11347" max="11347" width="60.33203125" style="3" customWidth="1"/>
    <col min="11348" max="11348" width="15.6640625" style="3" bestFit="1" customWidth="1"/>
    <col min="11349" max="11349" width="14.109375" style="3" bestFit="1" customWidth="1"/>
    <col min="11350" max="11350" width="14.109375" style="3" customWidth="1"/>
    <col min="11351" max="11351" width="14.109375" style="3" bestFit="1" customWidth="1"/>
    <col min="11352" max="11353" width="13.109375" style="3" bestFit="1" customWidth="1"/>
    <col min="11354" max="11354" width="14" style="3" customWidth="1"/>
    <col min="11355" max="11355" width="13.109375" style="3" customWidth="1"/>
    <col min="11356" max="11356" width="16.44140625" style="3" customWidth="1"/>
    <col min="11357" max="11357" width="18.5546875" style="3" customWidth="1"/>
    <col min="11358" max="11358" width="8.109375" style="3" bestFit="1" customWidth="1"/>
    <col min="11359" max="11601" width="58.33203125" style="3"/>
    <col min="11602" max="11602" width="9" style="3" customWidth="1"/>
    <col min="11603" max="11603" width="60.33203125" style="3" customWidth="1"/>
    <col min="11604" max="11604" width="15.6640625" style="3" bestFit="1" customWidth="1"/>
    <col min="11605" max="11605" width="14.109375" style="3" bestFit="1" customWidth="1"/>
    <col min="11606" max="11606" width="14.109375" style="3" customWidth="1"/>
    <col min="11607" max="11607" width="14.109375" style="3" bestFit="1" customWidth="1"/>
    <col min="11608" max="11609" width="13.109375" style="3" bestFit="1" customWidth="1"/>
    <col min="11610" max="11610" width="14" style="3" customWidth="1"/>
    <col min="11611" max="11611" width="13.109375" style="3" customWidth="1"/>
    <col min="11612" max="11612" width="16.44140625" style="3" customWidth="1"/>
    <col min="11613" max="11613" width="18.5546875" style="3" customWidth="1"/>
    <col min="11614" max="11614" width="8.109375" style="3" bestFit="1" customWidth="1"/>
    <col min="11615" max="11857" width="58.33203125" style="3"/>
    <col min="11858" max="11858" width="9" style="3" customWidth="1"/>
    <col min="11859" max="11859" width="60.33203125" style="3" customWidth="1"/>
    <col min="11860" max="11860" width="15.6640625" style="3" bestFit="1" customWidth="1"/>
    <col min="11861" max="11861" width="14.109375" style="3" bestFit="1" customWidth="1"/>
    <col min="11862" max="11862" width="14.109375" style="3" customWidth="1"/>
    <col min="11863" max="11863" width="14.109375" style="3" bestFit="1" customWidth="1"/>
    <col min="11864" max="11865" width="13.109375" style="3" bestFit="1" customWidth="1"/>
    <col min="11866" max="11866" width="14" style="3" customWidth="1"/>
    <col min="11867" max="11867" width="13.109375" style="3" customWidth="1"/>
    <col min="11868" max="11868" width="16.44140625" style="3" customWidth="1"/>
    <col min="11869" max="11869" width="18.5546875" style="3" customWidth="1"/>
    <col min="11870" max="11870" width="8.109375" style="3" bestFit="1" customWidth="1"/>
    <col min="11871" max="12113" width="58.33203125" style="3"/>
    <col min="12114" max="12114" width="9" style="3" customWidth="1"/>
    <col min="12115" max="12115" width="60.33203125" style="3" customWidth="1"/>
    <col min="12116" max="12116" width="15.6640625" style="3" bestFit="1" customWidth="1"/>
    <col min="12117" max="12117" width="14.109375" style="3" bestFit="1" customWidth="1"/>
    <col min="12118" max="12118" width="14.109375" style="3" customWidth="1"/>
    <col min="12119" max="12119" width="14.109375" style="3" bestFit="1" customWidth="1"/>
    <col min="12120" max="12121" width="13.109375" style="3" bestFit="1" customWidth="1"/>
    <col min="12122" max="12122" width="14" style="3" customWidth="1"/>
    <col min="12123" max="12123" width="13.109375" style="3" customWidth="1"/>
    <col min="12124" max="12124" width="16.44140625" style="3" customWidth="1"/>
    <col min="12125" max="12125" width="18.5546875" style="3" customWidth="1"/>
    <col min="12126" max="12126" width="8.109375" style="3" bestFit="1" customWidth="1"/>
    <col min="12127" max="12369" width="58.33203125" style="3"/>
    <col min="12370" max="12370" width="9" style="3" customWidth="1"/>
    <col min="12371" max="12371" width="60.33203125" style="3" customWidth="1"/>
    <col min="12372" max="12372" width="15.6640625" style="3" bestFit="1" customWidth="1"/>
    <col min="12373" max="12373" width="14.109375" style="3" bestFit="1" customWidth="1"/>
    <col min="12374" max="12374" width="14.109375" style="3" customWidth="1"/>
    <col min="12375" max="12375" width="14.109375" style="3" bestFit="1" customWidth="1"/>
    <col min="12376" max="12377" width="13.109375" style="3" bestFit="1" customWidth="1"/>
    <col min="12378" max="12378" width="14" style="3" customWidth="1"/>
    <col min="12379" max="12379" width="13.109375" style="3" customWidth="1"/>
    <col min="12380" max="12380" width="16.44140625" style="3" customWidth="1"/>
    <col min="12381" max="12381" width="18.5546875" style="3" customWidth="1"/>
    <col min="12382" max="12382" width="8.109375" style="3" bestFit="1" customWidth="1"/>
    <col min="12383" max="12625" width="58.33203125" style="3"/>
    <col min="12626" max="12626" width="9" style="3" customWidth="1"/>
    <col min="12627" max="12627" width="60.33203125" style="3" customWidth="1"/>
    <col min="12628" max="12628" width="15.6640625" style="3" bestFit="1" customWidth="1"/>
    <col min="12629" max="12629" width="14.109375" style="3" bestFit="1" customWidth="1"/>
    <col min="12630" max="12630" width="14.109375" style="3" customWidth="1"/>
    <col min="12631" max="12631" width="14.109375" style="3" bestFit="1" customWidth="1"/>
    <col min="12632" max="12633" width="13.109375" style="3" bestFit="1" customWidth="1"/>
    <col min="12634" max="12634" width="14" style="3" customWidth="1"/>
    <col min="12635" max="12635" width="13.109375" style="3" customWidth="1"/>
    <col min="12636" max="12636" width="16.44140625" style="3" customWidth="1"/>
    <col min="12637" max="12637" width="18.5546875" style="3" customWidth="1"/>
    <col min="12638" max="12638" width="8.109375" style="3" bestFit="1" customWidth="1"/>
    <col min="12639" max="12881" width="58.33203125" style="3"/>
    <col min="12882" max="12882" width="9" style="3" customWidth="1"/>
    <col min="12883" max="12883" width="60.33203125" style="3" customWidth="1"/>
    <col min="12884" max="12884" width="15.6640625" style="3" bestFit="1" customWidth="1"/>
    <col min="12885" max="12885" width="14.109375" style="3" bestFit="1" customWidth="1"/>
    <col min="12886" max="12886" width="14.109375" style="3" customWidth="1"/>
    <col min="12887" max="12887" width="14.109375" style="3" bestFit="1" customWidth="1"/>
    <col min="12888" max="12889" width="13.109375" style="3" bestFit="1" customWidth="1"/>
    <col min="12890" max="12890" width="14" style="3" customWidth="1"/>
    <col min="12891" max="12891" width="13.109375" style="3" customWidth="1"/>
    <col min="12892" max="12892" width="16.44140625" style="3" customWidth="1"/>
    <col min="12893" max="12893" width="18.5546875" style="3" customWidth="1"/>
    <col min="12894" max="12894" width="8.109375" style="3" bestFit="1" customWidth="1"/>
    <col min="12895" max="13137" width="58.33203125" style="3"/>
    <col min="13138" max="13138" width="9" style="3" customWidth="1"/>
    <col min="13139" max="13139" width="60.33203125" style="3" customWidth="1"/>
    <col min="13140" max="13140" width="15.6640625" style="3" bestFit="1" customWidth="1"/>
    <col min="13141" max="13141" width="14.109375" style="3" bestFit="1" customWidth="1"/>
    <col min="13142" max="13142" width="14.109375" style="3" customWidth="1"/>
    <col min="13143" max="13143" width="14.109375" style="3" bestFit="1" customWidth="1"/>
    <col min="13144" max="13145" width="13.109375" style="3" bestFit="1" customWidth="1"/>
    <col min="13146" max="13146" width="14" style="3" customWidth="1"/>
    <col min="13147" max="13147" width="13.109375" style="3" customWidth="1"/>
    <col min="13148" max="13148" width="16.44140625" style="3" customWidth="1"/>
    <col min="13149" max="13149" width="18.5546875" style="3" customWidth="1"/>
    <col min="13150" max="13150" width="8.109375" style="3" bestFit="1" customWidth="1"/>
    <col min="13151" max="13393" width="58.33203125" style="3"/>
    <col min="13394" max="13394" width="9" style="3" customWidth="1"/>
    <col min="13395" max="13395" width="60.33203125" style="3" customWidth="1"/>
    <col min="13396" max="13396" width="15.6640625" style="3" bestFit="1" customWidth="1"/>
    <col min="13397" max="13397" width="14.109375" style="3" bestFit="1" customWidth="1"/>
    <col min="13398" max="13398" width="14.109375" style="3" customWidth="1"/>
    <col min="13399" max="13399" width="14.109375" style="3" bestFit="1" customWidth="1"/>
    <col min="13400" max="13401" width="13.109375" style="3" bestFit="1" customWidth="1"/>
    <col min="13402" max="13402" width="14" style="3" customWidth="1"/>
    <col min="13403" max="13403" width="13.109375" style="3" customWidth="1"/>
    <col min="13404" max="13404" width="16.44140625" style="3" customWidth="1"/>
    <col min="13405" max="13405" width="18.5546875" style="3" customWidth="1"/>
    <col min="13406" max="13406" width="8.109375" style="3" bestFit="1" customWidth="1"/>
    <col min="13407" max="13649" width="58.33203125" style="3"/>
    <col min="13650" max="13650" width="9" style="3" customWidth="1"/>
    <col min="13651" max="13651" width="60.33203125" style="3" customWidth="1"/>
    <col min="13652" max="13652" width="15.6640625" style="3" bestFit="1" customWidth="1"/>
    <col min="13653" max="13653" width="14.109375" style="3" bestFit="1" customWidth="1"/>
    <col min="13654" max="13654" width="14.109375" style="3" customWidth="1"/>
    <col min="13655" max="13655" width="14.109375" style="3" bestFit="1" customWidth="1"/>
    <col min="13656" max="13657" width="13.109375" style="3" bestFit="1" customWidth="1"/>
    <col min="13658" max="13658" width="14" style="3" customWidth="1"/>
    <col min="13659" max="13659" width="13.109375" style="3" customWidth="1"/>
    <col min="13660" max="13660" width="16.44140625" style="3" customWidth="1"/>
    <col min="13661" max="13661" width="18.5546875" style="3" customWidth="1"/>
    <col min="13662" max="13662" width="8.109375" style="3" bestFit="1" customWidth="1"/>
    <col min="13663" max="13905" width="58.33203125" style="3"/>
    <col min="13906" max="13906" width="9" style="3" customWidth="1"/>
    <col min="13907" max="13907" width="60.33203125" style="3" customWidth="1"/>
    <col min="13908" max="13908" width="15.6640625" style="3" bestFit="1" customWidth="1"/>
    <col min="13909" max="13909" width="14.109375" style="3" bestFit="1" customWidth="1"/>
    <col min="13910" max="13910" width="14.109375" style="3" customWidth="1"/>
    <col min="13911" max="13911" width="14.109375" style="3" bestFit="1" customWidth="1"/>
    <col min="13912" max="13913" width="13.109375" style="3" bestFit="1" customWidth="1"/>
    <col min="13914" max="13914" width="14" style="3" customWidth="1"/>
    <col min="13915" max="13915" width="13.109375" style="3" customWidth="1"/>
    <col min="13916" max="13916" width="16.44140625" style="3" customWidth="1"/>
    <col min="13917" max="13917" width="18.5546875" style="3" customWidth="1"/>
    <col min="13918" max="13918" width="8.109375" style="3" bestFit="1" customWidth="1"/>
    <col min="13919" max="14161" width="58.33203125" style="3"/>
    <col min="14162" max="14162" width="9" style="3" customWidth="1"/>
    <col min="14163" max="14163" width="60.33203125" style="3" customWidth="1"/>
    <col min="14164" max="14164" width="15.6640625" style="3" bestFit="1" customWidth="1"/>
    <col min="14165" max="14165" width="14.109375" style="3" bestFit="1" customWidth="1"/>
    <col min="14166" max="14166" width="14.109375" style="3" customWidth="1"/>
    <col min="14167" max="14167" width="14.109375" style="3" bestFit="1" customWidth="1"/>
    <col min="14168" max="14169" width="13.109375" style="3" bestFit="1" customWidth="1"/>
    <col min="14170" max="14170" width="14" style="3" customWidth="1"/>
    <col min="14171" max="14171" width="13.109375" style="3" customWidth="1"/>
    <col min="14172" max="14172" width="16.44140625" style="3" customWidth="1"/>
    <col min="14173" max="14173" width="18.5546875" style="3" customWidth="1"/>
    <col min="14174" max="14174" width="8.109375" style="3" bestFit="1" customWidth="1"/>
    <col min="14175" max="14417" width="58.33203125" style="3"/>
    <col min="14418" max="14418" width="9" style="3" customWidth="1"/>
    <col min="14419" max="14419" width="60.33203125" style="3" customWidth="1"/>
    <col min="14420" max="14420" width="15.6640625" style="3" bestFit="1" customWidth="1"/>
    <col min="14421" max="14421" width="14.109375" style="3" bestFit="1" customWidth="1"/>
    <col min="14422" max="14422" width="14.109375" style="3" customWidth="1"/>
    <col min="14423" max="14423" width="14.109375" style="3" bestFit="1" customWidth="1"/>
    <col min="14424" max="14425" width="13.109375" style="3" bestFit="1" customWidth="1"/>
    <col min="14426" max="14426" width="14" style="3" customWidth="1"/>
    <col min="14427" max="14427" width="13.109375" style="3" customWidth="1"/>
    <col min="14428" max="14428" width="16.44140625" style="3" customWidth="1"/>
    <col min="14429" max="14429" width="18.5546875" style="3" customWidth="1"/>
    <col min="14430" max="14430" width="8.109375" style="3" bestFit="1" customWidth="1"/>
    <col min="14431" max="14673" width="58.33203125" style="3"/>
    <col min="14674" max="14674" width="9" style="3" customWidth="1"/>
    <col min="14675" max="14675" width="60.33203125" style="3" customWidth="1"/>
    <col min="14676" max="14676" width="15.6640625" style="3" bestFit="1" customWidth="1"/>
    <col min="14677" max="14677" width="14.109375" style="3" bestFit="1" customWidth="1"/>
    <col min="14678" max="14678" width="14.109375" style="3" customWidth="1"/>
    <col min="14679" max="14679" width="14.109375" style="3" bestFit="1" customWidth="1"/>
    <col min="14680" max="14681" width="13.109375" style="3" bestFit="1" customWidth="1"/>
    <col min="14682" max="14682" width="14" style="3" customWidth="1"/>
    <col min="14683" max="14683" width="13.109375" style="3" customWidth="1"/>
    <col min="14684" max="14684" width="16.44140625" style="3" customWidth="1"/>
    <col min="14685" max="14685" width="18.5546875" style="3" customWidth="1"/>
    <col min="14686" max="14686" width="8.109375" style="3" bestFit="1" customWidth="1"/>
    <col min="14687" max="14929" width="58.33203125" style="3"/>
    <col min="14930" max="14930" width="9" style="3" customWidth="1"/>
    <col min="14931" max="14931" width="60.33203125" style="3" customWidth="1"/>
    <col min="14932" max="14932" width="15.6640625" style="3" bestFit="1" customWidth="1"/>
    <col min="14933" max="14933" width="14.109375" style="3" bestFit="1" customWidth="1"/>
    <col min="14934" max="14934" width="14.109375" style="3" customWidth="1"/>
    <col min="14935" max="14935" width="14.109375" style="3" bestFit="1" customWidth="1"/>
    <col min="14936" max="14937" width="13.109375" style="3" bestFit="1" customWidth="1"/>
    <col min="14938" max="14938" width="14" style="3" customWidth="1"/>
    <col min="14939" max="14939" width="13.109375" style="3" customWidth="1"/>
    <col min="14940" max="14940" width="16.44140625" style="3" customWidth="1"/>
    <col min="14941" max="14941" width="18.5546875" style="3" customWidth="1"/>
    <col min="14942" max="14942" width="8.109375" style="3" bestFit="1" customWidth="1"/>
    <col min="14943" max="15185" width="58.33203125" style="3"/>
    <col min="15186" max="15186" width="9" style="3" customWidth="1"/>
    <col min="15187" max="15187" width="60.33203125" style="3" customWidth="1"/>
    <col min="15188" max="15188" width="15.6640625" style="3" bestFit="1" customWidth="1"/>
    <col min="15189" max="15189" width="14.109375" style="3" bestFit="1" customWidth="1"/>
    <col min="15190" max="15190" width="14.109375" style="3" customWidth="1"/>
    <col min="15191" max="15191" width="14.109375" style="3" bestFit="1" customWidth="1"/>
    <col min="15192" max="15193" width="13.109375" style="3" bestFit="1" customWidth="1"/>
    <col min="15194" max="15194" width="14" style="3" customWidth="1"/>
    <col min="15195" max="15195" width="13.109375" style="3" customWidth="1"/>
    <col min="15196" max="15196" width="16.44140625" style="3" customWidth="1"/>
    <col min="15197" max="15197" width="18.5546875" style="3" customWidth="1"/>
    <col min="15198" max="15198" width="8.109375" style="3" bestFit="1" customWidth="1"/>
    <col min="15199" max="15441" width="58.33203125" style="3"/>
    <col min="15442" max="15442" width="9" style="3" customWidth="1"/>
    <col min="15443" max="15443" width="60.33203125" style="3" customWidth="1"/>
    <col min="15444" max="15444" width="15.6640625" style="3" bestFit="1" customWidth="1"/>
    <col min="15445" max="15445" width="14.109375" style="3" bestFit="1" customWidth="1"/>
    <col min="15446" max="15446" width="14.109375" style="3" customWidth="1"/>
    <col min="15447" max="15447" width="14.109375" style="3" bestFit="1" customWidth="1"/>
    <col min="15448" max="15449" width="13.109375" style="3" bestFit="1" customWidth="1"/>
    <col min="15450" max="15450" width="14" style="3" customWidth="1"/>
    <col min="15451" max="15451" width="13.109375" style="3" customWidth="1"/>
    <col min="15452" max="15452" width="16.44140625" style="3" customWidth="1"/>
    <col min="15453" max="15453" width="18.5546875" style="3" customWidth="1"/>
    <col min="15454" max="15454" width="8.109375" style="3" bestFit="1" customWidth="1"/>
    <col min="15455" max="15697" width="58.33203125" style="3"/>
    <col min="15698" max="15698" width="9" style="3" customWidth="1"/>
    <col min="15699" max="15699" width="60.33203125" style="3" customWidth="1"/>
    <col min="15700" max="15700" width="15.6640625" style="3" bestFit="1" customWidth="1"/>
    <col min="15701" max="15701" width="14.109375" style="3" bestFit="1" customWidth="1"/>
    <col min="15702" max="15702" width="14.109375" style="3" customWidth="1"/>
    <col min="15703" max="15703" width="14.109375" style="3" bestFit="1" customWidth="1"/>
    <col min="15704" max="15705" width="13.109375" style="3" bestFit="1" customWidth="1"/>
    <col min="15706" max="15706" width="14" style="3" customWidth="1"/>
    <col min="15707" max="15707" width="13.109375" style="3" customWidth="1"/>
    <col min="15708" max="15708" width="16.44140625" style="3" customWidth="1"/>
    <col min="15709" max="15709" width="18.5546875" style="3" customWidth="1"/>
    <col min="15710" max="15710" width="8.109375" style="3" bestFit="1" customWidth="1"/>
    <col min="15711" max="15953" width="58.33203125" style="3"/>
    <col min="15954" max="15954" width="9" style="3" customWidth="1"/>
    <col min="15955" max="15955" width="60.33203125" style="3" customWidth="1"/>
    <col min="15956" max="15956" width="15.6640625" style="3" bestFit="1" customWidth="1"/>
    <col min="15957" max="15957" width="14.109375" style="3" bestFit="1" customWidth="1"/>
    <col min="15958" max="15958" width="14.109375" style="3" customWidth="1"/>
    <col min="15959" max="15959" width="14.109375" style="3" bestFit="1" customWidth="1"/>
    <col min="15960" max="15961" width="13.109375" style="3" bestFit="1" customWidth="1"/>
    <col min="15962" max="15962" width="14" style="3" customWidth="1"/>
    <col min="15963" max="15963" width="13.109375" style="3" customWidth="1"/>
    <col min="15964" max="15964" width="16.44140625" style="3" customWidth="1"/>
    <col min="15965" max="15965" width="18.5546875" style="3" customWidth="1"/>
    <col min="15966" max="15966" width="8.109375" style="3" bestFit="1" customWidth="1"/>
    <col min="15967" max="16384" width="58.33203125" style="3"/>
  </cols>
  <sheetData>
    <row r="1" spans="1:11" x14ac:dyDescent="0.3">
      <c r="H1" s="10"/>
      <c r="I1" s="10"/>
      <c r="J1" s="94" t="s">
        <v>63</v>
      </c>
      <c r="K1" s="94"/>
    </row>
    <row r="2" spans="1:11" x14ac:dyDescent="0.3">
      <c r="H2" s="94" t="s">
        <v>64</v>
      </c>
      <c r="I2" s="94"/>
      <c r="J2" s="94"/>
      <c r="K2" s="94"/>
    </row>
    <row r="3" spans="1:11" x14ac:dyDescent="0.3">
      <c r="H3" s="10"/>
      <c r="I3" s="94" t="s">
        <v>69</v>
      </c>
      <c r="J3" s="94"/>
      <c r="K3" s="94"/>
    </row>
    <row r="4" spans="1:11" x14ac:dyDescent="0.3">
      <c r="H4" s="94" t="s">
        <v>70</v>
      </c>
      <c r="I4" s="94"/>
      <c r="J4" s="94"/>
      <c r="K4" s="94"/>
    </row>
    <row r="5" spans="1:11" x14ac:dyDescent="0.3">
      <c r="H5" s="10"/>
      <c r="I5" s="94" t="s">
        <v>62</v>
      </c>
      <c r="J5" s="94"/>
      <c r="K5" s="94"/>
    </row>
    <row r="6" spans="1:11" ht="9.6" customHeight="1" x14ac:dyDescent="0.3">
      <c r="H6" s="10"/>
      <c r="I6" s="10"/>
      <c r="J6" s="10"/>
      <c r="K6" s="10"/>
    </row>
    <row r="7" spans="1:11" s="7" customFormat="1" ht="15.75" customHeight="1" x14ac:dyDescent="0.3">
      <c r="A7" s="4"/>
      <c r="B7" s="5"/>
      <c r="C7" s="6"/>
      <c r="D7" s="6"/>
      <c r="E7" s="6"/>
      <c r="F7" s="6"/>
      <c r="G7" s="6"/>
      <c r="I7" s="6"/>
      <c r="J7" s="6"/>
      <c r="K7" s="59" t="s">
        <v>63</v>
      </c>
    </row>
    <row r="8" spans="1:11" s="7" customFormat="1" ht="15.75" customHeight="1" x14ac:dyDescent="0.3">
      <c r="A8" s="4"/>
      <c r="B8" s="5"/>
      <c r="C8" s="6"/>
      <c r="D8" s="6"/>
      <c r="E8" s="6"/>
      <c r="F8" s="6"/>
      <c r="G8" s="6"/>
      <c r="I8" s="6"/>
      <c r="J8" s="6"/>
      <c r="K8" s="59" t="s">
        <v>64</v>
      </c>
    </row>
    <row r="9" spans="1:11" s="7" customFormat="1" ht="15.75" customHeight="1" x14ac:dyDescent="0.3">
      <c r="A9" s="4"/>
      <c r="B9" s="5"/>
      <c r="C9" s="6"/>
      <c r="D9" s="6"/>
      <c r="E9" s="6"/>
      <c r="F9" s="6"/>
      <c r="G9" s="6"/>
      <c r="I9" s="6"/>
      <c r="J9" s="6"/>
      <c r="K9" s="59" t="s">
        <v>62</v>
      </c>
    </row>
    <row r="10" spans="1:11" s="7" customFormat="1" ht="10.8" customHeight="1" x14ac:dyDescent="0.3">
      <c r="A10" s="4"/>
      <c r="B10" s="5"/>
      <c r="C10" s="6"/>
      <c r="D10" s="6"/>
      <c r="E10" s="6"/>
      <c r="F10" s="6"/>
      <c r="G10" s="6"/>
      <c r="H10" s="8"/>
      <c r="I10" s="8"/>
      <c r="J10" s="8"/>
      <c r="K10" s="8"/>
    </row>
    <row r="11" spans="1:11" x14ac:dyDescent="0.3">
      <c r="A11" s="93" t="s">
        <v>61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6.2" thickBot="1" x14ac:dyDescent="0.35">
      <c r="B12" s="9"/>
      <c r="D12" s="10"/>
      <c r="E12" s="10"/>
      <c r="F12" s="10"/>
      <c r="G12" s="10"/>
      <c r="H12" s="10"/>
      <c r="I12" s="11"/>
      <c r="J12" s="10"/>
      <c r="K12" s="64" t="s">
        <v>0</v>
      </c>
    </row>
    <row r="13" spans="1:11" s="16" customFormat="1" ht="31.8" thickBot="1" x14ac:dyDescent="0.35">
      <c r="A13" s="12" t="s">
        <v>1</v>
      </c>
      <c r="B13" s="13" t="s">
        <v>2</v>
      </c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5" t="s">
        <v>11</v>
      </c>
    </row>
    <row r="14" spans="1:11" s="16" customFormat="1" x14ac:dyDescent="0.3">
      <c r="A14" s="17">
        <v>1000000</v>
      </c>
      <c r="B14" s="18" t="s">
        <v>12</v>
      </c>
      <c r="C14" s="19">
        <f t="shared" ref="C14:J14" si="0">SUM(C15+C26+C32+C41+C44)</f>
        <v>1269611663</v>
      </c>
      <c r="D14" s="19">
        <f t="shared" si="0"/>
        <v>126463146</v>
      </c>
      <c r="E14" s="19">
        <f t="shared" si="0"/>
        <v>121195277</v>
      </c>
      <c r="F14" s="19">
        <f t="shared" si="0"/>
        <v>70869648</v>
      </c>
      <c r="G14" s="19">
        <f t="shared" si="0"/>
        <v>30814025</v>
      </c>
      <c r="H14" s="19">
        <f t="shared" si="0"/>
        <v>48179628</v>
      </c>
      <c r="I14" s="19">
        <f t="shared" si="0"/>
        <v>29838288</v>
      </c>
      <c r="J14" s="19">
        <f t="shared" si="0"/>
        <v>8551543</v>
      </c>
      <c r="K14" s="20">
        <f>SUM(C14:J14)</f>
        <v>1705523218</v>
      </c>
    </row>
    <row r="15" spans="1:11" s="16" customFormat="1" x14ac:dyDescent="0.3">
      <c r="A15" s="21">
        <v>1010000</v>
      </c>
      <c r="B15" s="22" t="s">
        <v>13</v>
      </c>
      <c r="C15" s="23">
        <f t="shared" ref="C15:J15" si="1">SUM(C16+C17+C19+C20+C21+C22+C23+C24)</f>
        <v>814621910</v>
      </c>
      <c r="D15" s="23">
        <f t="shared" si="1"/>
        <v>123323833</v>
      </c>
      <c r="E15" s="23">
        <f t="shared" si="1"/>
        <v>111311953</v>
      </c>
      <c r="F15" s="23">
        <f t="shared" si="1"/>
        <v>50063075</v>
      </c>
      <c r="G15" s="23">
        <f t="shared" si="1"/>
        <v>26750406</v>
      </c>
      <c r="H15" s="23">
        <f t="shared" si="1"/>
        <v>40996333</v>
      </c>
      <c r="I15" s="23">
        <f t="shared" si="1"/>
        <v>18874844</v>
      </c>
      <c r="J15" s="23">
        <f t="shared" si="1"/>
        <v>7229898</v>
      </c>
      <c r="K15" s="24">
        <f t="shared" ref="K15" si="2">SUM(C15:J15)</f>
        <v>1193172252</v>
      </c>
    </row>
    <row r="16" spans="1:11" s="16" customFormat="1" x14ac:dyDescent="0.3">
      <c r="A16" s="21">
        <v>1010100</v>
      </c>
      <c r="B16" s="25" t="s">
        <v>14</v>
      </c>
      <c r="C16" s="23"/>
      <c r="D16" s="23"/>
      <c r="E16" s="23"/>
      <c r="F16" s="23"/>
      <c r="G16" s="23"/>
      <c r="H16" s="23"/>
      <c r="I16" s="23"/>
      <c r="J16" s="23"/>
      <c r="K16" s="24"/>
    </row>
    <row r="17" spans="1:11" s="16" customFormat="1" ht="31.2" x14ac:dyDescent="0.3">
      <c r="A17" s="21">
        <v>1010200</v>
      </c>
      <c r="B17" s="25" t="s">
        <v>15</v>
      </c>
      <c r="C17" s="23">
        <v>680185856</v>
      </c>
      <c r="D17" s="23">
        <f>198729092-95214361</f>
        <v>103514731</v>
      </c>
      <c r="E17" s="23">
        <f>118507308-15938940</f>
        <v>102568368</v>
      </c>
      <c r="F17" s="23">
        <f>78483135-33282727</f>
        <v>45200408</v>
      </c>
      <c r="G17" s="23">
        <f>37792950-14217426</f>
        <v>23575524</v>
      </c>
      <c r="H17" s="23">
        <f>65464569-28365876</f>
        <v>37098693</v>
      </c>
      <c r="I17" s="23">
        <f>18020385-2043534</f>
        <v>15976851</v>
      </c>
      <c r="J17" s="23">
        <f>14783100-9187655</f>
        <v>5595445</v>
      </c>
      <c r="K17" s="24">
        <f t="shared" ref="K17:K22" si="3">SUM(C17:J17)</f>
        <v>1013715876</v>
      </c>
    </row>
    <row r="18" spans="1:11" s="16" customFormat="1" ht="31.2" x14ac:dyDescent="0.3">
      <c r="A18" s="26">
        <v>1010290</v>
      </c>
      <c r="B18" s="27" t="s">
        <v>16</v>
      </c>
      <c r="C18" s="23"/>
      <c r="D18" s="23"/>
      <c r="E18" s="23"/>
      <c r="F18" s="23"/>
      <c r="G18" s="23"/>
      <c r="H18" s="23"/>
      <c r="I18" s="23"/>
      <c r="J18" s="23"/>
      <c r="K18" s="24"/>
    </row>
    <row r="19" spans="1:11" s="16" customFormat="1" x14ac:dyDescent="0.3">
      <c r="A19" s="21">
        <v>1010400</v>
      </c>
      <c r="B19" s="25" t="s">
        <v>17</v>
      </c>
      <c r="C19" s="23">
        <v>3810600</v>
      </c>
      <c r="D19" s="23">
        <v>0</v>
      </c>
      <c r="E19" s="23">
        <v>2227200</v>
      </c>
      <c r="F19" s="23">
        <v>939600</v>
      </c>
      <c r="G19" s="23">
        <v>1131000</v>
      </c>
      <c r="H19" s="23">
        <v>452400</v>
      </c>
      <c r="I19" s="23">
        <v>382800</v>
      </c>
      <c r="J19" s="23">
        <v>452400</v>
      </c>
      <c r="K19" s="24">
        <f t="shared" si="3"/>
        <v>9396000</v>
      </c>
    </row>
    <row r="20" spans="1:11" s="16" customFormat="1" ht="45" customHeight="1" x14ac:dyDescent="0.3">
      <c r="A20" s="21">
        <v>1010600</v>
      </c>
      <c r="B20" s="25" t="s">
        <v>72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4">
        <f t="shared" si="3"/>
        <v>0</v>
      </c>
    </row>
    <row r="21" spans="1:11" s="16" customFormat="1" ht="46.8" x14ac:dyDescent="0.3">
      <c r="A21" s="21">
        <v>1010601</v>
      </c>
      <c r="B21" s="25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4">
        <f t="shared" si="3"/>
        <v>0</v>
      </c>
    </row>
    <row r="22" spans="1:11" s="16" customFormat="1" x14ac:dyDescent="0.3">
      <c r="A22" s="21">
        <v>1010700</v>
      </c>
      <c r="B22" s="25" t="s">
        <v>19</v>
      </c>
      <c r="C22" s="23">
        <f>0+101081715</f>
        <v>101081715</v>
      </c>
      <c r="D22" s="23">
        <f>14859900+9350309-5042391</f>
        <v>19167818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4">
        <f t="shared" si="3"/>
        <v>120249533</v>
      </c>
    </row>
    <row r="23" spans="1:11" s="16" customFormat="1" ht="109.2" x14ac:dyDescent="0.3">
      <c r="A23" s="21">
        <v>1010800</v>
      </c>
      <c r="B23" s="28" t="s">
        <v>73</v>
      </c>
      <c r="C23" s="23">
        <f>31157915-1614176</f>
        <v>29543739</v>
      </c>
      <c r="D23" s="23">
        <f>676322-35038</f>
        <v>641284</v>
      </c>
      <c r="E23" s="23">
        <f>6872420-356035</f>
        <v>6516385</v>
      </c>
      <c r="F23" s="23">
        <v>3923067</v>
      </c>
      <c r="G23" s="23">
        <v>2043882</v>
      </c>
      <c r="H23" s="23">
        <v>3445240</v>
      </c>
      <c r="I23" s="23">
        <f>2652615-137422</f>
        <v>2515193</v>
      </c>
      <c r="J23" s="23">
        <v>1182053</v>
      </c>
      <c r="K23" s="24">
        <f t="shared" ref="K23:K24" si="4">SUM(C23:J23)</f>
        <v>49810843</v>
      </c>
    </row>
    <row r="24" spans="1:11" s="32" customFormat="1" ht="31.2" hidden="1" x14ac:dyDescent="0.3">
      <c r="A24" s="29">
        <v>1010900</v>
      </c>
      <c r="B24" s="30" t="s">
        <v>60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31">
        <f t="shared" si="4"/>
        <v>0</v>
      </c>
    </row>
    <row r="25" spans="1:11" s="16" customFormat="1" ht="9.6" customHeight="1" x14ac:dyDescent="0.3">
      <c r="A25" s="26"/>
      <c r="B25" s="25"/>
      <c r="C25" s="23"/>
      <c r="D25" s="23"/>
      <c r="E25" s="23"/>
      <c r="F25" s="23"/>
      <c r="G25" s="23"/>
      <c r="H25" s="23"/>
      <c r="I25" s="23"/>
      <c r="J25" s="23"/>
      <c r="K25" s="24"/>
    </row>
    <row r="26" spans="1:11" s="33" customFormat="1" ht="31.2" x14ac:dyDescent="0.3">
      <c r="A26" s="21">
        <v>1020000</v>
      </c>
      <c r="B26" s="25" t="s">
        <v>20</v>
      </c>
      <c r="C26" s="23">
        <f t="shared" ref="C26:J26" si="5">SUM(C27:C30)</f>
        <v>1027908</v>
      </c>
      <c r="D26" s="23">
        <f t="shared" si="5"/>
        <v>132426</v>
      </c>
      <c r="E26" s="23">
        <f t="shared" si="5"/>
        <v>189279</v>
      </c>
      <c r="F26" s="23">
        <f t="shared" si="5"/>
        <v>242332</v>
      </c>
      <c r="G26" s="23">
        <f t="shared" si="5"/>
        <v>69600</v>
      </c>
      <c r="H26" s="23">
        <f t="shared" si="5"/>
        <v>224454</v>
      </c>
      <c r="I26" s="23">
        <f t="shared" si="5"/>
        <v>36192</v>
      </c>
      <c r="J26" s="23">
        <f t="shared" si="5"/>
        <v>26448</v>
      </c>
      <c r="K26" s="24">
        <f t="shared" ref="K26:K30" si="6">SUM(C26:J26)</f>
        <v>1948639</v>
      </c>
    </row>
    <row r="27" spans="1:11" s="16" customFormat="1" x14ac:dyDescent="0.3">
      <c r="A27" s="21">
        <v>1020100</v>
      </c>
      <c r="B27" s="25" t="s">
        <v>21</v>
      </c>
      <c r="C27" s="23"/>
      <c r="D27" s="23"/>
      <c r="E27" s="23"/>
      <c r="F27" s="23"/>
      <c r="G27" s="23"/>
      <c r="H27" s="23"/>
      <c r="I27" s="23"/>
      <c r="J27" s="23"/>
      <c r="K27" s="24">
        <f t="shared" si="6"/>
        <v>0</v>
      </c>
    </row>
    <row r="28" spans="1:11" s="16" customFormat="1" ht="31.2" x14ac:dyDescent="0.3">
      <c r="A28" s="21">
        <v>1020200</v>
      </c>
      <c r="B28" s="25" t="s">
        <v>22</v>
      </c>
      <c r="C28" s="23"/>
      <c r="D28" s="23"/>
      <c r="E28" s="23"/>
      <c r="F28" s="23"/>
      <c r="G28" s="23"/>
      <c r="H28" s="23"/>
      <c r="I28" s="23"/>
      <c r="J28" s="23"/>
      <c r="K28" s="24">
        <f t="shared" si="6"/>
        <v>0</v>
      </c>
    </row>
    <row r="29" spans="1:11" s="33" customFormat="1" ht="31.2" x14ac:dyDescent="0.3">
      <c r="A29" s="21">
        <v>1020400</v>
      </c>
      <c r="B29" s="22" t="s">
        <v>23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f t="shared" si="6"/>
        <v>0</v>
      </c>
    </row>
    <row r="30" spans="1:11" s="16" customFormat="1" x14ac:dyDescent="0.3">
      <c r="A30" s="21">
        <v>1020500</v>
      </c>
      <c r="B30" s="25" t="s">
        <v>24</v>
      </c>
      <c r="C30" s="23">
        <f>828779+199129</f>
        <v>1027908</v>
      </c>
      <c r="D30" s="23">
        <v>132426</v>
      </c>
      <c r="E30" s="23">
        <v>189279</v>
      </c>
      <c r="F30" s="23">
        <v>242332</v>
      </c>
      <c r="G30" s="23">
        <v>69600</v>
      </c>
      <c r="H30" s="23">
        <v>224454</v>
      </c>
      <c r="I30" s="23">
        <v>36192</v>
      </c>
      <c r="J30" s="23">
        <v>26448</v>
      </c>
      <c r="K30" s="24">
        <f t="shared" si="6"/>
        <v>1948639</v>
      </c>
    </row>
    <row r="31" spans="1:11" s="16" customFormat="1" ht="9" customHeight="1" x14ac:dyDescent="0.3">
      <c r="A31" s="21"/>
      <c r="B31" s="25"/>
      <c r="C31" s="23"/>
      <c r="D31" s="23"/>
      <c r="E31" s="23"/>
      <c r="F31" s="23"/>
      <c r="G31" s="23"/>
      <c r="H31" s="23"/>
      <c r="I31" s="23"/>
      <c r="J31" s="23"/>
      <c r="K31" s="24"/>
    </row>
    <row r="32" spans="1:11" s="16" customFormat="1" x14ac:dyDescent="0.3">
      <c r="A32" s="21">
        <v>1050000</v>
      </c>
      <c r="B32" s="25" t="s">
        <v>25</v>
      </c>
      <c r="C32" s="23">
        <v>4630461</v>
      </c>
      <c r="D32" s="23">
        <v>2821807</v>
      </c>
      <c r="E32" s="23">
        <v>1787946</v>
      </c>
      <c r="F32" s="23">
        <v>15185058</v>
      </c>
      <c r="G32" s="23">
        <v>440350</v>
      </c>
      <c r="H32" s="23">
        <v>3848598</v>
      </c>
      <c r="I32" s="23">
        <v>9607639</v>
      </c>
      <c r="J32" s="23">
        <v>607604</v>
      </c>
      <c r="K32" s="24">
        <f t="shared" ref="K32:K39" si="7">SUM(C32:J32)</f>
        <v>38929463</v>
      </c>
    </row>
    <row r="33" spans="1:11" s="16" customFormat="1" x14ac:dyDescent="0.3">
      <c r="A33" s="21">
        <v>1050100</v>
      </c>
      <c r="B33" s="25" t="s">
        <v>26</v>
      </c>
      <c r="C33" s="23">
        <f>SUM(C34:C35)</f>
        <v>0</v>
      </c>
      <c r="D33" s="23">
        <f t="shared" ref="D33:J33" si="8">SUM(D34:D35)</f>
        <v>0</v>
      </c>
      <c r="E33" s="23">
        <f t="shared" si="8"/>
        <v>0</v>
      </c>
      <c r="F33" s="23">
        <f t="shared" si="8"/>
        <v>0</v>
      </c>
      <c r="G33" s="23">
        <f t="shared" si="8"/>
        <v>0</v>
      </c>
      <c r="H33" s="23">
        <f t="shared" si="8"/>
        <v>0</v>
      </c>
      <c r="I33" s="23">
        <f t="shared" si="8"/>
        <v>0</v>
      </c>
      <c r="J33" s="23">
        <f t="shared" si="8"/>
        <v>0</v>
      </c>
      <c r="K33" s="24">
        <f t="shared" si="7"/>
        <v>0</v>
      </c>
    </row>
    <row r="34" spans="1:11" s="16" customFormat="1" ht="31.2" x14ac:dyDescent="0.3">
      <c r="A34" s="26">
        <v>1050101</v>
      </c>
      <c r="B34" s="27" t="s">
        <v>27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f t="shared" si="7"/>
        <v>0</v>
      </c>
    </row>
    <row r="35" spans="1:11" s="16" customFormat="1" ht="31.2" x14ac:dyDescent="0.3">
      <c r="A35" s="26">
        <v>1050102</v>
      </c>
      <c r="B35" s="27" t="s">
        <v>28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f t="shared" si="7"/>
        <v>0</v>
      </c>
    </row>
    <row r="36" spans="1:11" s="16" customFormat="1" ht="31.2" x14ac:dyDescent="0.3">
      <c r="A36" s="21">
        <v>1050200</v>
      </c>
      <c r="B36" s="25" t="s">
        <v>29</v>
      </c>
      <c r="C36" s="23">
        <v>4383512</v>
      </c>
      <c r="D36" s="23">
        <v>2821807</v>
      </c>
      <c r="E36" s="23">
        <v>1787946</v>
      </c>
      <c r="F36" s="23">
        <v>414558</v>
      </c>
      <c r="G36" s="23">
        <v>196332</v>
      </c>
      <c r="H36" s="23">
        <v>758588</v>
      </c>
      <c r="I36" s="23">
        <v>712354</v>
      </c>
      <c r="J36" s="23">
        <v>504053</v>
      </c>
      <c r="K36" s="24">
        <f t="shared" si="7"/>
        <v>11579150</v>
      </c>
    </row>
    <row r="37" spans="1:11" s="16" customFormat="1" ht="46.8" x14ac:dyDescent="0.3">
      <c r="A37" s="21">
        <v>1050400</v>
      </c>
      <c r="B37" s="25" t="s">
        <v>30</v>
      </c>
      <c r="C37" s="23">
        <v>0</v>
      </c>
      <c r="D37" s="23">
        <v>0</v>
      </c>
      <c r="E37" s="23">
        <v>0</v>
      </c>
      <c r="F37" s="23">
        <v>7635256</v>
      </c>
      <c r="G37" s="23">
        <v>161856</v>
      </c>
      <c r="H37" s="23">
        <v>1937254</v>
      </c>
      <c r="I37" s="23">
        <v>5189579</v>
      </c>
      <c r="J37" s="23">
        <v>26625</v>
      </c>
      <c r="K37" s="24">
        <f t="shared" si="7"/>
        <v>14950570</v>
      </c>
    </row>
    <row r="38" spans="1:11" s="16" customFormat="1" ht="31.2" x14ac:dyDescent="0.3">
      <c r="A38" s="21">
        <v>1051100</v>
      </c>
      <c r="B38" s="25" t="s">
        <v>31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4">
        <f t="shared" si="7"/>
        <v>0</v>
      </c>
    </row>
    <row r="39" spans="1:11" s="33" customFormat="1" ht="31.2" x14ac:dyDescent="0.3">
      <c r="A39" s="21">
        <v>1051200</v>
      </c>
      <c r="B39" s="25" t="s">
        <v>32</v>
      </c>
      <c r="C39" s="23">
        <v>0</v>
      </c>
      <c r="D39" s="23">
        <v>0</v>
      </c>
      <c r="E39" s="23">
        <v>0</v>
      </c>
      <c r="F39" s="23">
        <v>7132364</v>
      </c>
      <c r="G39" s="23">
        <v>80928</v>
      </c>
      <c r="H39" s="23">
        <v>1146750</v>
      </c>
      <c r="I39" s="23">
        <v>3698713</v>
      </c>
      <c r="J39" s="23">
        <v>0</v>
      </c>
      <c r="K39" s="24">
        <f t="shared" si="7"/>
        <v>12058755</v>
      </c>
    </row>
    <row r="40" spans="1:11" s="33" customFormat="1" ht="8.4" customHeight="1" x14ac:dyDescent="0.3">
      <c r="A40" s="26"/>
      <c r="B40" s="27"/>
      <c r="C40" s="34"/>
      <c r="D40" s="34"/>
      <c r="E40" s="34"/>
      <c r="F40" s="34"/>
      <c r="G40" s="34"/>
      <c r="H40" s="34"/>
      <c r="I40" s="34"/>
      <c r="J40" s="34"/>
      <c r="K40" s="35"/>
    </row>
    <row r="41" spans="1:11" s="16" customFormat="1" ht="31.2" x14ac:dyDescent="0.3">
      <c r="A41" s="21">
        <v>1060000</v>
      </c>
      <c r="B41" s="25" t="s">
        <v>33</v>
      </c>
      <c r="C41" s="23">
        <f>SUM(C42)</f>
        <v>435554684</v>
      </c>
      <c r="D41" s="23">
        <f t="shared" ref="D41:J41" si="9">SUM(D42)</f>
        <v>0</v>
      </c>
      <c r="E41" s="23">
        <f t="shared" si="9"/>
        <v>0</v>
      </c>
      <c r="F41" s="23">
        <f t="shared" si="9"/>
        <v>0</v>
      </c>
      <c r="G41" s="23">
        <f t="shared" si="9"/>
        <v>0</v>
      </c>
      <c r="H41" s="23">
        <f t="shared" si="9"/>
        <v>0</v>
      </c>
      <c r="I41" s="23">
        <f t="shared" si="9"/>
        <v>0</v>
      </c>
      <c r="J41" s="23">
        <f t="shared" si="9"/>
        <v>0</v>
      </c>
      <c r="K41" s="24">
        <f t="shared" ref="K41:K42" si="10">SUM(C41:J41)</f>
        <v>435554684</v>
      </c>
    </row>
    <row r="42" spans="1:11" s="16" customFormat="1" x14ac:dyDescent="0.3">
      <c r="A42" s="26">
        <v>1060400</v>
      </c>
      <c r="B42" s="27" t="s">
        <v>59</v>
      </c>
      <c r="C42" s="34">
        <f>287127262+138753895+9673527</f>
        <v>435554684</v>
      </c>
      <c r="D42" s="34"/>
      <c r="E42" s="34"/>
      <c r="F42" s="34"/>
      <c r="G42" s="34"/>
      <c r="H42" s="34"/>
      <c r="I42" s="34"/>
      <c r="J42" s="34"/>
      <c r="K42" s="35">
        <f t="shared" si="10"/>
        <v>435554684</v>
      </c>
    </row>
    <row r="43" spans="1:11" s="16" customFormat="1" ht="9" customHeight="1" x14ac:dyDescent="0.3">
      <c r="A43" s="21"/>
      <c r="B43" s="25"/>
      <c r="C43" s="34"/>
      <c r="D43" s="34"/>
      <c r="E43" s="34"/>
      <c r="F43" s="34"/>
      <c r="G43" s="34"/>
      <c r="H43" s="34"/>
      <c r="I43" s="34"/>
      <c r="J43" s="34"/>
      <c r="K43" s="24"/>
    </row>
    <row r="44" spans="1:11" s="16" customFormat="1" x14ac:dyDescent="0.3">
      <c r="A44" s="21">
        <v>1400000</v>
      </c>
      <c r="B44" s="25" t="s">
        <v>34</v>
      </c>
      <c r="C44" s="23">
        <f>C45</f>
        <v>13776700</v>
      </c>
      <c r="D44" s="23">
        <f t="shared" ref="D44:J44" si="11">D45</f>
        <v>185080</v>
      </c>
      <c r="E44" s="23">
        <f t="shared" si="11"/>
        <v>7906099</v>
      </c>
      <c r="F44" s="23">
        <f t="shared" si="11"/>
        <v>5379183</v>
      </c>
      <c r="G44" s="23">
        <f t="shared" si="11"/>
        <v>3553669</v>
      </c>
      <c r="H44" s="23">
        <f t="shared" si="11"/>
        <v>3110243</v>
      </c>
      <c r="I44" s="23">
        <f t="shared" si="11"/>
        <v>1319613</v>
      </c>
      <c r="J44" s="23">
        <f t="shared" si="11"/>
        <v>687593</v>
      </c>
      <c r="K44" s="24">
        <f t="shared" ref="K44:K45" si="12">SUM(C44:J44)</f>
        <v>35918180</v>
      </c>
    </row>
    <row r="45" spans="1:11" s="16" customFormat="1" x14ac:dyDescent="0.3">
      <c r="A45" s="21">
        <v>1400100</v>
      </c>
      <c r="B45" s="25" t="s">
        <v>35</v>
      </c>
      <c r="C45" s="34">
        <v>13776700</v>
      </c>
      <c r="D45" s="34">
        <v>185080</v>
      </c>
      <c r="E45" s="34">
        <v>7906099</v>
      </c>
      <c r="F45" s="34">
        <v>5379183</v>
      </c>
      <c r="G45" s="34">
        <v>3553669</v>
      </c>
      <c r="H45" s="34">
        <v>3110243</v>
      </c>
      <c r="I45" s="34">
        <v>1319613</v>
      </c>
      <c r="J45" s="34">
        <v>687593</v>
      </c>
      <c r="K45" s="35">
        <f t="shared" si="12"/>
        <v>35918180</v>
      </c>
    </row>
    <row r="46" spans="1:11" s="16" customFormat="1" ht="9.6" customHeight="1" thickBot="1" x14ac:dyDescent="0.35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9"/>
    </row>
    <row r="47" spans="1:11" s="16" customFormat="1" x14ac:dyDescent="0.3">
      <c r="A47" s="40">
        <v>2000000</v>
      </c>
      <c r="B47" s="41" t="s">
        <v>36</v>
      </c>
      <c r="C47" s="42">
        <f>SUM(C48+C56+C60+C62)</f>
        <v>226441738</v>
      </c>
      <c r="D47" s="42">
        <f t="shared" ref="D47:J47" si="13">SUM(D48+D56+D60+D62)</f>
        <v>286929</v>
      </c>
      <c r="E47" s="42">
        <f t="shared" si="13"/>
        <v>6246031</v>
      </c>
      <c r="F47" s="42">
        <f t="shared" si="13"/>
        <v>12446547</v>
      </c>
      <c r="G47" s="42">
        <f t="shared" si="13"/>
        <v>2310712</v>
      </c>
      <c r="H47" s="42">
        <f t="shared" si="13"/>
        <v>4617794</v>
      </c>
      <c r="I47" s="42">
        <f t="shared" si="13"/>
        <v>996626</v>
      </c>
      <c r="J47" s="42">
        <f t="shared" si="13"/>
        <v>595633</v>
      </c>
      <c r="K47" s="43">
        <f>SUM(C47:J47)</f>
        <v>253942010</v>
      </c>
    </row>
    <row r="48" spans="1:11" s="16" customFormat="1" ht="46.8" x14ac:dyDescent="0.3">
      <c r="A48" s="21">
        <v>2010000</v>
      </c>
      <c r="B48" s="25" t="s">
        <v>37</v>
      </c>
      <c r="C48" s="23">
        <f>20594487-4608449+4608449+59613414+6014362+974767+100000000</f>
        <v>187197030</v>
      </c>
      <c r="D48" s="23">
        <v>124917</v>
      </c>
      <c r="E48" s="23">
        <v>1137602</v>
      </c>
      <c r="F48" s="23">
        <v>9594750</v>
      </c>
      <c r="G48" s="23">
        <v>57817</v>
      </c>
      <c r="H48" s="23">
        <v>269611</v>
      </c>
      <c r="I48" s="23">
        <v>77008</v>
      </c>
      <c r="J48" s="23">
        <v>16463</v>
      </c>
      <c r="K48" s="24">
        <f t="shared" ref="K48:K54" si="14">SUM(C48:J48)</f>
        <v>198475198</v>
      </c>
    </row>
    <row r="49" spans="1:11" s="16" customFormat="1" ht="31.2" x14ac:dyDescent="0.3">
      <c r="A49" s="21">
        <v>2010200</v>
      </c>
      <c r="B49" s="25" t="s">
        <v>38</v>
      </c>
      <c r="C49" s="34">
        <v>1433657</v>
      </c>
      <c r="D49" s="34">
        <v>12257</v>
      </c>
      <c r="E49" s="34">
        <v>462808</v>
      </c>
      <c r="F49" s="34">
        <v>168911</v>
      </c>
      <c r="G49" s="34">
        <v>49650</v>
      </c>
      <c r="H49" s="34">
        <v>151096</v>
      </c>
      <c r="I49" s="34">
        <v>73439</v>
      </c>
      <c r="J49" s="34">
        <v>14543</v>
      </c>
      <c r="K49" s="24">
        <f t="shared" si="14"/>
        <v>2366361</v>
      </c>
    </row>
    <row r="50" spans="1:11" s="16" customFormat="1" ht="31.2" x14ac:dyDescent="0.3">
      <c r="A50" s="21">
        <v>2010300</v>
      </c>
      <c r="B50" s="25" t="s">
        <v>39</v>
      </c>
      <c r="C50" s="23">
        <v>4951557</v>
      </c>
      <c r="D50" s="23"/>
      <c r="E50" s="23">
        <v>369329</v>
      </c>
      <c r="F50" s="23">
        <v>9424131</v>
      </c>
      <c r="G50" s="23">
        <v>0</v>
      </c>
      <c r="H50" s="23">
        <v>0</v>
      </c>
      <c r="I50" s="23">
        <v>0</v>
      </c>
      <c r="J50" s="23">
        <v>0</v>
      </c>
      <c r="K50" s="24">
        <f t="shared" si="14"/>
        <v>14745017</v>
      </c>
    </row>
    <row r="51" spans="1:11" s="16" customFormat="1" ht="31.2" x14ac:dyDescent="0.3">
      <c r="A51" s="21">
        <v>2010400</v>
      </c>
      <c r="B51" s="25" t="s">
        <v>40</v>
      </c>
      <c r="C51" s="23">
        <f>85000+59613414</f>
        <v>59698414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4">
        <f t="shared" si="14"/>
        <v>59698414</v>
      </c>
    </row>
    <row r="52" spans="1:11" s="16" customFormat="1" ht="31.2" x14ac:dyDescent="0.3">
      <c r="A52" s="21">
        <v>2010500</v>
      </c>
      <c r="B52" s="25" t="s">
        <v>41</v>
      </c>
      <c r="C52" s="23">
        <v>16343</v>
      </c>
      <c r="D52" s="23">
        <v>0</v>
      </c>
      <c r="E52" s="23">
        <v>12423</v>
      </c>
      <c r="F52" s="23">
        <v>1708</v>
      </c>
      <c r="G52" s="23">
        <v>5098</v>
      </c>
      <c r="H52" s="23">
        <v>953</v>
      </c>
      <c r="I52" s="23">
        <v>3569</v>
      </c>
      <c r="J52" s="23">
        <v>0</v>
      </c>
      <c r="K52" s="24">
        <f t="shared" si="14"/>
        <v>40094</v>
      </c>
    </row>
    <row r="53" spans="1:11" s="16" customFormat="1" ht="31.2" x14ac:dyDescent="0.3">
      <c r="A53" s="21">
        <v>2010900</v>
      </c>
      <c r="B53" s="25" t="s">
        <v>42</v>
      </c>
      <c r="C53" s="23">
        <v>1858434</v>
      </c>
      <c r="D53" s="23">
        <v>112660</v>
      </c>
      <c r="E53" s="23">
        <v>266942</v>
      </c>
      <c r="F53" s="23">
        <v>0</v>
      </c>
      <c r="G53" s="23">
        <v>3069</v>
      </c>
      <c r="H53" s="23">
        <v>107518</v>
      </c>
      <c r="I53" s="23">
        <v>0</v>
      </c>
      <c r="J53" s="23">
        <v>0</v>
      </c>
      <c r="K53" s="24">
        <f t="shared" si="14"/>
        <v>2348623</v>
      </c>
    </row>
    <row r="54" spans="1:11" s="16" customFormat="1" ht="31.2" x14ac:dyDescent="0.3">
      <c r="A54" s="21">
        <v>2011000</v>
      </c>
      <c r="B54" s="25" t="s">
        <v>43</v>
      </c>
      <c r="C54" s="23">
        <f>10043667-4608449+4608449+6014362+100000000</f>
        <v>116058029</v>
      </c>
      <c r="D54" s="23">
        <v>0</v>
      </c>
      <c r="E54" s="23">
        <v>0</v>
      </c>
      <c r="F54" s="23">
        <v>0</v>
      </c>
      <c r="G54" s="23">
        <v>0</v>
      </c>
      <c r="H54" s="44">
        <v>0</v>
      </c>
      <c r="I54" s="23">
        <v>0</v>
      </c>
      <c r="J54" s="23">
        <v>0</v>
      </c>
      <c r="K54" s="24">
        <f t="shared" si="14"/>
        <v>116058029</v>
      </c>
    </row>
    <row r="55" spans="1:11" s="16" customFormat="1" ht="9.6" customHeight="1" x14ac:dyDescent="0.3">
      <c r="A55" s="21"/>
      <c r="B55" s="25"/>
      <c r="C55" s="23"/>
      <c r="D55" s="23"/>
      <c r="E55" s="23"/>
      <c r="F55" s="23"/>
      <c r="G55" s="23"/>
      <c r="H55" s="23"/>
      <c r="I55" s="23"/>
      <c r="J55" s="23"/>
      <c r="K55" s="24"/>
    </row>
    <row r="56" spans="1:11" s="16" customFormat="1" ht="32.4" customHeight="1" x14ac:dyDescent="0.3">
      <c r="A56" s="21">
        <v>2020000</v>
      </c>
      <c r="B56" s="25" t="s">
        <v>44</v>
      </c>
      <c r="C56" s="23">
        <f>17835192+89925</f>
        <v>17925117</v>
      </c>
      <c r="D56" s="23">
        <v>0</v>
      </c>
      <c r="E56" s="23">
        <v>20000</v>
      </c>
      <c r="F56" s="23">
        <v>50000</v>
      </c>
      <c r="G56" s="23">
        <v>1000</v>
      </c>
      <c r="H56" s="23">
        <v>10000</v>
      </c>
      <c r="I56" s="23">
        <v>1000</v>
      </c>
      <c r="J56" s="23">
        <v>0</v>
      </c>
      <c r="K56" s="24">
        <f t="shared" ref="K56:K57" si="15">SUM(C56:J56)</f>
        <v>18007117</v>
      </c>
    </row>
    <row r="57" spans="1:11" s="16" customFormat="1" ht="31.2" x14ac:dyDescent="0.3">
      <c r="A57" s="26">
        <v>2020100</v>
      </c>
      <c r="B57" s="27" t="s">
        <v>45</v>
      </c>
      <c r="C57" s="34">
        <v>17500000</v>
      </c>
      <c r="D57" s="34">
        <v>0</v>
      </c>
      <c r="E57" s="34">
        <v>0</v>
      </c>
      <c r="F57" s="34">
        <v>0</v>
      </c>
      <c r="G57" s="34"/>
      <c r="H57" s="34"/>
      <c r="I57" s="34">
        <v>0</v>
      </c>
      <c r="J57" s="34">
        <v>0</v>
      </c>
      <c r="K57" s="35">
        <f t="shared" si="15"/>
        <v>17500000</v>
      </c>
    </row>
    <row r="58" spans="1:11" s="16" customFormat="1" ht="31.2" x14ac:dyDescent="0.3">
      <c r="A58" s="65">
        <v>2020800</v>
      </c>
      <c r="B58" s="66" t="s">
        <v>71</v>
      </c>
      <c r="C58" s="67">
        <f>135192+89925</f>
        <v>225117</v>
      </c>
      <c r="D58" s="67">
        <v>0</v>
      </c>
      <c r="E58" s="67">
        <v>0</v>
      </c>
      <c r="F58" s="67">
        <v>0</v>
      </c>
      <c r="G58" s="67"/>
      <c r="H58" s="67"/>
      <c r="I58" s="67">
        <v>0</v>
      </c>
      <c r="J58" s="67">
        <v>0</v>
      </c>
      <c r="K58" s="68">
        <f t="shared" ref="K58" si="16">SUM(C58:J58)</f>
        <v>225117</v>
      </c>
    </row>
    <row r="59" spans="1:11" s="16" customFormat="1" ht="8.4" customHeight="1" x14ac:dyDescent="0.3">
      <c r="A59" s="26"/>
      <c r="B59" s="27"/>
      <c r="C59" s="34"/>
      <c r="D59" s="34"/>
      <c r="E59" s="34"/>
      <c r="F59" s="34"/>
      <c r="G59" s="34"/>
      <c r="H59" s="34"/>
      <c r="I59" s="34"/>
      <c r="J59" s="34"/>
      <c r="K59" s="24"/>
    </row>
    <row r="60" spans="1:11" s="16" customFormat="1" x14ac:dyDescent="0.3">
      <c r="A60" s="45">
        <v>2060000</v>
      </c>
      <c r="B60" s="25" t="s">
        <v>46</v>
      </c>
      <c r="C60" s="23">
        <v>5533350</v>
      </c>
      <c r="D60" s="23">
        <v>98938</v>
      </c>
      <c r="E60" s="23">
        <v>1008715</v>
      </c>
      <c r="F60" s="23">
        <v>714529</v>
      </c>
      <c r="G60" s="23">
        <v>517200</v>
      </c>
      <c r="H60" s="23">
        <v>632302</v>
      </c>
      <c r="I60" s="23">
        <v>331595</v>
      </c>
      <c r="J60" s="23">
        <v>128813</v>
      </c>
      <c r="K60" s="24">
        <f t="shared" ref="K60" si="17">SUM(C60:J60)</f>
        <v>8965442</v>
      </c>
    </row>
    <row r="61" spans="1:11" s="16" customFormat="1" ht="8.4" customHeight="1" x14ac:dyDescent="0.3">
      <c r="A61" s="46"/>
      <c r="B61" s="27"/>
      <c r="C61" s="34"/>
      <c r="D61" s="34"/>
      <c r="E61" s="34"/>
      <c r="F61" s="34"/>
      <c r="G61" s="34"/>
      <c r="H61" s="34"/>
      <c r="I61" s="34"/>
      <c r="J61" s="34"/>
      <c r="K61" s="24"/>
    </row>
    <row r="62" spans="1:11" s="16" customFormat="1" x14ac:dyDescent="0.3">
      <c r="A62" s="45">
        <v>2070000</v>
      </c>
      <c r="B62" s="25" t="s">
        <v>47</v>
      </c>
      <c r="C62" s="23">
        <f>15672411+113830</f>
        <v>15786241</v>
      </c>
      <c r="D62" s="23">
        <v>63074</v>
      </c>
      <c r="E62" s="23">
        <v>4079714</v>
      </c>
      <c r="F62" s="23">
        <v>2087268</v>
      </c>
      <c r="G62" s="23">
        <v>1734695</v>
      </c>
      <c r="H62" s="23">
        <v>3705881</v>
      </c>
      <c r="I62" s="23">
        <v>587023</v>
      </c>
      <c r="J62" s="23">
        <v>450357</v>
      </c>
      <c r="K62" s="24">
        <f t="shared" ref="K62" si="18">SUM(C62:J62)</f>
        <v>28494253</v>
      </c>
    </row>
    <row r="63" spans="1:11" s="16" customFormat="1" ht="31.2" x14ac:dyDescent="0.3">
      <c r="A63" s="65">
        <v>2071800</v>
      </c>
      <c r="B63" s="66" t="s">
        <v>65</v>
      </c>
      <c r="C63" s="67">
        <f>3339077+113830</f>
        <v>3452907</v>
      </c>
      <c r="D63" s="67">
        <f>30008</f>
        <v>30008</v>
      </c>
      <c r="E63" s="67">
        <f>446814</f>
        <v>446814</v>
      </c>
      <c r="F63" s="67">
        <f>429407</f>
        <v>429407</v>
      </c>
      <c r="G63" s="67">
        <v>305008</v>
      </c>
      <c r="H63" s="67">
        <f>170317</f>
        <v>170317</v>
      </c>
      <c r="I63" s="67">
        <f>89861</f>
        <v>89861</v>
      </c>
      <c r="J63" s="67">
        <f>198500</f>
        <v>198500</v>
      </c>
      <c r="K63" s="68">
        <f t="shared" ref="K63" si="19">SUM(C63:J63)</f>
        <v>5122822</v>
      </c>
    </row>
    <row r="64" spans="1:11" s="16" customFormat="1" ht="9.6" customHeight="1" thickBot="1" x14ac:dyDescent="0.35">
      <c r="A64" s="69"/>
      <c r="B64" s="70"/>
      <c r="C64" s="71"/>
      <c r="D64" s="71"/>
      <c r="E64" s="71"/>
      <c r="F64" s="71"/>
      <c r="G64" s="71"/>
      <c r="H64" s="71"/>
      <c r="I64" s="71"/>
      <c r="J64" s="71"/>
      <c r="K64" s="72"/>
    </row>
    <row r="65" spans="1:11" s="16" customFormat="1" x14ac:dyDescent="0.3">
      <c r="A65" s="75">
        <v>3000000</v>
      </c>
      <c r="B65" s="84" t="s">
        <v>66</v>
      </c>
      <c r="C65" s="85">
        <f>C66+C67</f>
        <v>797690097</v>
      </c>
      <c r="D65" s="85">
        <f t="shared" ref="D65:J65" si="20">D66+D67</f>
        <v>0</v>
      </c>
      <c r="E65" s="85">
        <f t="shared" si="20"/>
        <v>0</v>
      </c>
      <c r="F65" s="85">
        <f t="shared" si="20"/>
        <v>0</v>
      </c>
      <c r="G65" s="85">
        <f t="shared" si="20"/>
        <v>0</v>
      </c>
      <c r="H65" s="85">
        <f t="shared" si="20"/>
        <v>0</v>
      </c>
      <c r="I65" s="85">
        <f t="shared" si="20"/>
        <v>0</v>
      </c>
      <c r="J65" s="85">
        <f t="shared" si="20"/>
        <v>0</v>
      </c>
      <c r="K65" s="86">
        <f t="shared" ref="K65:K67" si="21">SUM(C65:J65)</f>
        <v>797690097</v>
      </c>
    </row>
    <row r="66" spans="1:11" s="16" customFormat="1" x14ac:dyDescent="0.3">
      <c r="A66" s="80">
        <v>3010000</v>
      </c>
      <c r="B66" s="73" t="s">
        <v>74</v>
      </c>
      <c r="C66" s="71">
        <v>761818857</v>
      </c>
      <c r="D66" s="71"/>
      <c r="E66" s="71"/>
      <c r="F66" s="71"/>
      <c r="G66" s="71"/>
      <c r="H66" s="71"/>
      <c r="I66" s="71"/>
      <c r="J66" s="71"/>
      <c r="K66" s="72">
        <f t="shared" si="21"/>
        <v>761818857</v>
      </c>
    </row>
    <row r="67" spans="1:11" s="16" customFormat="1" ht="16.2" thickBot="1" x14ac:dyDescent="0.35">
      <c r="A67" s="81">
        <v>3060000</v>
      </c>
      <c r="B67" s="82" t="s">
        <v>67</v>
      </c>
      <c r="C67" s="83">
        <v>35871240</v>
      </c>
      <c r="D67" s="83"/>
      <c r="E67" s="83"/>
      <c r="F67" s="83"/>
      <c r="G67" s="83"/>
      <c r="H67" s="83"/>
      <c r="I67" s="83"/>
      <c r="J67" s="83"/>
      <c r="K67" s="83">
        <f t="shared" si="21"/>
        <v>35871240</v>
      </c>
    </row>
    <row r="68" spans="1:11" s="16" customFormat="1" ht="9.6" customHeight="1" thickBot="1" x14ac:dyDescent="0.35">
      <c r="A68" s="76"/>
      <c r="B68" s="77"/>
      <c r="C68" s="78"/>
      <c r="D68" s="78"/>
      <c r="E68" s="78"/>
      <c r="F68" s="78"/>
      <c r="G68" s="78"/>
      <c r="H68" s="78"/>
      <c r="I68" s="78"/>
      <c r="J68" s="78"/>
      <c r="K68" s="79"/>
    </row>
    <row r="69" spans="1:11" s="16" customFormat="1" x14ac:dyDescent="0.3">
      <c r="A69" s="51">
        <v>4000000</v>
      </c>
      <c r="B69" s="52" t="s">
        <v>48</v>
      </c>
      <c r="C69" s="42">
        <f t="shared" ref="C69:K69" si="22">SUM(C70+C73+C75+C77+C79+C81+C83+C85)</f>
        <v>424448917</v>
      </c>
      <c r="D69" s="42">
        <f t="shared" si="22"/>
        <v>10496872</v>
      </c>
      <c r="E69" s="42">
        <f t="shared" si="22"/>
        <v>12838323</v>
      </c>
      <c r="F69" s="42">
        <f t="shared" si="22"/>
        <v>22506741</v>
      </c>
      <c r="G69" s="42">
        <f t="shared" si="22"/>
        <v>10036003</v>
      </c>
      <c r="H69" s="42">
        <f t="shared" si="22"/>
        <v>21885458</v>
      </c>
      <c r="I69" s="42">
        <f t="shared" si="22"/>
        <v>18120706</v>
      </c>
      <c r="J69" s="42">
        <f t="shared" si="22"/>
        <v>6516453</v>
      </c>
      <c r="K69" s="43">
        <f t="shared" si="22"/>
        <v>526849473</v>
      </c>
    </row>
    <row r="70" spans="1:11" s="32" customFormat="1" x14ac:dyDescent="0.3">
      <c r="A70" s="53">
        <v>4010000</v>
      </c>
      <c r="B70" s="54" t="s">
        <v>49</v>
      </c>
      <c r="C70" s="55">
        <f>230413275</f>
        <v>230413275</v>
      </c>
      <c r="D70" s="55">
        <f>17618353-8279482</f>
        <v>9338871</v>
      </c>
      <c r="E70" s="55">
        <f>12483294-1385994</f>
        <v>11097300</v>
      </c>
      <c r="F70" s="55">
        <f>9276993-2894151</f>
        <v>6382842</v>
      </c>
      <c r="G70" s="55">
        <f>4357753-1236298</f>
        <v>3121455</v>
      </c>
      <c r="H70" s="55">
        <f>7167896-2466599</f>
        <v>4701297</v>
      </c>
      <c r="I70" s="55">
        <f>2394847-177698</f>
        <v>2217149</v>
      </c>
      <c r="J70" s="55">
        <f>1668851-798927</f>
        <v>869924</v>
      </c>
      <c r="K70" s="24">
        <f>SUM(C70:J70)</f>
        <v>268142113</v>
      </c>
    </row>
    <row r="71" spans="1:11" s="16" customFormat="1" x14ac:dyDescent="0.3">
      <c r="A71" s="46">
        <v>4010104</v>
      </c>
      <c r="B71" s="27" t="s">
        <v>50</v>
      </c>
      <c r="C71" s="34">
        <v>59146597</v>
      </c>
      <c r="D71" s="34">
        <f>17280791-8279482</f>
        <v>9001309</v>
      </c>
      <c r="E71" s="34">
        <f>10304983-1385994</f>
        <v>8918989</v>
      </c>
      <c r="F71" s="34">
        <f>6824621-2894151</f>
        <v>3930470</v>
      </c>
      <c r="G71" s="34">
        <f>3286344-1236298</f>
        <v>2050046</v>
      </c>
      <c r="H71" s="34">
        <f>5692572-2466599</f>
        <v>3225973</v>
      </c>
      <c r="I71" s="34">
        <f>1566990-177698</f>
        <v>1389292</v>
      </c>
      <c r="J71" s="34">
        <f>1285487-798927</f>
        <v>486560</v>
      </c>
      <c r="K71" s="35">
        <f>SUM(C71:J71)</f>
        <v>88149236</v>
      </c>
    </row>
    <row r="72" spans="1:11" s="16" customFormat="1" ht="7.2" customHeight="1" x14ac:dyDescent="0.3">
      <c r="A72" s="46"/>
      <c r="B72" s="27"/>
      <c r="C72" s="34"/>
      <c r="D72" s="34"/>
      <c r="E72" s="34"/>
      <c r="F72" s="34"/>
      <c r="G72" s="34"/>
      <c r="H72" s="34"/>
      <c r="I72" s="34"/>
      <c r="J72" s="34"/>
      <c r="K72" s="24"/>
    </row>
    <row r="73" spans="1:11" s="16" customFormat="1" ht="31.2" x14ac:dyDescent="0.3">
      <c r="A73" s="45">
        <v>4020100</v>
      </c>
      <c r="B73" s="25" t="s">
        <v>51</v>
      </c>
      <c r="C73" s="23">
        <v>2826536</v>
      </c>
      <c r="D73" s="23">
        <v>1158001</v>
      </c>
      <c r="E73" s="23">
        <v>792844</v>
      </c>
      <c r="F73" s="23">
        <v>1147329</v>
      </c>
      <c r="G73" s="23">
        <v>282434</v>
      </c>
      <c r="H73" s="23">
        <v>844811</v>
      </c>
      <c r="I73" s="23">
        <v>290746</v>
      </c>
      <c r="J73" s="23">
        <v>149591</v>
      </c>
      <c r="K73" s="24">
        <f>SUM(C73:J73)</f>
        <v>7492292</v>
      </c>
    </row>
    <row r="74" spans="1:11" s="16" customFormat="1" ht="7.2" customHeight="1" x14ac:dyDescent="0.3">
      <c r="A74" s="46"/>
      <c r="B74" s="27"/>
      <c r="C74" s="34"/>
      <c r="D74" s="34"/>
      <c r="E74" s="34"/>
      <c r="F74" s="34"/>
      <c r="G74" s="34"/>
      <c r="H74" s="34"/>
      <c r="I74" s="34"/>
      <c r="J74" s="34"/>
      <c r="K74" s="24"/>
    </row>
    <row r="75" spans="1:11" ht="62.4" x14ac:dyDescent="0.3">
      <c r="A75" s="21">
        <v>4080000</v>
      </c>
      <c r="B75" s="25" t="s">
        <v>52</v>
      </c>
      <c r="C75" s="23">
        <v>508900</v>
      </c>
      <c r="D75" s="23">
        <v>0</v>
      </c>
      <c r="E75" s="23">
        <v>762530</v>
      </c>
      <c r="F75" s="23">
        <v>12079989</v>
      </c>
      <c r="G75" s="23">
        <v>5390077</v>
      </c>
      <c r="H75" s="23">
        <v>13061458</v>
      </c>
      <c r="I75" s="23">
        <v>12638495</v>
      </c>
      <c r="J75" s="23">
        <v>4269418</v>
      </c>
      <c r="K75" s="24">
        <f t="shared" ref="K75" si="23">SUM(C75:J75)</f>
        <v>48710867</v>
      </c>
    </row>
    <row r="76" spans="1:11" ht="7.8" customHeight="1" x14ac:dyDescent="0.3">
      <c r="A76" s="45"/>
      <c r="B76" s="25"/>
      <c r="C76" s="23"/>
      <c r="D76" s="23"/>
      <c r="E76" s="23"/>
      <c r="F76" s="23"/>
      <c r="G76" s="23"/>
      <c r="H76" s="23"/>
      <c r="I76" s="23"/>
      <c r="J76" s="23"/>
      <c r="K76" s="24"/>
    </row>
    <row r="77" spans="1:11" x14ac:dyDescent="0.3">
      <c r="A77" s="45">
        <v>4100000</v>
      </c>
      <c r="B77" s="25" t="s">
        <v>53</v>
      </c>
      <c r="C77" s="23">
        <f>250000000-131300356</f>
        <v>118699644</v>
      </c>
      <c r="D77" s="23"/>
      <c r="E77" s="23"/>
      <c r="F77" s="23"/>
      <c r="G77" s="23"/>
      <c r="H77" s="23"/>
      <c r="I77" s="23"/>
      <c r="J77" s="23"/>
      <c r="K77" s="24">
        <f t="shared" ref="K77" si="24">SUM(C77:J77)</f>
        <v>118699644</v>
      </c>
    </row>
    <row r="78" spans="1:11" ht="9" customHeight="1" x14ac:dyDescent="0.3">
      <c r="A78" s="45"/>
      <c r="B78" s="25"/>
      <c r="C78" s="23"/>
      <c r="D78" s="23"/>
      <c r="E78" s="23"/>
      <c r="F78" s="23"/>
      <c r="G78" s="23"/>
      <c r="H78" s="23"/>
      <c r="I78" s="23"/>
      <c r="J78" s="23"/>
      <c r="K78" s="24"/>
    </row>
    <row r="79" spans="1:11" x14ac:dyDescent="0.3">
      <c r="A79" s="45">
        <v>4110000</v>
      </c>
      <c r="B79" s="25" t="s">
        <v>54</v>
      </c>
      <c r="C79" s="23">
        <f>23433526-5022362</f>
        <v>18411164</v>
      </c>
      <c r="D79" s="23"/>
      <c r="E79" s="23"/>
      <c r="F79" s="23"/>
      <c r="G79" s="23"/>
      <c r="H79" s="23"/>
      <c r="I79" s="23"/>
      <c r="J79" s="23"/>
      <c r="K79" s="24">
        <f t="shared" ref="K79" si="25">SUM(C79:J79)</f>
        <v>18411164</v>
      </c>
    </row>
    <row r="80" spans="1:11" ht="10.199999999999999" customHeight="1" x14ac:dyDescent="0.3">
      <c r="A80" s="45"/>
      <c r="B80" s="25"/>
      <c r="C80" s="23"/>
      <c r="D80" s="23"/>
      <c r="E80" s="23"/>
      <c r="F80" s="23"/>
      <c r="G80" s="23"/>
      <c r="H80" s="23"/>
      <c r="I80" s="23"/>
      <c r="J80" s="23"/>
      <c r="K80" s="24"/>
    </row>
    <row r="81" spans="1:11" x14ac:dyDescent="0.3">
      <c r="A81" s="45">
        <v>4120000</v>
      </c>
      <c r="B81" s="25" t="s">
        <v>55</v>
      </c>
      <c r="C81" s="23">
        <f>7937468-2106177</f>
        <v>5831291</v>
      </c>
      <c r="D81" s="23"/>
      <c r="E81" s="23"/>
      <c r="F81" s="23"/>
      <c r="G81" s="23"/>
      <c r="H81" s="23"/>
      <c r="I81" s="23"/>
      <c r="J81" s="23"/>
      <c r="K81" s="24">
        <f t="shared" ref="K81" si="26">SUM(C81:J81)</f>
        <v>5831291</v>
      </c>
    </row>
    <row r="82" spans="1:11" ht="9.6" customHeight="1" x14ac:dyDescent="0.3">
      <c r="A82" s="45"/>
      <c r="B82" s="25"/>
      <c r="C82" s="23"/>
      <c r="D82" s="23"/>
      <c r="E82" s="23"/>
      <c r="F82" s="23"/>
      <c r="G82" s="23"/>
      <c r="H82" s="23"/>
      <c r="I82" s="23"/>
      <c r="J82" s="23"/>
      <c r="K82" s="24"/>
    </row>
    <row r="83" spans="1:11" x14ac:dyDescent="0.3">
      <c r="A83" s="45">
        <v>4130000</v>
      </c>
      <c r="B83" s="25" t="s">
        <v>57</v>
      </c>
      <c r="C83" s="23">
        <f>21925000-325000-9673527</f>
        <v>11926473</v>
      </c>
      <c r="D83" s="23"/>
      <c r="E83" s="23"/>
      <c r="F83" s="23"/>
      <c r="G83" s="23"/>
      <c r="H83" s="23"/>
      <c r="I83" s="23"/>
      <c r="J83" s="23"/>
      <c r="K83" s="24">
        <f t="shared" ref="K83" si="27">SUM(C83:J83)</f>
        <v>11926473</v>
      </c>
    </row>
    <row r="84" spans="1:11" ht="9" customHeight="1" x14ac:dyDescent="0.3">
      <c r="A84" s="45"/>
      <c r="B84" s="25"/>
      <c r="C84" s="23"/>
      <c r="D84" s="23"/>
      <c r="E84" s="23"/>
      <c r="F84" s="23"/>
      <c r="G84" s="23"/>
      <c r="H84" s="23"/>
      <c r="I84" s="23"/>
      <c r="J84" s="23"/>
      <c r="K84" s="24"/>
    </row>
    <row r="85" spans="1:11" s="56" customFormat="1" x14ac:dyDescent="0.3">
      <c r="A85" s="53">
        <v>4140000</v>
      </c>
      <c r="B85" s="54" t="s">
        <v>58</v>
      </c>
      <c r="C85" s="55">
        <f>34211005+1620629</f>
        <v>35831634</v>
      </c>
      <c r="D85" s="55">
        <v>0</v>
      </c>
      <c r="E85" s="55">
        <v>185649</v>
      </c>
      <c r="F85" s="55">
        <v>2896581</v>
      </c>
      <c r="G85" s="55">
        <v>1242037</v>
      </c>
      <c r="H85" s="55">
        <v>3277892</v>
      </c>
      <c r="I85" s="55">
        <v>2974316</v>
      </c>
      <c r="J85" s="55">
        <v>1227520</v>
      </c>
      <c r="K85" s="31">
        <f t="shared" ref="K85" si="28">SUM(C85:J85)</f>
        <v>47635629</v>
      </c>
    </row>
    <row r="86" spans="1:11" ht="9" customHeight="1" thickBot="1" x14ac:dyDescent="0.35">
      <c r="A86" s="47"/>
      <c r="B86" s="48"/>
      <c r="C86" s="49"/>
      <c r="D86" s="49"/>
      <c r="E86" s="49"/>
      <c r="F86" s="49"/>
      <c r="G86" s="49"/>
      <c r="H86" s="49"/>
      <c r="I86" s="49"/>
      <c r="J86" s="49"/>
      <c r="K86" s="50"/>
    </row>
    <row r="87" spans="1:11" ht="31.2" x14ac:dyDescent="0.3">
      <c r="A87" s="51">
        <v>5000000</v>
      </c>
      <c r="B87" s="52" t="s">
        <v>75</v>
      </c>
      <c r="C87" s="42">
        <f>143774909-301038-869623-535526</f>
        <v>142068722</v>
      </c>
      <c r="D87" s="42">
        <f>7598858+72444</f>
        <v>7671302</v>
      </c>
      <c r="E87" s="42">
        <f>31703414+126519</f>
        <v>31829933</v>
      </c>
      <c r="F87" s="42">
        <f>20606395+45830</f>
        <v>20652225</v>
      </c>
      <c r="G87" s="42">
        <f>10602035+83238</f>
        <v>10685273</v>
      </c>
      <c r="H87" s="42">
        <f>2626158+100000</f>
        <v>2726158</v>
      </c>
      <c r="I87" s="42">
        <v>4564861</v>
      </c>
      <c r="J87" s="42">
        <f>3319794+24617</f>
        <v>3344411</v>
      </c>
      <c r="K87" s="43">
        <f t="shared" ref="K87:K89" si="29">SUM(C87:J87)</f>
        <v>223542885</v>
      </c>
    </row>
    <row r="88" spans="1:11" ht="9.6" customHeight="1" thickBot="1" x14ac:dyDescent="0.35">
      <c r="A88" s="87"/>
      <c r="B88" s="88"/>
      <c r="C88" s="89"/>
      <c r="D88" s="89"/>
      <c r="E88" s="89"/>
      <c r="F88" s="89"/>
      <c r="G88" s="89"/>
      <c r="H88" s="89"/>
      <c r="I88" s="89"/>
      <c r="J88" s="89"/>
      <c r="K88" s="90"/>
    </row>
    <row r="89" spans="1:11" ht="31.8" thickBot="1" x14ac:dyDescent="0.35">
      <c r="A89" s="74">
        <v>6010000</v>
      </c>
      <c r="B89" s="91" t="s">
        <v>68</v>
      </c>
      <c r="C89" s="62">
        <f>236346291+1000</f>
        <v>236347291</v>
      </c>
      <c r="D89" s="62"/>
      <c r="E89" s="62"/>
      <c r="F89" s="62"/>
      <c r="G89" s="62"/>
      <c r="H89" s="62"/>
      <c r="I89" s="62"/>
      <c r="J89" s="62"/>
      <c r="K89" s="92">
        <f t="shared" si="29"/>
        <v>236347291</v>
      </c>
    </row>
    <row r="90" spans="1:11" ht="7.8" customHeight="1" thickBot="1" x14ac:dyDescent="0.35">
      <c r="A90" s="87"/>
      <c r="B90" s="88"/>
      <c r="C90" s="89"/>
      <c r="D90" s="89"/>
      <c r="E90" s="89"/>
      <c r="F90" s="89"/>
      <c r="G90" s="89"/>
      <c r="H90" s="89"/>
      <c r="I90" s="89"/>
      <c r="J90" s="89"/>
      <c r="K90" s="90"/>
    </row>
    <row r="91" spans="1:11" ht="16.2" thickBot="1" x14ac:dyDescent="0.35">
      <c r="A91" s="60"/>
      <c r="B91" s="61" t="s">
        <v>56</v>
      </c>
      <c r="C91" s="62">
        <f>SUM(C14+C47+C69+C87+C65+C89)</f>
        <v>3096608428</v>
      </c>
      <c r="D91" s="62">
        <f t="shared" ref="D91:I91" si="30">SUM(D14+D47+D69+D87+D65+D89)</f>
        <v>144918249</v>
      </c>
      <c r="E91" s="62">
        <f t="shared" si="30"/>
        <v>172109564</v>
      </c>
      <c r="F91" s="62">
        <f t="shared" si="30"/>
        <v>126475161</v>
      </c>
      <c r="G91" s="62">
        <f t="shared" si="30"/>
        <v>53846013</v>
      </c>
      <c r="H91" s="62">
        <f t="shared" si="30"/>
        <v>77409038</v>
      </c>
      <c r="I91" s="62">
        <f t="shared" si="30"/>
        <v>53520481</v>
      </c>
      <c r="J91" s="62">
        <f>SUM(J14+J47+J69+J87+J65+J89)</f>
        <v>19008040</v>
      </c>
      <c r="K91" s="63">
        <f>SUM(C91:J91)</f>
        <v>3743894974</v>
      </c>
    </row>
    <row r="94" spans="1:11" x14ac:dyDescent="0.3">
      <c r="A94" s="57"/>
      <c r="B94" s="58"/>
      <c r="C94" s="11"/>
      <c r="D94" s="11"/>
      <c r="E94" s="11"/>
      <c r="F94" s="11"/>
      <c r="G94" s="11"/>
      <c r="H94" s="11"/>
      <c r="I94" s="11"/>
      <c r="J94" s="11"/>
      <c r="K94" s="11"/>
    </row>
  </sheetData>
  <mergeCells count="6">
    <mergeCell ref="A11:K11"/>
    <mergeCell ref="J1:K1"/>
    <mergeCell ref="H2:K2"/>
    <mergeCell ref="I3:K3"/>
    <mergeCell ref="H4:K4"/>
    <mergeCell ref="I5:K5"/>
  </mergeCells>
  <pageMargins left="0.39370078740157483" right="0.39370078740157483" top="0.43307086614173229" bottom="0.39370078740157483" header="0" footer="0"/>
  <pageSetup paperSize="9" scale="72" firstPageNumber="18" fitToHeight="3" orientation="landscape" useFirstPageNumber="1" r:id="rId1"/>
  <headerFooter scaleWithDoc="0" alignWithMargins="0">
    <oddHeader>&amp;C&amp;P</oddHeader>
  </headerFooter>
  <rowBreaks count="2" manualBreakCount="2">
    <brk id="32" max="10" man="1"/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(1695)</vt:lpstr>
      <vt:lpstr>'приложение № 1 (1695)'!Заголовки_для_печати</vt:lpstr>
      <vt:lpstr>'приложение № 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2025-11-26T12:14:47Z</dcterms:modified>
</cp:coreProperties>
</file>