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912" windowHeight="10092"/>
  </bookViews>
  <sheets>
    <sheet name="1588" sheetId="6" r:id="rId1"/>
  </sheets>
  <definedNames>
    <definedName name="_xlnm.Print_Titles" localSheetId="0">'1588'!$13:$13</definedName>
    <definedName name="_xlnm.Print_Area" localSheetId="0">'1588'!$A$1:$K$69</definedName>
  </definedNames>
  <calcPr calcId="162913" fullPrecision="0"/>
</workbook>
</file>

<file path=xl/calcChain.xml><?xml version="1.0" encoding="utf-8"?>
<calcChain xmlns="http://schemas.openxmlformats.org/spreadsheetml/2006/main">
  <c r="K69" i="6" l="1"/>
  <c r="J62" i="6" l="1"/>
  <c r="I61" i="6"/>
  <c r="H62" i="6"/>
  <c r="H61" i="6"/>
  <c r="G62" i="6"/>
  <c r="G61" i="6"/>
  <c r="F61" i="6"/>
  <c r="E61" i="6"/>
  <c r="E62" i="6"/>
  <c r="D62" i="6"/>
  <c r="C62" i="6"/>
  <c r="C61" i="6"/>
  <c r="J58" i="6"/>
  <c r="H58" i="6"/>
  <c r="F58" i="6"/>
  <c r="C58" i="6"/>
  <c r="I46" i="6" l="1"/>
  <c r="H46" i="6"/>
  <c r="G46" i="6"/>
  <c r="F46" i="6"/>
  <c r="E46" i="6"/>
  <c r="D46" i="6"/>
  <c r="J17" i="6"/>
  <c r="J15" i="6" s="1"/>
  <c r="I17" i="6"/>
  <c r="I15" i="6" s="1"/>
  <c r="C18" i="6"/>
  <c r="J18" i="6"/>
  <c r="I18" i="6"/>
  <c r="H18" i="6"/>
  <c r="H17" i="6" s="1"/>
  <c r="H15" i="6" s="1"/>
  <c r="G18" i="6"/>
  <c r="F18" i="6"/>
  <c r="F17" i="6" s="1"/>
  <c r="F15" i="6" s="1"/>
  <c r="E18" i="6"/>
  <c r="E17" i="6" s="1"/>
  <c r="E15" i="6" s="1"/>
  <c r="D18" i="6"/>
  <c r="D17" i="6" s="1"/>
  <c r="D15" i="6" s="1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6" i="6"/>
  <c r="I33" i="6"/>
  <c r="I58" i="6" s="1"/>
  <c r="G33" i="6"/>
  <c r="G58" i="6" s="1"/>
  <c r="E33" i="6"/>
  <c r="E58" i="6" s="1"/>
  <c r="D33" i="6"/>
  <c r="D58" i="6" s="1"/>
  <c r="G17" i="6" l="1"/>
  <c r="G15" i="6" s="1"/>
  <c r="K33" i="6"/>
  <c r="K18" i="6"/>
  <c r="C17" i="6"/>
  <c r="C15" i="6" s="1"/>
  <c r="K15" i="6" s="1"/>
  <c r="J57" i="6"/>
  <c r="I57" i="6"/>
  <c r="H57" i="6"/>
  <c r="G57" i="6"/>
  <c r="F57" i="6"/>
  <c r="E57" i="6"/>
  <c r="D57" i="6"/>
  <c r="C57" i="6"/>
  <c r="K57" i="6" l="1"/>
  <c r="K17" i="6"/>
  <c r="D56" i="6"/>
  <c r="E36" i="6"/>
  <c r="F36" i="6"/>
  <c r="G36" i="6"/>
  <c r="H36" i="6"/>
  <c r="I36" i="6"/>
  <c r="J36" i="6"/>
  <c r="C37" i="6"/>
  <c r="C46" i="6" s="1"/>
  <c r="C39" i="6"/>
  <c r="C56" i="6"/>
  <c r="I56" i="6" l="1"/>
  <c r="G56" i="6"/>
  <c r="F56" i="6"/>
  <c r="E56" i="6"/>
  <c r="K62" i="6"/>
  <c r="K61" i="6"/>
  <c r="H56" i="6"/>
  <c r="J46" i="6"/>
  <c r="J56" i="6" l="1"/>
  <c r="K56" i="6" s="1"/>
  <c r="D66" i="6"/>
  <c r="J66" i="6"/>
  <c r="I66" i="6"/>
  <c r="H66" i="6"/>
  <c r="G66" i="6"/>
  <c r="F66" i="6"/>
  <c r="E66" i="6"/>
  <c r="C66" i="6"/>
  <c r="J60" i="6"/>
  <c r="I60" i="6"/>
  <c r="H60" i="6"/>
  <c r="G60" i="6"/>
  <c r="F60" i="6"/>
  <c r="E60" i="6"/>
  <c r="D60" i="6"/>
  <c r="C60" i="6"/>
  <c r="C65" i="6"/>
  <c r="D65" i="6"/>
  <c r="D64" i="6" s="1"/>
  <c r="E65" i="6"/>
  <c r="F65" i="6"/>
  <c r="F64" i="6" s="1"/>
  <c r="G65" i="6"/>
  <c r="G64" i="6" s="1"/>
  <c r="H65" i="6"/>
  <c r="I65" i="6"/>
  <c r="I64" i="6" s="1"/>
  <c r="J65" i="6"/>
  <c r="J64" i="6" s="1"/>
  <c r="K67" i="6"/>
  <c r="C68" i="6"/>
  <c r="K68" i="6" s="1"/>
  <c r="C48" i="6"/>
  <c r="C47" i="6" s="1"/>
  <c r="C42" i="6"/>
  <c r="C36" i="6" s="1"/>
  <c r="D42" i="6"/>
  <c r="D36" i="6" s="1"/>
  <c r="K51" i="6"/>
  <c r="K50" i="6"/>
  <c r="K49" i="6"/>
  <c r="J48" i="6"/>
  <c r="J47" i="6" s="1"/>
  <c r="I48" i="6"/>
  <c r="H48" i="6"/>
  <c r="H47" i="6" s="1"/>
  <c r="G48" i="6"/>
  <c r="G47" i="6" s="1"/>
  <c r="F48" i="6"/>
  <c r="F47" i="6" s="1"/>
  <c r="E48" i="6"/>
  <c r="E47" i="6" s="1"/>
  <c r="E44" i="6" s="1"/>
  <c r="E52" i="6" s="1"/>
  <c r="D48" i="6"/>
  <c r="D47" i="6" s="1"/>
  <c r="D44" i="6" s="1"/>
  <c r="K45" i="6"/>
  <c r="K41" i="6"/>
  <c r="K40" i="6"/>
  <c r="K39" i="6"/>
  <c r="K38" i="6"/>
  <c r="H64" i="6" l="1"/>
  <c r="C64" i="6"/>
  <c r="E64" i="6"/>
  <c r="E55" i="6"/>
  <c r="E54" i="6" s="1"/>
  <c r="K60" i="6"/>
  <c r="K36" i="6"/>
  <c r="K58" i="6"/>
  <c r="C44" i="6"/>
  <c r="C52" i="6" s="1"/>
  <c r="F44" i="6"/>
  <c r="F52" i="6" s="1"/>
  <c r="G44" i="6"/>
  <c r="G52" i="6" s="1"/>
  <c r="H44" i="6"/>
  <c r="H52" i="6" s="1"/>
  <c r="K37" i="6"/>
  <c r="K66" i="6"/>
  <c r="K65" i="6"/>
  <c r="K64" i="6" s="1"/>
  <c r="K48" i="6"/>
  <c r="D52" i="6"/>
  <c r="J44" i="6"/>
  <c r="J52" i="6" s="1"/>
  <c r="K46" i="6"/>
  <c r="I47" i="6"/>
  <c r="K47" i="6" s="1"/>
  <c r="D55" i="6" l="1"/>
  <c r="D54" i="6" s="1"/>
  <c r="H55" i="6"/>
  <c r="H54" i="6" s="1"/>
  <c r="F55" i="6"/>
  <c r="F54" i="6" s="1"/>
  <c r="G55" i="6"/>
  <c r="G54" i="6" s="1"/>
  <c r="J55" i="6"/>
  <c r="J54" i="6" s="1"/>
  <c r="I44" i="6"/>
  <c r="I52" i="6" s="1"/>
  <c r="K52" i="6" s="1"/>
  <c r="K42" i="6"/>
  <c r="K44" i="6" l="1"/>
  <c r="M37" i="6" s="1"/>
  <c r="I55" i="6"/>
  <c r="I54" i="6" s="1"/>
  <c r="C55" i="6"/>
  <c r="C54" i="6" s="1"/>
  <c r="K54" i="6" l="1"/>
  <c r="K55" i="6"/>
  <c r="M36" i="6" s="1"/>
</calcChain>
</file>

<file path=xl/sharedStrings.xml><?xml version="1.0" encoding="utf-8"?>
<sst xmlns="http://schemas.openxmlformats.org/spreadsheetml/2006/main" count="121" uniqueCount="119">
  <si>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</si>
  <si>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</si>
  <si>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</si>
  <si>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</si>
  <si>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</si>
  <si>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</si>
  <si>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</si>
  <si>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</si>
  <si>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</si>
  <si>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</si>
  <si>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</si>
  <si>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</si>
  <si>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</si>
  <si>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</si>
  <si>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(руб.)</t>
  </si>
  <si>
    <t>1.</t>
  </si>
  <si>
    <t>2.</t>
  </si>
  <si>
    <t>3.</t>
  </si>
  <si>
    <t>4.</t>
  </si>
  <si>
    <t>5.</t>
  </si>
  <si>
    <t>за счет фонда поддержки территорий городов и районов</t>
  </si>
  <si>
    <t>2.2.</t>
  </si>
  <si>
    <t>2.1.</t>
  </si>
  <si>
    <t>на возмещение льгот по коммунальным услугам и услугам жилищного фонда</t>
  </si>
  <si>
    <t>5.1.</t>
  </si>
  <si>
    <t>за счет Дорожного фонда (на развитие дорожной отрасли)</t>
  </si>
  <si>
    <t>поступления в доходы территориального экологического фонда</t>
  </si>
  <si>
    <t>от оказания платных услуг и иной приносящей доход деятельности</t>
  </si>
  <si>
    <t>1.1.</t>
  </si>
  <si>
    <t>1.2.</t>
  </si>
  <si>
    <t>не имеющие целевого назначения</t>
  </si>
  <si>
    <t>имеющие целевое назначение, из них:</t>
  </si>
  <si>
    <t>Предельные расходы, из них:</t>
  </si>
  <si>
    <t>за счет доходов, имеющих целевое назначение</t>
  </si>
  <si>
    <t>по прочим направлениям, из них: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</si>
  <si>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</si>
  <si>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</si>
  <si>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за счет доходов, не имеющих целевого назначения, из них:</t>
  </si>
  <si>
    <t>по социально защищенным статьям, из них:</t>
  </si>
  <si>
    <t>дотации (трансферты) из республиканского бюджета</t>
  </si>
  <si>
    <t xml:space="preserve">на оплату коммунальных услуг </t>
  </si>
  <si>
    <t>Основные параметры местных бюджетов, источники покрытия дефицита местных бюджетов, объемы субсидий из республиканского бюджета на 2025 год</t>
  </si>
  <si>
    <t>расходы на проведение выборов</t>
  </si>
  <si>
    <t>на цели осуществления городом Тирасполем функций столицы</t>
  </si>
  <si>
    <t>целевые сборы и платежи всего, в том числе:</t>
  </si>
  <si>
    <t>а)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</si>
  <si>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</si>
  <si>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</si>
  <si>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</si>
  <si>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</si>
  <si>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</si>
  <si>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</si>
  <si>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</si>
  <si>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</si>
  <si>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</si>
  <si>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</si>
  <si>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</si>
  <si>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</si>
  <si>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</si>
  <si>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</si>
  <si>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</si>
  <si>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</si>
  <si>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</si>
  <si>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</si>
  <si>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</si>
  <si>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</si>
  <si>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</si>
  <si>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</si>
  <si>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нераспределенные субсидии, выделенные из республиканского бюджета 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</si>
  <si>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не имеющие целевого назначения  (очищенные)</t>
  </si>
  <si>
    <t xml:space="preserve">целевой сбор на благоустройство территории города, села (поселка)     </t>
  </si>
  <si>
    <t>направляемые на кредитование вдовам защитников ПМР</t>
  </si>
  <si>
    <t>Остатки по состоянию на 01.01.2025 года</t>
  </si>
  <si>
    <t xml:space="preserve"> Приложение № 4</t>
  </si>
  <si>
    <t xml:space="preserve"> к  Закону Приднестровской Молдавской Республики </t>
  </si>
  <si>
    <t xml:space="preserve">"О республиканском бюджете на 2025 год" </t>
  </si>
  <si>
    <t>имеющие целевое назначение</t>
  </si>
  <si>
    <t>л)</t>
  </si>
  <si>
    <t>м)</t>
  </si>
  <si>
    <t>1.2.1.</t>
  </si>
  <si>
    <t>1.2.2.</t>
  </si>
  <si>
    <t>1.2.3.</t>
  </si>
  <si>
    <t>1.2.4.</t>
  </si>
  <si>
    <t>1.2.5.</t>
  </si>
  <si>
    <r>
      <t>2.1.1</t>
    </r>
    <r>
      <rPr>
        <sz val="11"/>
        <color rgb="FF00B0F0"/>
        <rFont val="Times New Roman"/>
        <family val="1"/>
        <charset val="204"/>
      </rPr>
      <t>.</t>
    </r>
  </si>
  <si>
    <r>
      <t>2.1.2</t>
    </r>
    <r>
      <rPr>
        <sz val="11"/>
        <color rgb="FF00B0F0"/>
        <rFont val="Times New Roman"/>
        <family val="1"/>
        <charset val="204"/>
      </rPr>
      <t>.</t>
    </r>
  </si>
  <si>
    <r>
      <t>2.1.3</t>
    </r>
    <r>
      <rPr>
        <sz val="11"/>
        <color rgb="FF00B0F0"/>
        <rFont val="Times New Roman"/>
        <family val="1"/>
        <charset val="204"/>
      </rPr>
      <t>.</t>
    </r>
  </si>
  <si>
    <r>
      <t>2.1.4</t>
    </r>
    <r>
      <rPr>
        <sz val="11"/>
        <color rgb="FF00B0F0"/>
        <rFont val="Times New Roman"/>
        <family val="1"/>
        <charset val="204"/>
      </rPr>
      <t>.</t>
    </r>
  </si>
  <si>
    <t>3.1.</t>
  </si>
  <si>
    <t>3.2.</t>
  </si>
  <si>
    <t>3.3.</t>
  </si>
  <si>
    <t>3.3.1.</t>
  </si>
  <si>
    <r>
      <t>3.3.1.1</t>
    </r>
    <r>
      <rPr>
        <i/>
        <sz val="11"/>
        <color rgb="FF00B0F0"/>
        <rFont val="Times New Roman"/>
        <family val="1"/>
        <charset val="204"/>
      </rPr>
      <t>.</t>
    </r>
  </si>
  <si>
    <t>3.3.2.</t>
  </si>
  <si>
    <r>
      <t>3.3.2.1</t>
    </r>
    <r>
      <rPr>
        <i/>
        <sz val="11"/>
        <color rgb="FF00B0F0"/>
        <rFont val="Times New Roman"/>
        <family val="1"/>
        <charset val="204"/>
      </rPr>
      <t>.</t>
    </r>
  </si>
  <si>
    <r>
      <t>5.2</t>
    </r>
    <r>
      <rPr>
        <sz val="10"/>
        <color rgb="FF00B0F0"/>
        <rFont val="Times New Roman"/>
        <family val="1"/>
        <charset val="204"/>
      </rPr>
      <t>.</t>
    </r>
  </si>
  <si>
    <t>5.2.1.</t>
  </si>
  <si>
    <t>5.2.2.</t>
  </si>
  <si>
    <t>6.</t>
  </si>
  <si>
    <t>7.</t>
  </si>
  <si>
    <t>6.1.</t>
  </si>
  <si>
    <r>
      <t>6.2</t>
    </r>
    <r>
      <rPr>
        <sz val="10"/>
        <color rgb="FF00B0F0"/>
        <rFont val="Times New Roman"/>
        <family val="1"/>
        <charset val="204"/>
      </rPr>
      <t>.</t>
    </r>
  </si>
  <si>
    <t>7.1.</t>
  </si>
  <si>
    <t>7.2.</t>
  </si>
  <si>
    <t>7.3.</t>
  </si>
  <si>
    <t>7.4.</t>
  </si>
  <si>
    <t>на содержание и благоустройство ИВМК «Бендерская крепость» и парка им. А. Невского</t>
  </si>
  <si>
    <t>Нераспределенные остатки по состоянию на 01.01.2025г., в том числе:</t>
  </si>
  <si>
    <t xml:space="preserve">часть остатков целевого сбора на благоустройство территории города, села (поселка)     </t>
  </si>
  <si>
    <t xml:space="preserve">часть остатков налога на содержание жилищного фонда </t>
  </si>
  <si>
    <t>7.5.</t>
  </si>
  <si>
    <t xml:space="preserve"> Приложение № 18</t>
  </si>
  <si>
    <t>к 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</si>
  <si>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</si>
  <si>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</si>
  <si>
    <t>в соответствии с частью второй пункта 3 статьи 4 настоящего Закона</t>
  </si>
  <si>
    <t>Субсидии из республиканского бюджета, в том числе прошлых лет:</t>
  </si>
  <si>
    <t>остатки по состоянию на 01.01.2025 года</t>
  </si>
  <si>
    <t>имеющие целевое назначение, в том числе часть остатков целевого сбора на благоустройство территории города, села (поселка) и налога на содержание жилищного фонда, необходимых для погашения кредиторской задолженности за 2024 год и обеспечения принятых в 2024 году бюджетных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</si>
</sst>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i/>
      <sz val="10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7">
    <xf numFmtId="0" fontId="0" fillId="0" borderId="0" xfId="0"/>
    <xf numFmtId="3" fontId="3" fillId="0" borderId="0" xfId="0" applyNumberFormat="1" applyFont="1"/>
    <xf numFmtId="3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/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horizontal="right" wrapText="1"/>
    </xf>
    <xf numFmtId="3" fontId="3" fillId="2" borderId="1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right" wrapText="1"/>
    </xf>
    <xf numFmtId="3" fontId="4" fillId="0" borderId="0" xfId="0" applyNumberFormat="1" applyFont="1"/>
    <xf numFmtId="3" fontId="3" fillId="0" borderId="1" xfId="0" applyNumberFormat="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/>
    </xf>
    <xf numFmtId="3" fontId="3" fillId="0" borderId="1" xfId="11" applyNumberFormat="1" applyFont="1" applyBorder="1" applyAlignment="1">
      <alignment vertical="center" wrapText="1"/>
    </xf>
    <xf numFmtId="0" fontId="3" fillId="0" borderId="1" xfId="11" applyFont="1" applyBorder="1" applyAlignment="1">
      <alignment vertical="center" wrapText="1"/>
    </xf>
    <xf numFmtId="3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 wrapText="1"/>
    </xf>
    <xf numFmtId="49" fontId="3" fillId="2" borderId="1" xfId="1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3" fontId="2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24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15" fillId="0" borderId="0" xfId="0" applyNumberFormat="1" applyFont="1" applyFill="1" applyAlignment="1">
      <alignment vertical="center"/>
    </xf>
    <xf numFmtId="0" fontId="3" fillId="2" borderId="1" xfId="1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49" fontId="15" fillId="3" borderId="1" xfId="11" applyNumberFormat="1" applyFont="1" applyFill="1" applyBorder="1" applyAlignment="1">
      <alignment horizontal="center" vertical="center"/>
    </xf>
    <xf numFmtId="3" fontId="15" fillId="3" borderId="1" xfId="11" applyNumberFormat="1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vertical="center"/>
    </xf>
    <xf numFmtId="3" fontId="25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wrapText="1"/>
    </xf>
    <xf numFmtId="3" fontId="14" fillId="0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right" vertical="center"/>
    </xf>
    <xf numFmtId="3" fontId="25" fillId="0" borderId="0" xfId="0" applyNumberFormat="1" applyFont="1" applyAlignment="1">
      <alignment horizontal="right"/>
    </xf>
  </cellXfs>
  <cellStyles count="21">
    <cellStyle name="Обычный" xfId="0" builtinId="0"/>
    <cellStyle name="Обычный 2" xfId="11"/>
    <cellStyle name="Обычный 3" xfId="12"/>
    <cellStyle name="Финансовый 2" xfId="1"/>
    <cellStyle name="Финансовый 2 2" xfId="4"/>
    <cellStyle name="Финансовый 2 2 2" xfId="9"/>
    <cellStyle name="Финансовый 2 2 3" xfId="19"/>
    <cellStyle name="Финансовый 2 3" xfId="6"/>
    <cellStyle name="Финансовый 2 4" xfId="15"/>
    <cellStyle name="Финансовый 3" xfId="2"/>
    <cellStyle name="Финансовый 3 2" xfId="7"/>
    <cellStyle name="Финансовый 3 2 2" xfId="18"/>
    <cellStyle name="Финансовый 3 2 3" xfId="14"/>
    <cellStyle name="Финансовый 3 3" xfId="17"/>
    <cellStyle name="Финансовый 3 4" xfId="13"/>
    <cellStyle name="Финансовый 4" xfId="3"/>
    <cellStyle name="Финансовый 4 2" xfId="8"/>
    <cellStyle name="Финансовый 4 3" xfId="20"/>
    <cellStyle name="Финансовый 5" xfId="5"/>
    <cellStyle name="Финансовый 5 2" xfId="10"/>
    <cellStyle name="Финансовый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zoomScale="110" zoomScaleNormal="110" workbookViewId="0">
      <pane xSplit="2" ySplit="13" topLeftCell="C51" activePane="bottomRight" state="frozen"/>
      <selection pane="topRight" activeCell="C1" sqref="C1"/>
      <selection pane="bottomLeft" activeCell="A12" sqref="A12"/>
      <selection pane="bottomRight" activeCell="B59" sqref="B59"/>
    </sheetView>
  </sheetViews>
  <sheetFormatPr defaultColWidth="9.109375" defaultRowHeight="13.2" x14ac:dyDescent="0.25"/>
  <cols>
    <col min="1" max="1" width="8" style="1" bestFit="1" customWidth="1"/>
    <col min="2" max="2" width="51.5546875" style="1" customWidth="1"/>
    <col min="3" max="3" width="11.33203125" style="1" bestFit="1" customWidth="1"/>
    <col min="4" max="4" width="11.5546875" style="1" bestFit="1" customWidth="1"/>
    <col min="5" max="6" width="11.33203125" style="1" bestFit="1" customWidth="1"/>
    <col min="7" max="7" width="11.33203125" style="4" bestFit="1" customWidth="1"/>
    <col min="8" max="8" width="11.33203125" style="1" bestFit="1" customWidth="1"/>
    <col min="9" max="9" width="14" style="1" bestFit="1" customWidth="1"/>
    <col min="10" max="10" width="10.33203125" style="1" bestFit="1" customWidth="1"/>
    <col min="11" max="11" width="13.109375" style="12" customWidth="1"/>
    <col min="12" max="12" width="9.109375" style="1"/>
    <col min="13" max="13" width="44" style="1" customWidth="1"/>
    <col min="14" max="16384" width="9.109375" style="1"/>
  </cols>
  <sheetData>
    <row r="1" spans="1:11" ht="15.6" x14ac:dyDescent="0.25">
      <c r="H1" s="65" t="s">
        <v>111</v>
      </c>
      <c r="I1" s="65"/>
      <c r="J1" s="65"/>
      <c r="K1" s="65"/>
    </row>
    <row r="2" spans="1:11" ht="15.6" x14ac:dyDescent="0.25">
      <c r="H2" s="65" t="s">
        <v>112</v>
      </c>
      <c r="I2" s="65"/>
      <c r="J2" s="65"/>
      <c r="K2" s="65"/>
    </row>
    <row r="3" spans="1:11" ht="18.600000000000001" customHeight="1" x14ac:dyDescent="0.25">
      <c r="H3" s="65" t="s">
        <v>113</v>
      </c>
      <c r="I3" s="65"/>
      <c r="J3" s="65"/>
      <c r="K3" s="65"/>
    </row>
    <row r="4" spans="1:11" ht="15.6" customHeight="1" x14ac:dyDescent="0.3">
      <c r="H4" s="66" t="s">
        <v>114</v>
      </c>
      <c r="I4" s="66"/>
      <c r="J4" s="66"/>
      <c r="K4" s="66"/>
    </row>
    <row r="5" spans="1:11" ht="18" customHeight="1" x14ac:dyDescent="0.3">
      <c r="H5" s="66" t="s">
        <v>75</v>
      </c>
      <c r="I5" s="66"/>
      <c r="J5" s="66"/>
      <c r="K5" s="66"/>
    </row>
    <row r="6" spans="1:11" ht="12.6" customHeight="1" x14ac:dyDescent="0.3">
      <c r="H6" s="62"/>
      <c r="I6" s="62"/>
      <c r="J6" s="62"/>
      <c r="K6" s="62"/>
    </row>
    <row r="7" spans="1:11" s="8" customFormat="1" ht="15.6" x14ac:dyDescent="0.3">
      <c r="A7" s="5"/>
      <c r="B7" s="6"/>
      <c r="C7" s="7"/>
      <c r="D7" s="7"/>
      <c r="E7" s="7"/>
      <c r="F7" s="7"/>
      <c r="G7" s="7"/>
      <c r="H7" s="63" t="s">
        <v>73</v>
      </c>
      <c r="I7" s="63"/>
      <c r="J7" s="63"/>
      <c r="K7" s="63"/>
    </row>
    <row r="8" spans="1:11" s="8" customFormat="1" ht="15.6" x14ac:dyDescent="0.3">
      <c r="A8" s="5"/>
      <c r="B8" s="6"/>
      <c r="C8" s="7"/>
      <c r="D8" s="7"/>
      <c r="E8" s="7"/>
      <c r="F8" s="7"/>
      <c r="G8" s="63" t="s">
        <v>74</v>
      </c>
      <c r="H8" s="63"/>
      <c r="I8" s="63"/>
      <c r="J8" s="63"/>
      <c r="K8" s="63"/>
    </row>
    <row r="9" spans="1:11" s="8" customFormat="1" ht="15.6" x14ac:dyDescent="0.3">
      <c r="A9" s="5"/>
      <c r="B9" s="6"/>
      <c r="C9" s="7"/>
      <c r="D9" s="7"/>
      <c r="E9" s="7"/>
      <c r="F9" s="7"/>
      <c r="G9" s="7"/>
      <c r="H9" s="63" t="s">
        <v>75</v>
      </c>
      <c r="I9" s="63"/>
      <c r="J9" s="63"/>
      <c r="K9" s="63"/>
    </row>
    <row r="10" spans="1:11" s="8" customFormat="1" x14ac:dyDescent="0.25">
      <c r="A10" s="5"/>
      <c r="B10" s="6"/>
      <c r="C10" s="7"/>
      <c r="D10" s="7"/>
      <c r="E10" s="7"/>
      <c r="F10" s="7"/>
      <c r="G10" s="7"/>
      <c r="H10" s="9"/>
      <c r="I10" s="9"/>
      <c r="J10" s="9"/>
      <c r="K10" s="11"/>
    </row>
    <row r="11" spans="1:11" ht="15.6" x14ac:dyDescent="0.3">
      <c r="A11" s="64" t="s">
        <v>41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8" t="s">
        <v>14</v>
      </c>
    </row>
    <row r="13" spans="1:11" s="21" customFormat="1" x14ac:dyDescent="0.3">
      <c r="A13" s="19" t="s">
        <v>10</v>
      </c>
      <c r="B13" s="20" t="s">
        <v>0</v>
      </c>
      <c r="C13" s="19" t="s">
        <v>1</v>
      </c>
      <c r="D13" s="19" t="s">
        <v>2</v>
      </c>
      <c r="E13" s="19" t="s">
        <v>3</v>
      </c>
      <c r="F13" s="19" t="s">
        <v>4</v>
      </c>
      <c r="G13" s="19" t="s">
        <v>5</v>
      </c>
      <c r="H13" s="19" t="s">
        <v>6</v>
      </c>
      <c r="I13" s="19" t="s">
        <v>7</v>
      </c>
      <c r="J13" s="19" t="s">
        <v>8</v>
      </c>
      <c r="K13" s="19" t="s">
        <v>9</v>
      </c>
    </row>
    <row r="14" spans="1:11" s="21" customFormat="1" x14ac:dyDescent="0.3">
      <c r="A14" s="19"/>
      <c r="B14" s="20"/>
      <c r="C14" s="19"/>
      <c r="D14" s="19"/>
      <c r="E14" s="19"/>
      <c r="F14" s="19"/>
      <c r="G14" s="19"/>
      <c r="H14" s="19"/>
      <c r="I14" s="19"/>
      <c r="J14" s="19"/>
      <c r="K14" s="19"/>
    </row>
    <row r="15" spans="1:11" s="21" customFormat="1" ht="13.8" x14ac:dyDescent="0.3">
      <c r="A15" s="41" t="s">
        <v>15</v>
      </c>
      <c r="B15" s="42" t="s">
        <v>72</v>
      </c>
      <c r="C15" s="47">
        <f>C16+C17</f>
        <v>105085028</v>
      </c>
      <c r="D15" s="47">
        <f t="shared" ref="D15:J15" si="0">D16+D17</f>
        <v>11441698</v>
      </c>
      <c r="E15" s="47">
        <f t="shared" si="0"/>
        <v>6464703</v>
      </c>
      <c r="F15" s="47">
        <f t="shared" si="0"/>
        <v>28634752</v>
      </c>
      <c r="G15" s="47">
        <f t="shared" si="0"/>
        <v>13883816</v>
      </c>
      <c r="H15" s="47">
        <f t="shared" si="0"/>
        <v>5492400</v>
      </c>
      <c r="I15" s="47">
        <f t="shared" si="0"/>
        <v>6688997</v>
      </c>
      <c r="J15" s="47">
        <f t="shared" si="0"/>
        <v>6088084</v>
      </c>
      <c r="K15" s="47">
        <f>SUM(C15:J15)</f>
        <v>183779478</v>
      </c>
    </row>
    <row r="16" spans="1:11" s="21" customFormat="1" x14ac:dyDescent="0.3">
      <c r="A16" s="14" t="s">
        <v>28</v>
      </c>
      <c r="B16" s="15" t="s">
        <v>69</v>
      </c>
      <c r="C16" s="2">
        <v>83354160</v>
      </c>
      <c r="D16" s="2">
        <v>1980904</v>
      </c>
      <c r="E16" s="2">
        <v>213707</v>
      </c>
      <c r="F16" s="2">
        <v>15917310</v>
      </c>
      <c r="G16" s="2">
        <v>4854094</v>
      </c>
      <c r="H16" s="2">
        <v>1230308</v>
      </c>
      <c r="I16" s="2">
        <v>2475050</v>
      </c>
      <c r="J16" s="2">
        <v>1557938</v>
      </c>
      <c r="K16" s="2">
        <f t="shared" ref="K16:K32" si="1">SUM(C16:J16)</f>
        <v>111583471</v>
      </c>
    </row>
    <row r="17" spans="1:11" s="21" customFormat="1" x14ac:dyDescent="0.3">
      <c r="A17" s="14" t="s">
        <v>29</v>
      </c>
      <c r="B17" s="15" t="s">
        <v>76</v>
      </c>
      <c r="C17" s="2">
        <f>C18+C31+C32+C33+C34</f>
        <v>21730868</v>
      </c>
      <c r="D17" s="2">
        <f t="shared" ref="D17:J17" si="2">D18+D31+D32+D33+D34</f>
        <v>9460794</v>
      </c>
      <c r="E17" s="2">
        <f t="shared" si="2"/>
        <v>6250996</v>
      </c>
      <c r="F17" s="2">
        <f t="shared" si="2"/>
        <v>12717442</v>
      </c>
      <c r="G17" s="2">
        <f t="shared" si="2"/>
        <v>9029722</v>
      </c>
      <c r="H17" s="2">
        <f t="shared" si="2"/>
        <v>4262092</v>
      </c>
      <c r="I17" s="2">
        <f t="shared" si="2"/>
        <v>4213947</v>
      </c>
      <c r="J17" s="2">
        <f t="shared" si="2"/>
        <v>4530146</v>
      </c>
      <c r="K17" s="2">
        <f t="shared" si="1"/>
        <v>72196007</v>
      </c>
    </row>
    <row r="18" spans="1:11" s="21" customFormat="1" x14ac:dyDescent="0.3">
      <c r="A18" s="14" t="s">
        <v>79</v>
      </c>
      <c r="B18" s="15" t="s">
        <v>44</v>
      </c>
      <c r="C18" s="2">
        <f>SUM(C19:C30)</f>
        <v>11428375</v>
      </c>
      <c r="D18" s="2">
        <f t="shared" ref="D18:J18" si="3">SUM(D19:D30)</f>
        <v>7179807</v>
      </c>
      <c r="E18" s="2">
        <f t="shared" si="3"/>
        <v>2990283</v>
      </c>
      <c r="F18" s="2">
        <f t="shared" si="3"/>
        <v>7097305</v>
      </c>
      <c r="G18" s="2">
        <f t="shared" si="3"/>
        <v>4663858</v>
      </c>
      <c r="H18" s="2">
        <f t="shared" si="3"/>
        <v>2325155</v>
      </c>
      <c r="I18" s="2">
        <f t="shared" si="3"/>
        <v>3776908</v>
      </c>
      <c r="J18" s="2">
        <f t="shared" si="3"/>
        <v>2402014</v>
      </c>
      <c r="K18" s="2">
        <f>SUM(C18:J18)</f>
        <v>41863705</v>
      </c>
    </row>
    <row r="19" spans="1:11" s="21" customFormat="1" ht="26.4" x14ac:dyDescent="0.3">
      <c r="A19" s="14" t="s">
        <v>45</v>
      </c>
      <c r="B19" s="16" t="s">
        <v>70</v>
      </c>
      <c r="C19" s="2">
        <v>3541568</v>
      </c>
      <c r="D19" s="2">
        <v>285888</v>
      </c>
      <c r="E19" s="2">
        <v>443984</v>
      </c>
      <c r="F19" s="2">
        <v>2377805</v>
      </c>
      <c r="G19" s="2">
        <v>1272642</v>
      </c>
      <c r="H19" s="2">
        <v>755460</v>
      </c>
      <c r="I19" s="2">
        <v>819145</v>
      </c>
      <c r="J19" s="2">
        <v>294209</v>
      </c>
      <c r="K19" s="2">
        <f t="shared" si="1"/>
        <v>9790701</v>
      </c>
    </row>
    <row r="20" spans="1:11" s="21" customFormat="1" x14ac:dyDescent="0.3">
      <c r="A20" s="14" t="s">
        <v>46</v>
      </c>
      <c r="B20" s="16" t="s">
        <v>47</v>
      </c>
      <c r="C20" s="2"/>
      <c r="D20" s="2"/>
      <c r="E20" s="2">
        <v>1894</v>
      </c>
      <c r="F20" s="2">
        <v>3983</v>
      </c>
      <c r="G20" s="2"/>
      <c r="H20" s="2">
        <v>2092</v>
      </c>
      <c r="I20" s="2"/>
      <c r="J20" s="2">
        <v>26117</v>
      </c>
      <c r="K20" s="2">
        <f t="shared" si="1"/>
        <v>34086</v>
      </c>
    </row>
    <row r="21" spans="1:11" s="21" customFormat="1" x14ac:dyDescent="0.3">
      <c r="A21" s="14" t="s">
        <v>48</v>
      </c>
      <c r="B21" s="16" t="s">
        <v>49</v>
      </c>
      <c r="C21" s="2">
        <v>90319</v>
      </c>
      <c r="D21" s="2"/>
      <c r="E21" s="2">
        <v>46413</v>
      </c>
      <c r="F21" s="2">
        <v>1320323</v>
      </c>
      <c r="G21" s="2">
        <v>412841</v>
      </c>
      <c r="H21" s="2">
        <v>41127</v>
      </c>
      <c r="I21" s="2">
        <v>937292</v>
      </c>
      <c r="J21" s="2">
        <v>233576</v>
      </c>
      <c r="K21" s="2">
        <f t="shared" si="1"/>
        <v>3081891</v>
      </c>
    </row>
    <row r="22" spans="1:11" s="21" customFormat="1" x14ac:dyDescent="0.3">
      <c r="A22" s="14" t="s">
        <v>50</v>
      </c>
      <c r="B22" s="16" t="s">
        <v>51</v>
      </c>
      <c r="C22" s="2">
        <v>4470648</v>
      </c>
      <c r="D22" s="2">
        <v>6779535</v>
      </c>
      <c r="E22" s="2">
        <v>1378399</v>
      </c>
      <c r="F22" s="2">
        <v>1548347</v>
      </c>
      <c r="G22" s="2">
        <v>987780</v>
      </c>
      <c r="H22" s="2">
        <v>9182</v>
      </c>
      <c r="I22" s="2">
        <v>1462114</v>
      </c>
      <c r="J22" s="2">
        <v>603984</v>
      </c>
      <c r="K22" s="2">
        <f t="shared" si="1"/>
        <v>17239989</v>
      </c>
    </row>
    <row r="23" spans="1:11" s="21" customFormat="1" x14ac:dyDescent="0.3">
      <c r="A23" s="14" t="s">
        <v>52</v>
      </c>
      <c r="B23" s="16" t="s">
        <v>53</v>
      </c>
      <c r="C23" s="2"/>
      <c r="D23" s="2"/>
      <c r="E23" s="2"/>
      <c r="F23" s="2"/>
      <c r="G23" s="2"/>
      <c r="H23" s="2"/>
      <c r="I23" s="2">
        <v>8288</v>
      </c>
      <c r="J23" s="2"/>
      <c r="K23" s="2">
        <f t="shared" si="1"/>
        <v>8288</v>
      </c>
    </row>
    <row r="24" spans="1:11" s="21" customFormat="1" x14ac:dyDescent="0.3">
      <c r="A24" s="14" t="s">
        <v>54</v>
      </c>
      <c r="B24" s="16" t="s">
        <v>55</v>
      </c>
      <c r="C24" s="2">
        <v>3188380</v>
      </c>
      <c r="D24" s="2">
        <v>114384</v>
      </c>
      <c r="E24" s="2"/>
      <c r="F24" s="2"/>
      <c r="G24" s="2"/>
      <c r="H24" s="2"/>
      <c r="I24" s="2"/>
      <c r="J24" s="2"/>
      <c r="K24" s="2">
        <f t="shared" si="1"/>
        <v>3302764</v>
      </c>
    </row>
    <row r="25" spans="1:11" s="21" customFormat="1" x14ac:dyDescent="0.3">
      <c r="A25" s="14" t="s">
        <v>56</v>
      </c>
      <c r="B25" s="16" t="s">
        <v>57</v>
      </c>
      <c r="C25" s="2"/>
      <c r="D25" s="2"/>
      <c r="E25" s="2"/>
      <c r="F25" s="2">
        <v>541915</v>
      </c>
      <c r="G25" s="2"/>
      <c r="H25" s="2">
        <v>691482</v>
      </c>
      <c r="I25" s="2">
        <v>149968</v>
      </c>
      <c r="J25" s="2">
        <v>176832</v>
      </c>
      <c r="K25" s="2">
        <f t="shared" si="1"/>
        <v>1560197</v>
      </c>
    </row>
    <row r="26" spans="1:11" s="21" customFormat="1" x14ac:dyDescent="0.3">
      <c r="A26" s="14" t="s">
        <v>58</v>
      </c>
      <c r="B26" s="16" t="s">
        <v>59</v>
      </c>
      <c r="C26" s="2"/>
      <c r="D26" s="2"/>
      <c r="E26" s="2"/>
      <c r="F26" s="2">
        <v>58080</v>
      </c>
      <c r="G26" s="2"/>
      <c r="H26" s="2">
        <v>205661</v>
      </c>
      <c r="I26" s="2">
        <v>101185</v>
      </c>
      <c r="J26" s="2">
        <v>380743</v>
      </c>
      <c r="K26" s="2">
        <f t="shared" si="1"/>
        <v>745669</v>
      </c>
    </row>
    <row r="27" spans="1:11" s="21" customFormat="1" x14ac:dyDescent="0.3">
      <c r="A27" s="14" t="s">
        <v>60</v>
      </c>
      <c r="B27" s="16" t="s">
        <v>61</v>
      </c>
      <c r="C27" s="2">
        <v>137460</v>
      </c>
      <c r="D27" s="2"/>
      <c r="E27" s="2">
        <v>132928</v>
      </c>
      <c r="F27" s="2">
        <v>330339</v>
      </c>
      <c r="G27" s="2">
        <v>111750</v>
      </c>
      <c r="H27" s="2">
        <v>245490</v>
      </c>
      <c r="I27" s="2">
        <v>173294</v>
      </c>
      <c r="J27" s="2">
        <v>614282</v>
      </c>
      <c r="K27" s="2">
        <f t="shared" si="1"/>
        <v>1745543</v>
      </c>
    </row>
    <row r="28" spans="1:11" s="21" customFormat="1" x14ac:dyDescent="0.3">
      <c r="A28" s="14" t="s">
        <v>62</v>
      </c>
      <c r="B28" s="16" t="s">
        <v>71</v>
      </c>
      <c r="C28" s="2"/>
      <c r="D28" s="2"/>
      <c r="E28" s="2"/>
      <c r="F28" s="2"/>
      <c r="G28" s="2"/>
      <c r="H28" s="2"/>
      <c r="I28" s="2">
        <v>5250</v>
      </c>
      <c r="J28" s="2"/>
      <c r="K28" s="2">
        <f t="shared" si="1"/>
        <v>5250</v>
      </c>
    </row>
    <row r="29" spans="1:11" s="21" customFormat="1" x14ac:dyDescent="0.3">
      <c r="A29" s="14" t="s">
        <v>77</v>
      </c>
      <c r="B29" s="16" t="s">
        <v>63</v>
      </c>
      <c r="C29" s="2"/>
      <c r="D29" s="2"/>
      <c r="E29" s="2">
        <v>415453</v>
      </c>
      <c r="F29" s="2">
        <v>359705</v>
      </c>
      <c r="G29" s="2">
        <v>825911</v>
      </c>
      <c r="H29" s="2">
        <v>174095</v>
      </c>
      <c r="I29" s="2">
        <v>69477</v>
      </c>
      <c r="J29" s="2">
        <v>17501</v>
      </c>
      <c r="K29" s="2">
        <f t="shared" si="1"/>
        <v>1862142</v>
      </c>
    </row>
    <row r="30" spans="1:11" s="21" customFormat="1" x14ac:dyDescent="0.3">
      <c r="A30" s="14" t="s">
        <v>78</v>
      </c>
      <c r="B30" s="16" t="s">
        <v>64</v>
      </c>
      <c r="C30" s="2"/>
      <c r="D30" s="2"/>
      <c r="E30" s="2">
        <v>571212</v>
      </c>
      <c r="F30" s="2">
        <v>556808</v>
      </c>
      <c r="G30" s="2">
        <v>1052934</v>
      </c>
      <c r="H30" s="2">
        <v>200566</v>
      </c>
      <c r="I30" s="2">
        <v>50895</v>
      </c>
      <c r="J30" s="2">
        <v>54770</v>
      </c>
      <c r="K30" s="2">
        <f t="shared" si="1"/>
        <v>2487185</v>
      </c>
    </row>
    <row r="31" spans="1:11" s="21" customFormat="1" x14ac:dyDescent="0.3">
      <c r="A31" s="14" t="s">
        <v>80</v>
      </c>
      <c r="B31" s="16" t="s">
        <v>65</v>
      </c>
      <c r="C31" s="2">
        <v>6240</v>
      </c>
      <c r="D31" s="2">
        <v>2131627</v>
      </c>
      <c r="E31" s="2">
        <v>1106431</v>
      </c>
      <c r="F31" s="2">
        <v>1669986</v>
      </c>
      <c r="G31" s="2">
        <v>1118598</v>
      </c>
      <c r="H31" s="2">
        <v>369783</v>
      </c>
      <c r="I31" s="2">
        <v>224539</v>
      </c>
      <c r="J31" s="2">
        <v>246510</v>
      </c>
      <c r="K31" s="2">
        <f t="shared" si="1"/>
        <v>6873714</v>
      </c>
    </row>
    <row r="32" spans="1:11" s="21" customFormat="1" x14ac:dyDescent="0.3">
      <c r="A32" s="14" t="s">
        <v>81</v>
      </c>
      <c r="B32" s="16" t="s">
        <v>66</v>
      </c>
      <c r="C32" s="2">
        <v>5683534</v>
      </c>
      <c r="D32" s="2">
        <v>44226</v>
      </c>
      <c r="E32" s="2">
        <v>1763116</v>
      </c>
      <c r="F32" s="2">
        <v>715237</v>
      </c>
      <c r="G32" s="2">
        <v>644372</v>
      </c>
      <c r="H32" s="2">
        <v>657212</v>
      </c>
      <c r="I32" s="2">
        <v>180730</v>
      </c>
      <c r="J32" s="2">
        <v>875183</v>
      </c>
      <c r="K32" s="2">
        <f t="shared" si="1"/>
        <v>10563610</v>
      </c>
    </row>
    <row r="33" spans="1:13" s="21" customFormat="1" ht="26.4" x14ac:dyDescent="0.3">
      <c r="A33" s="14" t="s">
        <v>82</v>
      </c>
      <c r="B33" s="16" t="s">
        <v>67</v>
      </c>
      <c r="C33" s="2">
        <v>4612719</v>
      </c>
      <c r="D33" s="2">
        <f>105135-1</f>
        <v>105134</v>
      </c>
      <c r="E33" s="2">
        <f>49223-1</f>
        <v>49222</v>
      </c>
      <c r="F33" s="2">
        <v>1064551</v>
      </c>
      <c r="G33" s="2">
        <f>1843709-1</f>
        <v>1843708</v>
      </c>
      <c r="H33" s="2"/>
      <c r="I33" s="2">
        <f>1-1</f>
        <v>0</v>
      </c>
      <c r="J33" s="2">
        <v>1006439</v>
      </c>
      <c r="K33" s="2">
        <f>SUM(C33:J33)</f>
        <v>8681773</v>
      </c>
    </row>
    <row r="34" spans="1:13" s="21" customFormat="1" ht="154.5" customHeight="1" x14ac:dyDescent="0.3">
      <c r="A34" s="14" t="s">
        <v>83</v>
      </c>
      <c r="B34" s="13" t="s">
        <v>68</v>
      </c>
      <c r="C34" s="2"/>
      <c r="D34" s="2"/>
      <c r="E34" s="2">
        <v>341944</v>
      </c>
      <c r="F34" s="2">
        <v>2170363</v>
      </c>
      <c r="G34" s="2">
        <v>759186</v>
      </c>
      <c r="H34" s="2">
        <v>909942</v>
      </c>
      <c r="I34" s="2">
        <v>31770</v>
      </c>
      <c r="J34" s="2"/>
      <c r="K34" s="2">
        <v>4213205</v>
      </c>
    </row>
    <row r="35" spans="1:13" s="21" customFormat="1" ht="4.5" customHeight="1" x14ac:dyDescent="0.3">
      <c r="A35" s="14"/>
      <c r="B35" s="13"/>
      <c r="C35" s="2"/>
      <c r="D35" s="2"/>
      <c r="E35" s="2"/>
      <c r="F35" s="2"/>
      <c r="G35" s="2"/>
      <c r="H35" s="2"/>
      <c r="I35" s="2"/>
      <c r="J35" s="2"/>
      <c r="K35" s="2"/>
    </row>
    <row r="36" spans="1:13" s="21" customFormat="1" ht="13.8" x14ac:dyDescent="0.3">
      <c r="A36" s="41" t="s">
        <v>16</v>
      </c>
      <c r="B36" s="42" t="s">
        <v>12</v>
      </c>
      <c r="C36" s="44">
        <f>C37+C42</f>
        <v>392616475</v>
      </c>
      <c r="D36" s="44">
        <f>D37+D42</f>
        <v>39201743</v>
      </c>
      <c r="E36" s="44">
        <f>E37+E42</f>
        <v>196402364</v>
      </c>
      <c r="F36" s="44">
        <f t="shared" ref="F36:J36" si="4">F37+F42</f>
        <v>185497709</v>
      </c>
      <c r="G36" s="44">
        <f t="shared" si="4"/>
        <v>73912291</v>
      </c>
      <c r="H36" s="44">
        <f t="shared" si="4"/>
        <v>119672301</v>
      </c>
      <c r="I36" s="44">
        <f t="shared" si="4"/>
        <v>84727333</v>
      </c>
      <c r="J36" s="44">
        <f t="shared" si="4"/>
        <v>40581426</v>
      </c>
      <c r="K36" s="43">
        <f>SUM(C36:J36)</f>
        <v>1132611642</v>
      </c>
      <c r="M36" s="21">
        <f>K15+K36+K55</f>
        <v>1889734936</v>
      </c>
    </row>
    <row r="37" spans="1:13" s="21" customFormat="1" ht="13.8" x14ac:dyDescent="0.3">
      <c r="A37" s="26" t="s">
        <v>22</v>
      </c>
      <c r="B37" s="27" t="s">
        <v>31</v>
      </c>
      <c r="C37" s="24">
        <f>56727717+752490</f>
        <v>57480207</v>
      </c>
      <c r="D37" s="24">
        <v>12525992</v>
      </c>
      <c r="E37" s="24">
        <v>34611462</v>
      </c>
      <c r="F37" s="24">
        <v>24517427</v>
      </c>
      <c r="G37" s="24">
        <v>10609937</v>
      </c>
      <c r="H37" s="24">
        <v>20446434</v>
      </c>
      <c r="I37" s="24">
        <v>16976753</v>
      </c>
      <c r="J37" s="24">
        <v>7673779</v>
      </c>
      <c r="K37" s="25">
        <f t="shared" ref="K37:K42" si="5">SUM(C37:J37)</f>
        <v>184841991</v>
      </c>
      <c r="M37" s="21">
        <f>K44</f>
        <v>1889734936</v>
      </c>
    </row>
    <row r="38" spans="1:13" s="21" customFormat="1" ht="26.4" x14ac:dyDescent="0.3">
      <c r="A38" s="28" t="s">
        <v>84</v>
      </c>
      <c r="B38" s="48" t="s">
        <v>26</v>
      </c>
      <c r="C38" s="29">
        <v>5411348</v>
      </c>
      <c r="D38" s="29">
        <v>2685218</v>
      </c>
      <c r="E38" s="29">
        <v>1882650</v>
      </c>
      <c r="F38" s="29">
        <v>3049144</v>
      </c>
      <c r="G38" s="29">
        <v>923275</v>
      </c>
      <c r="H38" s="29">
        <v>1837753</v>
      </c>
      <c r="I38" s="29">
        <v>818085</v>
      </c>
      <c r="J38" s="29">
        <v>412164</v>
      </c>
      <c r="K38" s="25">
        <f t="shared" si="5"/>
        <v>17019637</v>
      </c>
    </row>
    <row r="39" spans="1:13" s="21" customFormat="1" ht="26.4" x14ac:dyDescent="0.3">
      <c r="A39" s="28" t="s">
        <v>85</v>
      </c>
      <c r="B39" s="48" t="s">
        <v>27</v>
      </c>
      <c r="C39" s="29">
        <f>24759545+752490</f>
        <v>25512035</v>
      </c>
      <c r="D39" s="29">
        <v>784523</v>
      </c>
      <c r="E39" s="29">
        <v>19529028</v>
      </c>
      <c r="F39" s="29">
        <v>7781821</v>
      </c>
      <c r="G39" s="29">
        <v>4322704</v>
      </c>
      <c r="H39" s="29">
        <v>7325927</v>
      </c>
      <c r="I39" s="29">
        <v>6110394</v>
      </c>
      <c r="J39" s="29">
        <v>2539261</v>
      </c>
      <c r="K39" s="25">
        <f t="shared" si="5"/>
        <v>73905693</v>
      </c>
    </row>
    <row r="40" spans="1:13" s="21" customFormat="1" ht="26.4" x14ac:dyDescent="0.3">
      <c r="A40" s="28" t="s">
        <v>86</v>
      </c>
      <c r="B40" s="48" t="s">
        <v>35</v>
      </c>
      <c r="C40" s="29">
        <v>5241403</v>
      </c>
      <c r="D40" s="29">
        <v>339648</v>
      </c>
      <c r="E40" s="29">
        <v>3452719</v>
      </c>
      <c r="F40" s="29">
        <v>2886838</v>
      </c>
      <c r="G40" s="29">
        <v>1335597</v>
      </c>
      <c r="H40" s="29">
        <v>3169107</v>
      </c>
      <c r="I40" s="29">
        <v>1262949</v>
      </c>
      <c r="J40" s="29">
        <v>985083</v>
      </c>
      <c r="K40" s="25">
        <f t="shared" si="5"/>
        <v>18673344</v>
      </c>
    </row>
    <row r="41" spans="1:13" s="21" customFormat="1" ht="39.6" x14ac:dyDescent="0.3">
      <c r="A41" s="28" t="s">
        <v>87</v>
      </c>
      <c r="B41" s="48" t="s">
        <v>36</v>
      </c>
      <c r="C41" s="29">
        <v>19486497</v>
      </c>
      <c r="D41" s="29">
        <v>8716603</v>
      </c>
      <c r="E41" s="29">
        <v>7804471</v>
      </c>
      <c r="F41" s="29">
        <v>7478840</v>
      </c>
      <c r="G41" s="29">
        <v>3125891</v>
      </c>
      <c r="H41" s="29">
        <v>5953696</v>
      </c>
      <c r="I41" s="29">
        <v>2776981</v>
      </c>
      <c r="J41" s="29">
        <v>1472067</v>
      </c>
      <c r="K41" s="25">
        <f t="shared" si="5"/>
        <v>56815046</v>
      </c>
    </row>
    <row r="42" spans="1:13" s="21" customFormat="1" ht="13.8" x14ac:dyDescent="0.3">
      <c r="A42" s="26" t="s">
        <v>21</v>
      </c>
      <c r="B42" s="27" t="s">
        <v>30</v>
      </c>
      <c r="C42" s="24">
        <f>436217983-101081715</f>
        <v>335136268</v>
      </c>
      <c r="D42" s="24">
        <f>36026060-9350309</f>
        <v>26675751</v>
      </c>
      <c r="E42" s="24">
        <v>161790902</v>
      </c>
      <c r="F42" s="24">
        <v>160980282</v>
      </c>
      <c r="G42" s="24">
        <v>63302354</v>
      </c>
      <c r="H42" s="24">
        <v>99225867</v>
      </c>
      <c r="I42" s="24">
        <v>67750580</v>
      </c>
      <c r="J42" s="24">
        <v>32907647</v>
      </c>
      <c r="K42" s="25">
        <f t="shared" si="5"/>
        <v>947769651</v>
      </c>
    </row>
    <row r="43" spans="1:13" s="21" customFormat="1" ht="5.25" customHeight="1" x14ac:dyDescent="0.3">
      <c r="A43" s="26"/>
      <c r="B43" s="27"/>
      <c r="C43" s="24"/>
      <c r="D43" s="24"/>
      <c r="E43" s="24"/>
      <c r="F43" s="24"/>
      <c r="G43" s="24"/>
      <c r="H43" s="24"/>
      <c r="I43" s="24"/>
      <c r="J43" s="24"/>
      <c r="K43" s="25"/>
    </row>
    <row r="44" spans="1:13" s="21" customFormat="1" ht="13.8" x14ac:dyDescent="0.3">
      <c r="A44" s="41" t="s">
        <v>17</v>
      </c>
      <c r="B44" s="42" t="s">
        <v>32</v>
      </c>
      <c r="C44" s="43">
        <f>C46+C47</f>
        <v>497701503</v>
      </c>
      <c r="D44" s="43">
        <f t="shared" ref="D44:J44" si="6">D46+D47</f>
        <v>50643441</v>
      </c>
      <c r="E44" s="43">
        <f t="shared" si="6"/>
        <v>355192608</v>
      </c>
      <c r="F44" s="43">
        <f t="shared" si="6"/>
        <v>305963155</v>
      </c>
      <c r="G44" s="43">
        <f t="shared" si="6"/>
        <v>154249559</v>
      </c>
      <c r="H44" s="43">
        <f t="shared" si="6"/>
        <v>271689127</v>
      </c>
      <c r="I44" s="43">
        <f t="shared" si="6"/>
        <v>161875623</v>
      </c>
      <c r="J44" s="43">
        <f t="shared" si="6"/>
        <v>92419920</v>
      </c>
      <c r="K44" s="43">
        <f>SUM(C44:J44)</f>
        <v>1889734936</v>
      </c>
    </row>
    <row r="45" spans="1:13" s="21" customFormat="1" ht="13.8" x14ac:dyDescent="0.3">
      <c r="A45" s="22" t="s">
        <v>88</v>
      </c>
      <c r="B45" s="23" t="s">
        <v>40</v>
      </c>
      <c r="C45" s="25">
        <v>15124169</v>
      </c>
      <c r="D45" s="25">
        <v>1297711</v>
      </c>
      <c r="E45" s="25">
        <v>12201986</v>
      </c>
      <c r="F45" s="25">
        <v>12811489</v>
      </c>
      <c r="G45" s="25">
        <v>4968635</v>
      </c>
      <c r="H45" s="25">
        <v>7116869</v>
      </c>
      <c r="I45" s="25">
        <v>4500356</v>
      </c>
      <c r="J45" s="25">
        <v>3331334</v>
      </c>
      <c r="K45" s="25">
        <f>SUM(C45:J45)</f>
        <v>61352549</v>
      </c>
    </row>
    <row r="46" spans="1:13" s="21" customFormat="1" ht="13.8" x14ac:dyDescent="0.3">
      <c r="A46" s="22" t="s">
        <v>89</v>
      </c>
      <c r="B46" s="27" t="s">
        <v>33</v>
      </c>
      <c r="C46" s="25">
        <f>C37+14003313</f>
        <v>71483520</v>
      </c>
      <c r="D46" s="25">
        <f>D37+2091390-1</f>
        <v>14617381</v>
      </c>
      <c r="E46" s="25">
        <f>E37+4115322-1</f>
        <v>38726783</v>
      </c>
      <c r="F46" s="25">
        <f>F37+4739067</f>
        <v>29256494</v>
      </c>
      <c r="G46" s="25">
        <f>G37+5261278-1</f>
        <v>15871214</v>
      </c>
      <c r="H46" s="25">
        <f>H37+2945889</f>
        <v>23392323</v>
      </c>
      <c r="I46" s="25">
        <f>I37+697225-1</f>
        <v>17673977</v>
      </c>
      <c r="J46" s="25">
        <f>J37+3130431</f>
        <v>10804210</v>
      </c>
      <c r="K46" s="25">
        <f>SUM(C46:J46)</f>
        <v>221825902</v>
      </c>
    </row>
    <row r="47" spans="1:13" s="21" customFormat="1" ht="27.6" x14ac:dyDescent="0.3">
      <c r="A47" s="22" t="s">
        <v>90</v>
      </c>
      <c r="B47" s="27" t="s">
        <v>37</v>
      </c>
      <c r="C47" s="25">
        <f>C48+C50</f>
        <v>426217983</v>
      </c>
      <c r="D47" s="25">
        <f t="shared" ref="D47:I47" si="7">D48+D50</f>
        <v>36026060</v>
      </c>
      <c r="E47" s="25">
        <f>E48+E50</f>
        <v>316465825</v>
      </c>
      <c r="F47" s="25">
        <f t="shared" si="7"/>
        <v>276706661</v>
      </c>
      <c r="G47" s="25">
        <f t="shared" si="7"/>
        <v>138378345</v>
      </c>
      <c r="H47" s="25">
        <f t="shared" si="7"/>
        <v>248296804</v>
      </c>
      <c r="I47" s="25">
        <f t="shared" si="7"/>
        <v>144201646</v>
      </c>
      <c r="J47" s="25">
        <f>J48+J50</f>
        <v>81615710</v>
      </c>
      <c r="K47" s="25">
        <f>SUM(C47:J47)</f>
        <v>1667909034</v>
      </c>
    </row>
    <row r="48" spans="1:13" s="21" customFormat="1" ht="13.8" x14ac:dyDescent="0.3">
      <c r="A48" s="22" t="s">
        <v>91</v>
      </c>
      <c r="B48" s="49" t="s">
        <v>38</v>
      </c>
      <c r="C48" s="30">
        <f>373350290+1472621-10000000</f>
        <v>364822911</v>
      </c>
      <c r="D48" s="30">
        <f>31904861+217088</f>
        <v>32121949</v>
      </c>
      <c r="E48" s="30">
        <f>262699773+1478588</f>
        <v>264178361</v>
      </c>
      <c r="F48" s="30">
        <f>244860720+1330788</f>
        <v>246191508</v>
      </c>
      <c r="G48" s="30">
        <f>124822266+583275+45147</f>
        <v>125450688</v>
      </c>
      <c r="H48" s="30">
        <f>218493289+781578+45147</f>
        <v>219320014</v>
      </c>
      <c r="I48" s="30">
        <f>127902730+886425</f>
        <v>128789155</v>
      </c>
      <c r="J48" s="30">
        <f>71744614+612292+45147+140199</f>
        <v>72542252</v>
      </c>
      <c r="K48" s="25">
        <f t="shared" ref="K48:K56" si="8">SUM(C48:J48)</f>
        <v>1453416838</v>
      </c>
    </row>
    <row r="49" spans="1:11" s="34" customFormat="1" ht="26.4" x14ac:dyDescent="0.3">
      <c r="A49" s="31" t="s">
        <v>92</v>
      </c>
      <c r="B49" s="50" t="s">
        <v>23</v>
      </c>
      <c r="C49" s="32">
        <v>5649945</v>
      </c>
      <c r="D49" s="32">
        <v>632693</v>
      </c>
      <c r="E49" s="32">
        <v>3452961</v>
      </c>
      <c r="F49" s="32">
        <v>1340054</v>
      </c>
      <c r="G49" s="32">
        <v>441779</v>
      </c>
      <c r="H49" s="32"/>
      <c r="I49" s="32">
        <v>200000</v>
      </c>
      <c r="J49" s="32"/>
      <c r="K49" s="33">
        <f t="shared" si="8"/>
        <v>11717432</v>
      </c>
    </row>
    <row r="50" spans="1:11" s="21" customFormat="1" ht="13.8" x14ac:dyDescent="0.3">
      <c r="A50" s="22" t="s">
        <v>93</v>
      </c>
      <c r="B50" s="49" t="s">
        <v>34</v>
      </c>
      <c r="C50" s="30">
        <v>61395072</v>
      </c>
      <c r="D50" s="30">
        <v>3904111</v>
      </c>
      <c r="E50" s="30">
        <v>52287464</v>
      </c>
      <c r="F50" s="30">
        <v>30515153</v>
      </c>
      <c r="G50" s="30">
        <v>12927657</v>
      </c>
      <c r="H50" s="30">
        <v>28976790</v>
      </c>
      <c r="I50" s="30">
        <v>15412491</v>
      </c>
      <c r="J50" s="30">
        <v>9073458</v>
      </c>
      <c r="K50" s="25">
        <f t="shared" si="8"/>
        <v>214492196</v>
      </c>
    </row>
    <row r="51" spans="1:11" s="34" customFormat="1" ht="13.8" x14ac:dyDescent="0.3">
      <c r="A51" s="31" t="s">
        <v>94</v>
      </c>
      <c r="B51" s="51" t="s">
        <v>42</v>
      </c>
      <c r="C51" s="35">
        <v>397956</v>
      </c>
      <c r="D51" s="35">
        <v>78784</v>
      </c>
      <c r="E51" s="35">
        <v>290950</v>
      </c>
      <c r="F51" s="35">
        <v>1491289</v>
      </c>
      <c r="G51" s="35">
        <v>695534</v>
      </c>
      <c r="H51" s="35">
        <v>1195590</v>
      </c>
      <c r="I51" s="35">
        <v>970533</v>
      </c>
      <c r="J51" s="35">
        <v>791228</v>
      </c>
      <c r="K51" s="33">
        <f t="shared" si="8"/>
        <v>5911864</v>
      </c>
    </row>
    <row r="52" spans="1:11" s="21" customFormat="1" ht="13.8" x14ac:dyDescent="0.3">
      <c r="A52" s="41" t="s">
        <v>18</v>
      </c>
      <c r="B52" s="42" t="s">
        <v>11</v>
      </c>
      <c r="C52" s="43">
        <f>C44-C36</f>
        <v>105085028</v>
      </c>
      <c r="D52" s="43">
        <f t="shared" ref="D52" si="9">D44-D36</f>
        <v>11441698</v>
      </c>
      <c r="E52" s="43">
        <f>E44-E36</f>
        <v>158790244</v>
      </c>
      <c r="F52" s="43">
        <f t="shared" ref="F52:I52" si="10">F44-F36</f>
        <v>120465446</v>
      </c>
      <c r="G52" s="43">
        <f t="shared" si="10"/>
        <v>80337268</v>
      </c>
      <c r="H52" s="43">
        <f t="shared" si="10"/>
        <v>152016826</v>
      </c>
      <c r="I52" s="43">
        <f t="shared" si="10"/>
        <v>77148290</v>
      </c>
      <c r="J52" s="43">
        <f>J44-J36</f>
        <v>51838494</v>
      </c>
      <c r="K52" s="43">
        <f>SUM(C52:J52)</f>
        <v>757123294</v>
      </c>
    </row>
    <row r="53" spans="1:11" s="58" customFormat="1" ht="8.25" customHeight="1" x14ac:dyDescent="0.3">
      <c r="A53" s="56"/>
      <c r="B53" s="57"/>
      <c r="C53" s="46"/>
      <c r="D53" s="46"/>
      <c r="E53" s="46"/>
      <c r="F53" s="46"/>
      <c r="G53" s="46"/>
      <c r="H53" s="46"/>
      <c r="I53" s="46"/>
      <c r="J53" s="46"/>
      <c r="K53" s="46"/>
    </row>
    <row r="54" spans="1:11" s="36" customFormat="1" ht="14.25" customHeight="1" x14ac:dyDescent="0.3">
      <c r="A54" s="41" t="s">
        <v>19</v>
      </c>
      <c r="B54" s="42" t="s">
        <v>13</v>
      </c>
      <c r="C54" s="43">
        <f>C55+C56</f>
        <v>100636172</v>
      </c>
      <c r="D54" s="43">
        <f t="shared" ref="D54:J54" si="11">D55+D56</f>
        <v>6318304</v>
      </c>
      <c r="E54" s="43">
        <f t="shared" si="11"/>
        <v>158184112</v>
      </c>
      <c r="F54" s="43">
        <f t="shared" si="11"/>
        <v>116549507</v>
      </c>
      <c r="G54" s="43">
        <f t="shared" si="11"/>
        <v>79925230</v>
      </c>
      <c r="H54" s="43">
        <f t="shared" si="11"/>
        <v>151805795</v>
      </c>
      <c r="I54" s="43">
        <f t="shared" si="11"/>
        <v>74903583</v>
      </c>
      <c r="J54" s="43">
        <f t="shared" si="11"/>
        <v>50996130</v>
      </c>
      <c r="K54" s="43">
        <f>SUM(C54:J54)</f>
        <v>739318833</v>
      </c>
    </row>
    <row r="55" spans="1:11" s="21" customFormat="1" ht="13.8" x14ac:dyDescent="0.3">
      <c r="A55" s="37" t="s">
        <v>24</v>
      </c>
      <c r="B55" s="49" t="s">
        <v>39</v>
      </c>
      <c r="C55" s="30">
        <f t="shared" ref="C55:J55" si="12">C52-C56-C60</f>
        <v>0</v>
      </c>
      <c r="D55" s="30">
        <f t="shared" si="12"/>
        <v>0</v>
      </c>
      <c r="E55" s="30">
        <f t="shared" si="12"/>
        <v>152325541</v>
      </c>
      <c r="F55" s="30">
        <f t="shared" si="12"/>
        <v>91830694</v>
      </c>
      <c r="G55" s="30">
        <f t="shared" si="12"/>
        <v>66453452</v>
      </c>
      <c r="H55" s="30">
        <f t="shared" si="12"/>
        <v>146524426</v>
      </c>
      <c r="I55" s="30">
        <f t="shared" si="12"/>
        <v>70459293</v>
      </c>
      <c r="J55" s="30">
        <f t="shared" si="12"/>
        <v>45750410</v>
      </c>
      <c r="K55" s="30">
        <f t="shared" si="8"/>
        <v>573343816</v>
      </c>
    </row>
    <row r="56" spans="1:11" s="36" customFormat="1" ht="13.8" x14ac:dyDescent="0.3">
      <c r="A56" s="37" t="s">
        <v>95</v>
      </c>
      <c r="B56" s="49" t="s">
        <v>117</v>
      </c>
      <c r="C56" s="2">
        <f>C57+C58</f>
        <v>100636172</v>
      </c>
      <c r="D56" s="2">
        <f>D57+D58</f>
        <v>6318304</v>
      </c>
      <c r="E56" s="2">
        <f t="shared" ref="E56:J56" si="13">E57+E58</f>
        <v>5858571</v>
      </c>
      <c r="F56" s="2">
        <f t="shared" si="13"/>
        <v>24718813</v>
      </c>
      <c r="G56" s="2">
        <f t="shared" si="13"/>
        <v>13471778</v>
      </c>
      <c r="H56" s="2">
        <f t="shared" si="13"/>
        <v>5281369</v>
      </c>
      <c r="I56" s="2">
        <f t="shared" si="13"/>
        <v>4444290</v>
      </c>
      <c r="J56" s="2">
        <f t="shared" si="13"/>
        <v>5245720</v>
      </c>
      <c r="K56" s="2">
        <f t="shared" si="8"/>
        <v>165975017</v>
      </c>
    </row>
    <row r="57" spans="1:11" s="21" customFormat="1" x14ac:dyDescent="0.3">
      <c r="A57" s="14" t="s">
        <v>96</v>
      </c>
      <c r="B57" s="15" t="s">
        <v>69</v>
      </c>
      <c r="C57" s="2">
        <f>C16</f>
        <v>83354160</v>
      </c>
      <c r="D57" s="2">
        <f t="shared" ref="D57:J57" si="14">D16</f>
        <v>1980904</v>
      </c>
      <c r="E57" s="2">
        <f t="shared" si="14"/>
        <v>213707</v>
      </c>
      <c r="F57" s="2">
        <f t="shared" si="14"/>
        <v>15917310</v>
      </c>
      <c r="G57" s="2">
        <f t="shared" si="14"/>
        <v>4854094</v>
      </c>
      <c r="H57" s="2">
        <f t="shared" si="14"/>
        <v>1230308</v>
      </c>
      <c r="I57" s="2">
        <f t="shared" si="14"/>
        <v>2475050</v>
      </c>
      <c r="J57" s="2">
        <f t="shared" si="14"/>
        <v>1557938</v>
      </c>
      <c r="K57" s="2">
        <f>SUM(C57:J57)</f>
        <v>111583471</v>
      </c>
    </row>
    <row r="58" spans="1:11" s="21" customFormat="1" ht="75" customHeight="1" x14ac:dyDescent="0.3">
      <c r="A58" s="14" t="s">
        <v>97</v>
      </c>
      <c r="B58" s="15" t="s">
        <v>118</v>
      </c>
      <c r="C58" s="2">
        <f>C20+C21+C23+C24+C25+C26+C27+C28+C29+C30+C31+C32+C33+C34+1410021+2153339</f>
        <v>17282012</v>
      </c>
      <c r="D58" s="2">
        <f>D20+D21+D23+D24+D25+D26+D27+D28+D29+D30+D31+D32+D33+D34+1942029</f>
        <v>4337400</v>
      </c>
      <c r="E58" s="2">
        <f>E20+E21+E23+E24+E25+E26+E27+E28+E29+E30+E31+E32+E33+E34+21985+1194266</f>
        <v>5644864</v>
      </c>
      <c r="F58" s="2">
        <f>F20+F21+F23+F24+F25+F26+F27+F28+F29+F30+F31+F32+F33+F34+10213</f>
        <v>8801503</v>
      </c>
      <c r="G58" s="2">
        <f>G20+G21+G23+G24+G25+G26+G27+G28+G29+G30+G31+G32+G33+G34+961021+887363</f>
        <v>8617684</v>
      </c>
      <c r="H58" s="2">
        <f>H20+H21+H23+H24+H25+H26+H27+H28+H29+H30+H31+H32+H33+H34+544429+9182</f>
        <v>4051061</v>
      </c>
      <c r="I58" s="2">
        <f>I20+I21+I23+I24+I25+I26+I27+I28+I29+I30+I31+I32+I33+I34+36552</f>
        <v>1969240</v>
      </c>
      <c r="J58" s="2">
        <f>J20+J21+J23+J24+J25+J26+J27+J28+J29+J30+J31+J32+J33+J34+55829</f>
        <v>3687782</v>
      </c>
      <c r="K58" s="2">
        <f>SUM(C58:J58)</f>
        <v>54391546</v>
      </c>
    </row>
    <row r="59" spans="1:11" s="21" customFormat="1" ht="6" customHeight="1" x14ac:dyDescent="0.3">
      <c r="A59" s="45"/>
      <c r="B59" s="13"/>
      <c r="C59" s="2"/>
      <c r="D59" s="2"/>
      <c r="E59" s="2"/>
      <c r="F59" s="2"/>
      <c r="G59" s="2"/>
      <c r="H59" s="2"/>
      <c r="I59" s="2"/>
      <c r="J59" s="2"/>
      <c r="K59" s="2"/>
    </row>
    <row r="60" spans="1:11" s="52" customFormat="1" ht="26.25" customHeight="1" x14ac:dyDescent="0.3">
      <c r="A60" s="59" t="s">
        <v>98</v>
      </c>
      <c r="B60" s="60" t="s">
        <v>107</v>
      </c>
      <c r="C60" s="61">
        <f>C61+C62</f>
        <v>4448856</v>
      </c>
      <c r="D60" s="61">
        <f t="shared" ref="D60:J60" si="15">D61+D62</f>
        <v>5123394</v>
      </c>
      <c r="E60" s="61">
        <f t="shared" si="15"/>
        <v>606132</v>
      </c>
      <c r="F60" s="61">
        <f t="shared" si="15"/>
        <v>3915939</v>
      </c>
      <c r="G60" s="61">
        <f t="shared" si="15"/>
        <v>412038</v>
      </c>
      <c r="H60" s="61">
        <f t="shared" si="15"/>
        <v>211031</v>
      </c>
      <c r="I60" s="61">
        <f t="shared" si="15"/>
        <v>2244707</v>
      </c>
      <c r="J60" s="61">
        <f t="shared" si="15"/>
        <v>842364</v>
      </c>
      <c r="K60" s="61">
        <f>SUM(C60:J60)</f>
        <v>17804461</v>
      </c>
    </row>
    <row r="61" spans="1:11" s="21" customFormat="1" ht="28.5" customHeight="1" x14ac:dyDescent="0.3">
      <c r="A61" s="54" t="s">
        <v>100</v>
      </c>
      <c r="B61" s="53" t="s">
        <v>108</v>
      </c>
      <c r="C61" s="10">
        <f>3541568-1410021</f>
        <v>2131547</v>
      </c>
      <c r="D61" s="10">
        <v>285888</v>
      </c>
      <c r="E61" s="10">
        <f>443984-21985</f>
        <v>421999</v>
      </c>
      <c r="F61" s="10">
        <f>2377805-10213</f>
        <v>2367592</v>
      </c>
      <c r="G61" s="10">
        <f>1272642-961021</f>
        <v>311621</v>
      </c>
      <c r="H61" s="10">
        <f>755460-544429</f>
        <v>211031</v>
      </c>
      <c r="I61" s="10">
        <f>819145-36552</f>
        <v>782593</v>
      </c>
      <c r="J61" s="10">
        <v>294209</v>
      </c>
      <c r="K61" s="10">
        <f>SUM(C61:J61)</f>
        <v>6806480</v>
      </c>
    </row>
    <row r="62" spans="1:11" s="21" customFormat="1" x14ac:dyDescent="0.3">
      <c r="A62" s="54" t="s">
        <v>101</v>
      </c>
      <c r="B62" s="53" t="s">
        <v>109</v>
      </c>
      <c r="C62" s="10">
        <f>4470648-2153339</f>
        <v>2317309</v>
      </c>
      <c r="D62" s="10">
        <f>6779535-1942029</f>
        <v>4837506</v>
      </c>
      <c r="E62" s="10">
        <f>1378399-1194266</f>
        <v>184133</v>
      </c>
      <c r="F62" s="10">
        <v>1548347</v>
      </c>
      <c r="G62" s="10">
        <f>987780-887363</f>
        <v>100417</v>
      </c>
      <c r="H62" s="10">
        <f>9182-9182</f>
        <v>0</v>
      </c>
      <c r="I62" s="10">
        <v>1462114</v>
      </c>
      <c r="J62" s="10">
        <f>603984-55829</f>
        <v>548155</v>
      </c>
      <c r="K62" s="10">
        <f>SUM(C62:J62)</f>
        <v>10997981</v>
      </c>
    </row>
    <row r="63" spans="1:11" s="21" customFormat="1" ht="6" customHeight="1" x14ac:dyDescent="0.3">
      <c r="A63" s="54"/>
      <c r="B63" s="53"/>
      <c r="C63" s="10"/>
      <c r="D63" s="10"/>
      <c r="E63" s="10"/>
      <c r="F63" s="10"/>
      <c r="G63" s="10"/>
      <c r="H63" s="10"/>
      <c r="I63" s="10"/>
      <c r="J63" s="10"/>
      <c r="K63" s="10"/>
    </row>
    <row r="64" spans="1:11" s="3" customFormat="1" ht="27.6" x14ac:dyDescent="0.3">
      <c r="A64" s="41" t="s">
        <v>99</v>
      </c>
      <c r="B64" s="42" t="s">
        <v>116</v>
      </c>
      <c r="C64" s="43">
        <f>C65+C66+C67+C68+C69</f>
        <v>42922266</v>
      </c>
      <c r="D64" s="43">
        <f t="shared" ref="D64:J64" si="16">D65+D66+D67+D68+D69</f>
        <v>1114673</v>
      </c>
      <c r="E64" s="43">
        <f t="shared" si="16"/>
        <v>26879266</v>
      </c>
      <c r="F64" s="43">
        <f t="shared" si="16"/>
        <v>32025114</v>
      </c>
      <c r="G64" s="43">
        <f t="shared" si="16"/>
        <v>20224438</v>
      </c>
      <c r="H64" s="43">
        <f t="shared" si="16"/>
        <v>31576021</v>
      </c>
      <c r="I64" s="43">
        <f t="shared" si="16"/>
        <v>18993590</v>
      </c>
      <c r="J64" s="43">
        <f t="shared" si="16"/>
        <v>15216728</v>
      </c>
      <c r="K64" s="43">
        <f>K65+K66+K67+K68+K69</f>
        <v>188952096</v>
      </c>
    </row>
    <row r="65" spans="1:11" s="3" customFormat="1" x14ac:dyDescent="0.3">
      <c r="A65" s="54" t="s">
        <v>102</v>
      </c>
      <c r="B65" s="49" t="s">
        <v>20</v>
      </c>
      <c r="C65" s="30">
        <f>1881391-600000</f>
        <v>1281391</v>
      </c>
      <c r="D65" s="30">
        <f>243150-150000</f>
        <v>93150</v>
      </c>
      <c r="E65" s="30">
        <f>1107411-600000</f>
        <v>507411</v>
      </c>
      <c r="F65" s="30">
        <f>908086-340000</f>
        <v>568086</v>
      </c>
      <c r="G65" s="30">
        <f>536648-340000</f>
        <v>196648</v>
      </c>
      <c r="H65" s="30">
        <f>721065-340000</f>
        <v>381065</v>
      </c>
      <c r="I65" s="30">
        <f>560000-340000</f>
        <v>220000</v>
      </c>
      <c r="J65" s="30">
        <f>446550-340000</f>
        <v>106550</v>
      </c>
      <c r="K65" s="25">
        <f t="shared" ref="K65:K66" si="17">SUM(C65:J65)</f>
        <v>3354301</v>
      </c>
    </row>
    <row r="66" spans="1:11" s="3" customFormat="1" x14ac:dyDescent="0.3">
      <c r="A66" s="54" t="s">
        <v>103</v>
      </c>
      <c r="B66" s="49" t="s">
        <v>25</v>
      </c>
      <c r="C66" s="30">
        <f>43016291-11884768</f>
        <v>31131523</v>
      </c>
      <c r="D66" s="30">
        <f>1437509-415986</f>
        <v>1021523</v>
      </c>
      <c r="E66" s="30">
        <f>29770597-4220666</f>
        <v>25549931</v>
      </c>
      <c r="F66" s="30">
        <f>43899310-12442282</f>
        <v>31457028</v>
      </c>
      <c r="G66" s="30">
        <f>31030390-11002600</f>
        <v>20027790</v>
      </c>
      <c r="H66" s="30">
        <f>47439065-16244109</f>
        <v>31194956</v>
      </c>
      <c r="I66" s="30">
        <f>28303128-9529538</f>
        <v>18773590</v>
      </c>
      <c r="J66" s="30">
        <f>24067143-8956965</f>
        <v>15110178</v>
      </c>
      <c r="K66" s="25">
        <f t="shared" si="17"/>
        <v>174266519</v>
      </c>
    </row>
    <row r="67" spans="1:11" s="3" customFormat="1" ht="26.4" x14ac:dyDescent="0.3">
      <c r="A67" s="54" t="s">
        <v>104</v>
      </c>
      <c r="B67" s="49" t="s">
        <v>106</v>
      </c>
      <c r="C67" s="30"/>
      <c r="D67" s="30"/>
      <c r="E67" s="30">
        <v>821924</v>
      </c>
      <c r="F67" s="30"/>
      <c r="G67" s="30"/>
      <c r="H67" s="30"/>
      <c r="I67" s="30"/>
      <c r="J67" s="30"/>
      <c r="K67" s="25">
        <f t="shared" ref="K67:K68" si="18">SUM(C67:J67)</f>
        <v>821924</v>
      </c>
    </row>
    <row r="68" spans="1:11" s="3" customFormat="1" ht="16.5" customHeight="1" x14ac:dyDescent="0.3">
      <c r="A68" s="55" t="s">
        <v>105</v>
      </c>
      <c r="B68" s="13" t="s">
        <v>43</v>
      </c>
      <c r="C68" s="2">
        <f>509353-1</f>
        <v>509352</v>
      </c>
      <c r="D68" s="2"/>
      <c r="E68" s="2"/>
      <c r="F68" s="2"/>
      <c r="G68" s="10"/>
      <c r="H68" s="2"/>
      <c r="I68" s="2"/>
      <c r="J68" s="2"/>
      <c r="K68" s="25">
        <f t="shared" si="18"/>
        <v>509352</v>
      </c>
    </row>
    <row r="69" spans="1:11" ht="26.4" x14ac:dyDescent="0.25">
      <c r="A69" s="55" t="s">
        <v>110</v>
      </c>
      <c r="B69" s="13" t="s">
        <v>115</v>
      </c>
      <c r="C69" s="2">
        <v>10000000</v>
      </c>
      <c r="D69" s="2"/>
      <c r="E69" s="2"/>
      <c r="F69" s="2"/>
      <c r="G69" s="10"/>
      <c r="H69" s="2"/>
      <c r="I69" s="2"/>
      <c r="J69" s="2"/>
      <c r="K69" s="25">
        <f t="shared" ref="K69" si="19">SUM(C69:J69)</f>
        <v>10000000</v>
      </c>
    </row>
    <row r="70" spans="1:11" x14ac:dyDescent="0.25">
      <c r="G70" s="1"/>
    </row>
    <row r="72" spans="1:11" x14ac:dyDescent="0.25">
      <c r="G72" s="1"/>
    </row>
    <row r="73" spans="1:11" x14ac:dyDescent="0.25">
      <c r="G73" s="1"/>
    </row>
    <row r="74" spans="1:11" x14ac:dyDescent="0.25">
      <c r="B74" s="38"/>
    </row>
    <row r="75" spans="1:11" x14ac:dyDescent="0.25">
      <c r="B75" s="39"/>
    </row>
    <row r="76" spans="1:11" x14ac:dyDescent="0.25">
      <c r="B76" s="40"/>
    </row>
    <row r="80" spans="1:11" x14ac:dyDescent="0.25">
      <c r="G80" s="1"/>
    </row>
  </sheetData>
  <mergeCells count="9">
    <mergeCell ref="H7:K7"/>
    <mergeCell ref="G8:K8"/>
    <mergeCell ref="H9:K9"/>
    <mergeCell ref="A11:K11"/>
    <mergeCell ref="H1:K1"/>
    <mergeCell ref="H2:K2"/>
    <mergeCell ref="H3:K3"/>
    <mergeCell ref="H4:K4"/>
    <mergeCell ref="H5:K5"/>
  </mergeCells>
  <printOptions horizontalCentered="1" verticalCentered="1"/>
  <pageMargins left="0.31496062992125984" right="0.31496062992125984" top="0.27559055118110237" bottom="0.55118110236220474" header="0.31496062992125984" footer="0.31496062992125984"/>
  <pageSetup paperSize="9" scale="85" firstPageNumber="13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1588</vt:lpstr>
      <vt:lpstr>'1588'!Заголовки_для_печати</vt:lpstr>
      <vt:lpstr>'1588'!Область_печати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2025-05-05T14:21:15Z</dcterms:modified>
</cp:coreProperties>
</file>