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8640" tabRatio="390"/>
  </bookViews>
  <sheets>
    <sheet name="Приложение № 2 (1341)" sheetId="1" r:id="rId1"/>
  </sheets>
  <definedNames>
    <definedName name="_xlnm.Print_Titles" localSheetId="0">'Приложение № 2 (1341)'!$A:$C,'Приложение № 2 (1341)'!$15:$15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N314" i="1" l="1"/>
  <c r="CM314" i="1"/>
  <c r="CI314" i="1"/>
  <c r="CH314" i="1"/>
  <c r="CG314" i="1"/>
  <c r="G255" i="1" l="1"/>
  <c r="H255" i="1"/>
  <c r="N255" i="1"/>
  <c r="O255" i="1"/>
  <c r="R255" i="1"/>
  <c r="S255" i="1"/>
  <c r="T255" i="1"/>
  <c r="Y255" i="1"/>
  <c r="Z255" i="1"/>
  <c r="AE255" i="1"/>
  <c r="AG255" i="1"/>
  <c r="AH255" i="1"/>
  <c r="AJ255" i="1"/>
  <c r="AL255" i="1"/>
  <c r="AM255" i="1"/>
  <c r="AX255" i="1"/>
  <c r="AZ255" i="1"/>
  <c r="CD255" i="1"/>
  <c r="CM255" i="1"/>
  <c r="G87" i="1" l="1"/>
  <c r="H87" i="1"/>
  <c r="T87" i="1"/>
  <c r="W87" i="1"/>
  <c r="X87" i="1"/>
  <c r="Y87" i="1"/>
  <c r="AX87" i="1"/>
  <c r="AZ87" i="1"/>
  <c r="BQ87" i="1"/>
  <c r="AF95" i="1" l="1"/>
  <c r="CS227" i="1" l="1"/>
  <c r="CS287" i="1" l="1"/>
  <c r="CD238" i="1"/>
  <c r="H230" i="1" l="1"/>
  <c r="G230" i="1"/>
  <c r="CD128" i="1" l="1"/>
  <c r="V128" i="1"/>
  <c r="W22" i="1"/>
  <c r="W21" i="1"/>
  <c r="W20" i="1"/>
  <c r="F183" i="1" l="1"/>
  <c r="F182" i="1"/>
  <c r="F180" i="1"/>
  <c r="CZ89" i="1"/>
  <c r="CY89" i="1"/>
  <c r="CX89" i="1"/>
  <c r="CW89" i="1"/>
  <c r="CV89" i="1"/>
  <c r="CU89" i="1"/>
  <c r="CT89" i="1"/>
  <c r="CS89" i="1"/>
  <c r="CR89" i="1"/>
  <c r="CQ89" i="1"/>
  <c r="CP89" i="1"/>
  <c r="CO89" i="1"/>
  <c r="CN89" i="1"/>
  <c r="CM89" i="1"/>
  <c r="CL89" i="1"/>
  <c r="CK89" i="1"/>
  <c r="CJ89" i="1"/>
  <c r="CI89" i="1"/>
  <c r="CH89" i="1"/>
  <c r="CG89" i="1"/>
  <c r="CF89" i="1"/>
  <c r="CE89" i="1"/>
  <c r="CD89" i="1"/>
  <c r="CC89" i="1"/>
  <c r="CB89" i="1"/>
  <c r="CA89" i="1"/>
  <c r="BZ89" i="1"/>
  <c r="BY89" i="1"/>
  <c r="BX89" i="1"/>
  <c r="BW89" i="1"/>
  <c r="BV89" i="1"/>
  <c r="BU89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322" i="1"/>
  <c r="F320" i="1"/>
  <c r="F318" i="1"/>
  <c r="F316" i="1"/>
  <c r="F314" i="1"/>
  <c r="F312" i="1"/>
  <c r="F311" i="1"/>
  <c r="F309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2" i="1"/>
  <c r="F289" i="1"/>
  <c r="F287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4" i="1"/>
  <c r="F253" i="1"/>
  <c r="F252" i="1"/>
  <c r="F251" i="1"/>
  <c r="F250" i="1"/>
  <c r="F249" i="1"/>
  <c r="F248" i="1"/>
  <c r="F247" i="1"/>
  <c r="F246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0" i="1"/>
  <c r="F229" i="1"/>
  <c r="F227" i="1"/>
  <c r="F224" i="1"/>
  <c r="F223" i="1"/>
  <c r="F220" i="1"/>
  <c r="F217" i="1"/>
  <c r="F214" i="1"/>
  <c r="F213" i="1"/>
  <c r="F212" i="1"/>
  <c r="F211" i="1"/>
  <c r="F210" i="1"/>
  <c r="F209" i="1"/>
  <c r="F208" i="1"/>
  <c r="F207" i="1"/>
  <c r="F206" i="1"/>
  <c r="F205" i="1"/>
  <c r="F203" i="1"/>
  <c r="F202" i="1"/>
  <c r="F201" i="1"/>
  <c r="F200" i="1"/>
  <c r="F199" i="1"/>
  <c r="F198" i="1"/>
  <c r="F197" i="1"/>
  <c r="F195" i="1"/>
  <c r="F193" i="1"/>
  <c r="F191" i="1"/>
  <c r="F189" i="1"/>
  <c r="F187" i="1"/>
  <c r="F186" i="1"/>
  <c r="F185" i="1"/>
  <c r="F178" i="1"/>
  <c r="F176" i="1"/>
  <c r="F175" i="1"/>
  <c r="F173" i="1"/>
  <c r="F172" i="1"/>
  <c r="F170" i="1"/>
  <c r="F167" i="1"/>
  <c r="F165" i="1"/>
  <c r="F164" i="1"/>
  <c r="F162" i="1"/>
  <c r="F161" i="1"/>
  <c r="F158" i="1"/>
  <c r="F157" i="1"/>
  <c r="F156" i="1"/>
  <c r="F155" i="1"/>
  <c r="F154" i="1"/>
  <c r="F152" i="1"/>
  <c r="F151" i="1"/>
  <c r="F149" i="1"/>
  <c r="F148" i="1"/>
  <c r="F147" i="1"/>
  <c r="F144" i="1"/>
  <c r="F143" i="1"/>
  <c r="F142" i="1"/>
  <c r="F140" i="1"/>
  <c r="F138" i="1"/>
  <c r="F136" i="1"/>
  <c r="F135" i="1"/>
  <c r="F134" i="1"/>
  <c r="F132" i="1"/>
  <c r="F131" i="1"/>
  <c r="F130" i="1"/>
  <c r="F127" i="1"/>
  <c r="F126" i="1"/>
  <c r="F123" i="1"/>
  <c r="F121" i="1"/>
  <c r="F120" i="1"/>
  <c r="F119" i="1"/>
  <c r="F117" i="1"/>
  <c r="F115" i="1"/>
  <c r="F114" i="1"/>
  <c r="F111" i="1"/>
  <c r="F109" i="1"/>
  <c r="F107" i="1"/>
  <c r="F104" i="1"/>
  <c r="F101" i="1"/>
  <c r="F98" i="1"/>
  <c r="F97" i="1"/>
  <c r="F96" i="1"/>
  <c r="F94" i="1"/>
  <c r="F93" i="1"/>
  <c r="F92" i="1"/>
  <c r="F91" i="1"/>
  <c r="F90" i="1"/>
  <c r="F88" i="1"/>
  <c r="F84" i="1"/>
  <c r="F82" i="1"/>
  <c r="F80" i="1"/>
  <c r="F78" i="1"/>
  <c r="F76" i="1"/>
  <c r="F74" i="1"/>
  <c r="F72" i="1"/>
  <c r="F71" i="1"/>
  <c r="F69" i="1"/>
  <c r="F66" i="1"/>
  <c r="F64" i="1"/>
  <c r="F61" i="1"/>
  <c r="F58" i="1"/>
  <c r="F56" i="1"/>
  <c r="F54" i="1"/>
  <c r="F52" i="1"/>
  <c r="F50" i="1"/>
  <c r="F47" i="1"/>
  <c r="F45" i="1"/>
  <c r="F43" i="1"/>
  <c r="F42" i="1"/>
  <c r="F41" i="1"/>
  <c r="F40" i="1"/>
  <c r="F38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18" i="1"/>
  <c r="CT270" i="1"/>
  <c r="CU270" i="1"/>
  <c r="CV270" i="1"/>
  <c r="CT286" i="1"/>
  <c r="CU286" i="1"/>
  <c r="CV286" i="1"/>
  <c r="CT313" i="1"/>
  <c r="CU313" i="1"/>
  <c r="CV313" i="1"/>
  <c r="AZ322" i="1"/>
  <c r="CS314" i="1"/>
  <c r="CJ314" i="1"/>
  <c r="CD314" i="1"/>
  <c r="AZ314" i="1"/>
  <c r="O314" i="1"/>
  <c r="BI312" i="1"/>
  <c r="CI312" i="1"/>
  <c r="CZ310" i="1"/>
  <c r="CY310" i="1"/>
  <c r="CV310" i="1"/>
  <c r="CV293" i="1" s="1"/>
  <c r="CU310" i="1"/>
  <c r="CT310" i="1"/>
  <c r="CT293" i="1" s="1"/>
  <c r="CS310" i="1"/>
  <c r="CR310" i="1"/>
  <c r="CQ310" i="1"/>
  <c r="CP310" i="1"/>
  <c r="CO310" i="1"/>
  <c r="CN310" i="1"/>
  <c r="CM310" i="1"/>
  <c r="CL310" i="1"/>
  <c r="CJ310" i="1"/>
  <c r="CI310" i="1"/>
  <c r="CH310" i="1"/>
  <c r="CG310" i="1"/>
  <c r="CF310" i="1"/>
  <c r="CD310" i="1"/>
  <c r="CC310" i="1"/>
  <c r="BY310" i="1"/>
  <c r="BX310" i="1"/>
  <c r="BW310" i="1"/>
  <c r="BV310" i="1"/>
  <c r="BU310" i="1"/>
  <c r="BT310" i="1"/>
  <c r="BS310" i="1"/>
  <c r="BR310" i="1"/>
  <c r="BQ310" i="1"/>
  <c r="BP310" i="1"/>
  <c r="BO310" i="1"/>
  <c r="BM310" i="1"/>
  <c r="BL310" i="1"/>
  <c r="BJ310" i="1"/>
  <c r="BI310" i="1"/>
  <c r="BH310" i="1"/>
  <c r="BG310" i="1"/>
  <c r="BE310" i="1"/>
  <c r="BD310" i="1"/>
  <c r="BC310" i="1"/>
  <c r="AZ310" i="1"/>
  <c r="AY310" i="1"/>
  <c r="AX310" i="1"/>
  <c r="AW310" i="1"/>
  <c r="AV310" i="1"/>
  <c r="AU310" i="1"/>
  <c r="AT310" i="1"/>
  <c r="AS310" i="1"/>
  <c r="AR310" i="1"/>
  <c r="AQ310" i="1"/>
  <c r="AP310" i="1"/>
  <c r="AO310" i="1"/>
  <c r="AN310" i="1"/>
  <c r="AM310" i="1"/>
  <c r="AL310" i="1"/>
  <c r="AK310" i="1"/>
  <c r="AJ310" i="1"/>
  <c r="AI310" i="1"/>
  <c r="AH310" i="1"/>
  <c r="AG310" i="1"/>
  <c r="AF310" i="1"/>
  <c r="AE310" i="1"/>
  <c r="AC310" i="1"/>
  <c r="AB310" i="1"/>
  <c r="AA310" i="1"/>
  <c r="Z310" i="1"/>
  <c r="Y310" i="1"/>
  <c r="X310" i="1"/>
  <c r="W310" i="1"/>
  <c r="V310" i="1"/>
  <c r="T310" i="1"/>
  <c r="S310" i="1"/>
  <c r="R310" i="1"/>
  <c r="Q310" i="1"/>
  <c r="O310" i="1"/>
  <c r="N310" i="1"/>
  <c r="M310" i="1"/>
  <c r="L310" i="1"/>
  <c r="K310" i="1"/>
  <c r="J310" i="1"/>
  <c r="H310" i="1"/>
  <c r="G310" i="1"/>
  <c r="CX312" i="1"/>
  <c r="CW312" i="1" s="1"/>
  <c r="CK312" i="1"/>
  <c r="CE312" i="1"/>
  <c r="CB312" i="1"/>
  <c r="BN312" i="1"/>
  <c r="BK312" i="1"/>
  <c r="BF312" i="1"/>
  <c r="BB312" i="1"/>
  <c r="AD312" i="1"/>
  <c r="U312" i="1"/>
  <c r="P312" i="1"/>
  <c r="I312" i="1"/>
  <c r="BH309" i="1"/>
  <c r="BI306" i="1"/>
  <c r="BG305" i="1"/>
  <c r="BI304" i="1"/>
  <c r="BI303" i="1"/>
  <c r="BI302" i="1"/>
  <c r="BI301" i="1"/>
  <c r="CX304" i="1"/>
  <c r="CW304" i="1" s="1"/>
  <c r="CK304" i="1"/>
  <c r="CE304" i="1"/>
  <c r="CB304" i="1"/>
  <c r="BN304" i="1"/>
  <c r="BK304" i="1"/>
  <c r="BF304" i="1"/>
  <c r="BB304" i="1"/>
  <c r="AD304" i="1"/>
  <c r="U304" i="1"/>
  <c r="P304" i="1"/>
  <c r="I304" i="1"/>
  <c r="CX303" i="1"/>
  <c r="CW303" i="1" s="1"/>
  <c r="CK303" i="1"/>
  <c r="CE303" i="1"/>
  <c r="CB303" i="1"/>
  <c r="BN303" i="1"/>
  <c r="BK303" i="1"/>
  <c r="BF303" i="1"/>
  <c r="BB303" i="1"/>
  <c r="AD303" i="1"/>
  <c r="U303" i="1"/>
  <c r="P303" i="1"/>
  <c r="I303" i="1"/>
  <c r="CX302" i="1"/>
  <c r="CW302" i="1" s="1"/>
  <c r="CK302" i="1"/>
  <c r="CE302" i="1"/>
  <c r="CB302" i="1"/>
  <c r="BN302" i="1"/>
  <c r="BK302" i="1"/>
  <c r="BF302" i="1"/>
  <c r="BB302" i="1"/>
  <c r="AD302" i="1"/>
  <c r="U302" i="1"/>
  <c r="P302" i="1"/>
  <c r="I302" i="1"/>
  <c r="CX301" i="1"/>
  <c r="CW301" i="1" s="1"/>
  <c r="CK301" i="1"/>
  <c r="CE301" i="1"/>
  <c r="CB301" i="1"/>
  <c r="BN301" i="1"/>
  <c r="BK301" i="1"/>
  <c r="BF301" i="1"/>
  <c r="BB301" i="1"/>
  <c r="AD301" i="1"/>
  <c r="U301" i="1"/>
  <c r="P301" i="1"/>
  <c r="I301" i="1"/>
  <c r="BI299" i="1"/>
  <c r="BI298" i="1"/>
  <c r="BI297" i="1"/>
  <c r="CX299" i="1"/>
  <c r="CW299" i="1" s="1"/>
  <c r="CK299" i="1"/>
  <c r="CE299" i="1"/>
  <c r="CB299" i="1"/>
  <c r="BN299" i="1"/>
  <c r="BK299" i="1"/>
  <c r="BF299" i="1"/>
  <c r="BB299" i="1"/>
  <c r="AD299" i="1"/>
  <c r="U299" i="1"/>
  <c r="P299" i="1"/>
  <c r="I299" i="1"/>
  <c r="CX298" i="1"/>
  <c r="CW298" i="1" s="1"/>
  <c r="CK298" i="1"/>
  <c r="CE298" i="1"/>
  <c r="CB298" i="1"/>
  <c r="BN298" i="1"/>
  <c r="BK298" i="1"/>
  <c r="BF298" i="1"/>
  <c r="BB298" i="1"/>
  <c r="AD298" i="1"/>
  <c r="U298" i="1"/>
  <c r="P298" i="1"/>
  <c r="I298" i="1"/>
  <c r="CX297" i="1"/>
  <c r="CW297" i="1" s="1"/>
  <c r="CK297" i="1"/>
  <c r="CE297" i="1"/>
  <c r="CB297" i="1"/>
  <c r="BN297" i="1"/>
  <c r="BK297" i="1"/>
  <c r="BF297" i="1"/>
  <c r="BB297" i="1"/>
  <c r="AD297" i="1"/>
  <c r="U297" i="1"/>
  <c r="P297" i="1"/>
  <c r="I297" i="1"/>
  <c r="AZ296" i="1"/>
  <c r="CS285" i="1"/>
  <c r="AZ271" i="1"/>
  <c r="CS272" i="1"/>
  <c r="CU293" i="1" l="1"/>
  <c r="CA312" i="1"/>
  <c r="BZ312" i="1" s="1"/>
  <c r="BA312" i="1"/>
  <c r="E312" i="1" s="1"/>
  <c r="CA302" i="1"/>
  <c r="BZ302" i="1" s="1"/>
  <c r="CA303" i="1"/>
  <c r="BZ303" i="1" s="1"/>
  <c r="CA304" i="1"/>
  <c r="BZ304" i="1" s="1"/>
  <c r="BA303" i="1"/>
  <c r="BA304" i="1"/>
  <c r="BA301" i="1"/>
  <c r="E301" i="1" s="1"/>
  <c r="CA301" i="1"/>
  <c r="BZ301" i="1" s="1"/>
  <c r="BA302" i="1"/>
  <c r="BA297" i="1"/>
  <c r="BA299" i="1"/>
  <c r="CA298" i="1"/>
  <c r="BZ298" i="1" s="1"/>
  <c r="CA299" i="1"/>
  <c r="BZ299" i="1" s="1"/>
  <c r="BA298" i="1"/>
  <c r="CA297" i="1"/>
  <c r="BZ297" i="1" s="1"/>
  <c r="E297" i="1"/>
  <c r="CX272" i="1"/>
  <c r="CW272" i="1" s="1"/>
  <c r="CK272" i="1"/>
  <c r="CE272" i="1"/>
  <c r="CB272" i="1"/>
  <c r="BN272" i="1"/>
  <c r="BK272" i="1"/>
  <c r="BF272" i="1"/>
  <c r="BB272" i="1"/>
  <c r="AD272" i="1"/>
  <c r="U272" i="1"/>
  <c r="P272" i="1"/>
  <c r="I272" i="1"/>
  <c r="E302" i="1" l="1"/>
  <c r="E299" i="1"/>
  <c r="D299" i="1" s="1"/>
  <c r="D302" i="1"/>
  <c r="E304" i="1"/>
  <c r="D304" i="1" s="1"/>
  <c r="E303" i="1"/>
  <c r="D303" i="1" s="1"/>
  <c r="D301" i="1"/>
  <c r="D312" i="1"/>
  <c r="E298" i="1"/>
  <c r="D298" i="1" s="1"/>
  <c r="D297" i="1"/>
  <c r="BA272" i="1"/>
  <c r="CA272" i="1"/>
  <c r="BZ272" i="1" s="1"/>
  <c r="O269" i="1"/>
  <c r="CD269" i="1"/>
  <c r="AZ269" i="1"/>
  <c r="W269" i="1"/>
  <c r="T269" i="1"/>
  <c r="Y268" i="1"/>
  <c r="X268" i="1"/>
  <c r="W268" i="1"/>
  <c r="AZ267" i="1"/>
  <c r="AH267" i="1"/>
  <c r="V267" i="1"/>
  <c r="O267" i="1"/>
  <c r="AH266" i="1"/>
  <c r="O265" i="1"/>
  <c r="CD264" i="1"/>
  <c r="AP264" i="1"/>
  <c r="AP245" i="1" s="1"/>
  <c r="AP231" i="1" s="1"/>
  <c r="AP225" i="1" s="1"/>
  <c r="AP323" i="1" s="1"/>
  <c r="AH264" i="1"/>
  <c r="Z264" i="1"/>
  <c r="O264" i="1"/>
  <c r="N264" i="1"/>
  <c r="AZ263" i="1"/>
  <c r="O263" i="1"/>
  <c r="CN262" i="1"/>
  <c r="CL262" i="1"/>
  <c r="CD262" i="1"/>
  <c r="AZ262" i="1"/>
  <c r="AH262" i="1"/>
  <c r="AG262" i="1"/>
  <c r="Z262" i="1"/>
  <c r="V262" i="1"/>
  <c r="O262" i="1"/>
  <c r="N262" i="1"/>
  <c r="AM260" i="1"/>
  <c r="AL260" i="1"/>
  <c r="Y260" i="1"/>
  <c r="X260" i="1"/>
  <c r="W260" i="1"/>
  <c r="R260" i="1"/>
  <c r="AZ259" i="1"/>
  <c r="CD258" i="1"/>
  <c r="AH258" i="1"/>
  <c r="AG258" i="1"/>
  <c r="O257" i="1"/>
  <c r="CD256" i="1"/>
  <c r="AZ256" i="1"/>
  <c r="AH256" i="1"/>
  <c r="AG256" i="1"/>
  <c r="AC256" i="1"/>
  <c r="AA256" i="1"/>
  <c r="Z256" i="1"/>
  <c r="Y256" i="1"/>
  <c r="X256" i="1"/>
  <c r="W256" i="1"/>
  <c r="V256" i="1"/>
  <c r="O256" i="1"/>
  <c r="N256" i="1"/>
  <c r="J256" i="1"/>
  <c r="H256" i="1"/>
  <c r="G256" i="1"/>
  <c r="E272" i="1" l="1"/>
  <c r="D272" i="1" s="1"/>
  <c r="O254" i="1"/>
  <c r="CN254" i="1"/>
  <c r="CD254" i="1"/>
  <c r="AZ254" i="1"/>
  <c r="AS254" i="1"/>
  <c r="AQ254" i="1"/>
  <c r="AL254" i="1"/>
  <c r="AH254" i="1"/>
  <c r="AG254" i="1"/>
  <c r="AA254" i="1"/>
  <c r="Z254" i="1"/>
  <c r="Y254" i="1"/>
  <c r="W254" i="1"/>
  <c r="V254" i="1"/>
  <c r="N254" i="1"/>
  <c r="K254" i="1"/>
  <c r="H254" i="1"/>
  <c r="AM253" i="1"/>
  <c r="CD252" i="1" l="1"/>
  <c r="AZ252" i="1"/>
  <c r="AS252" i="1"/>
  <c r="AM252" i="1"/>
  <c r="AJ252" i="1"/>
  <c r="AH252" i="1"/>
  <c r="AG252" i="1"/>
  <c r="Z252" i="1"/>
  <c r="Y252" i="1"/>
  <c r="X252" i="1"/>
  <c r="W252" i="1"/>
  <c r="V252" i="1"/>
  <c r="T252" i="1"/>
  <c r="O252" i="1"/>
  <c r="N252" i="1"/>
  <c r="L252" i="1"/>
  <c r="H252" i="1"/>
  <c r="G252" i="1"/>
  <c r="CD251" i="1"/>
  <c r="AZ251" i="1"/>
  <c r="AS251" i="1"/>
  <c r="AM251" i="1"/>
  <c r="AH251" i="1"/>
  <c r="AG251" i="1"/>
  <c r="Z251" i="1"/>
  <c r="Y251" i="1"/>
  <c r="X251" i="1"/>
  <c r="W251" i="1"/>
  <c r="V251" i="1"/>
  <c r="Q251" i="1"/>
  <c r="O251" i="1"/>
  <c r="N251" i="1"/>
  <c r="J251" i="1"/>
  <c r="H251" i="1"/>
  <c r="G251" i="1"/>
  <c r="CD250" i="1"/>
  <c r="AZ250" i="1"/>
  <c r="AS250" i="1"/>
  <c r="AR250" i="1"/>
  <c r="AH250" i="1"/>
  <c r="AC250" i="1"/>
  <c r="AA250" i="1"/>
  <c r="Z250" i="1"/>
  <c r="Y250" i="1"/>
  <c r="W250" i="1"/>
  <c r="V250" i="1"/>
  <c r="O250" i="1"/>
  <c r="N250" i="1"/>
  <c r="K250" i="1"/>
  <c r="J250" i="1"/>
  <c r="H250" i="1"/>
  <c r="G250" i="1"/>
  <c r="CD249" i="1"/>
  <c r="AZ249" i="1"/>
  <c r="AH249" i="1"/>
  <c r="AG249" i="1"/>
  <c r="AC249" i="1"/>
  <c r="Y249" i="1"/>
  <c r="W249" i="1"/>
  <c r="T249" i="1"/>
  <c r="O249" i="1"/>
  <c r="N249" i="1"/>
  <c r="H249" i="1"/>
  <c r="G249" i="1"/>
  <c r="CD248" i="1"/>
  <c r="AH248" i="1"/>
  <c r="Z248" i="1"/>
  <c r="Y248" i="1"/>
  <c r="X248" i="1"/>
  <c r="W248" i="1"/>
  <c r="L248" i="1"/>
  <c r="G248" i="1" l="1"/>
  <c r="AZ247" i="1"/>
  <c r="V247" i="1"/>
  <c r="O247" i="1"/>
  <c r="L247" i="1"/>
  <c r="AN246" i="1"/>
  <c r="AM246" i="1"/>
  <c r="AG238" i="1"/>
  <c r="CV231" i="1"/>
  <c r="CV225" i="1" s="1"/>
  <c r="CV323" i="1" s="1"/>
  <c r="CV236" i="1"/>
  <c r="CU236" i="1" s="1"/>
  <c r="CT236" i="1" s="1"/>
  <c r="CT231" i="1" s="1"/>
  <c r="CT225" i="1" s="1"/>
  <c r="CT323" i="1" s="1"/>
  <c r="CX236" i="1"/>
  <c r="CW236" i="1" s="1"/>
  <c r="CK236" i="1"/>
  <c r="CE236" i="1"/>
  <c r="CB236" i="1"/>
  <c r="BN236" i="1"/>
  <c r="BK236" i="1"/>
  <c r="BF236" i="1"/>
  <c r="BB236" i="1"/>
  <c r="AD236" i="1"/>
  <c r="U236" i="1"/>
  <c r="P236" i="1"/>
  <c r="O236" i="1"/>
  <c r="I236" i="1" s="1"/>
  <c r="CD235" i="1"/>
  <c r="CX235" i="1"/>
  <c r="CW235" i="1" s="1"/>
  <c r="CK235" i="1"/>
  <c r="CE235" i="1"/>
  <c r="CB235" i="1"/>
  <c r="BN235" i="1"/>
  <c r="BK235" i="1"/>
  <c r="BF235" i="1"/>
  <c r="BB235" i="1"/>
  <c r="AD235" i="1"/>
  <c r="U235" i="1"/>
  <c r="P235" i="1"/>
  <c r="O235" i="1"/>
  <c r="I235" i="1" s="1"/>
  <c r="CR231" i="1"/>
  <c r="CQ231" i="1"/>
  <c r="CP231" i="1"/>
  <c r="CO231" i="1"/>
  <c r="CD232" i="1"/>
  <c r="CX232" i="1"/>
  <c r="CW232" i="1" s="1"/>
  <c r="CK232" i="1"/>
  <c r="CE232" i="1"/>
  <c r="CB232" i="1"/>
  <c r="BN232" i="1"/>
  <c r="BK232" i="1"/>
  <c r="BF232" i="1"/>
  <c r="BB232" i="1"/>
  <c r="AD232" i="1"/>
  <c r="U232" i="1"/>
  <c r="P232" i="1"/>
  <c r="I232" i="1"/>
  <c r="CZ228" i="1"/>
  <c r="CY228" i="1"/>
  <c r="CS228" i="1"/>
  <c r="CR228" i="1"/>
  <c r="CQ228" i="1"/>
  <c r="CP228" i="1"/>
  <c r="CO228" i="1"/>
  <c r="CN228" i="1"/>
  <c r="CM228" i="1"/>
  <c r="CL228" i="1"/>
  <c r="CJ228" i="1"/>
  <c r="CI228" i="1"/>
  <c r="CH228" i="1"/>
  <c r="CG228" i="1"/>
  <c r="CF228" i="1"/>
  <c r="CD228" i="1"/>
  <c r="CC228" i="1"/>
  <c r="BY228" i="1"/>
  <c r="BX228" i="1"/>
  <c r="BW228" i="1"/>
  <c r="BV228" i="1"/>
  <c r="BU228" i="1"/>
  <c r="BT228" i="1"/>
  <c r="BS228" i="1"/>
  <c r="BR228" i="1"/>
  <c r="BQ228" i="1"/>
  <c r="BP228" i="1"/>
  <c r="BO228" i="1"/>
  <c r="BM228" i="1"/>
  <c r="BL228" i="1"/>
  <c r="BJ228" i="1"/>
  <c r="BI228" i="1"/>
  <c r="BH228" i="1"/>
  <c r="BG228" i="1"/>
  <c r="BE228" i="1"/>
  <c r="BD228" i="1"/>
  <c r="BC228" i="1"/>
  <c r="AY228" i="1"/>
  <c r="AX228" i="1"/>
  <c r="AW228" i="1"/>
  <c r="AV228" i="1"/>
  <c r="AU228" i="1"/>
  <c r="AT228" i="1"/>
  <c r="AS228" i="1"/>
  <c r="AR228" i="1"/>
  <c r="AQ228" i="1"/>
  <c r="AO228" i="1"/>
  <c r="AN228" i="1"/>
  <c r="AM228" i="1"/>
  <c r="AL228" i="1"/>
  <c r="AK228" i="1"/>
  <c r="AJ228" i="1"/>
  <c r="AI228" i="1"/>
  <c r="AH228" i="1"/>
  <c r="AG228" i="1"/>
  <c r="AF228" i="1"/>
  <c r="AE228" i="1"/>
  <c r="AC228" i="1"/>
  <c r="AB228" i="1"/>
  <c r="AA228" i="1"/>
  <c r="Z228" i="1"/>
  <c r="Y228" i="1"/>
  <c r="X228" i="1"/>
  <c r="W228" i="1"/>
  <c r="V228" i="1"/>
  <c r="T228" i="1"/>
  <c r="S228" i="1"/>
  <c r="R228" i="1"/>
  <c r="Q228" i="1"/>
  <c r="O228" i="1"/>
  <c r="N228" i="1"/>
  <c r="M228" i="1"/>
  <c r="L228" i="1"/>
  <c r="K228" i="1"/>
  <c r="J228" i="1"/>
  <c r="CX229" i="1"/>
  <c r="CW229" i="1" s="1"/>
  <c r="CK229" i="1"/>
  <c r="CE229" i="1"/>
  <c r="CB229" i="1"/>
  <c r="BN229" i="1"/>
  <c r="BK229" i="1"/>
  <c r="BF229" i="1"/>
  <c r="BB229" i="1"/>
  <c r="AZ229" i="1"/>
  <c r="AZ228" i="1" s="1"/>
  <c r="U229" i="1"/>
  <c r="P229" i="1"/>
  <c r="I229" i="1"/>
  <c r="BI224" i="1"/>
  <c r="CR220" i="1"/>
  <c r="CQ220" i="1" s="1"/>
  <c r="CQ219" i="1" s="1"/>
  <c r="CQ218" i="1" s="1"/>
  <c r="CR16" i="1"/>
  <c r="CQ16" i="1"/>
  <c r="CX220" i="1"/>
  <c r="CW220" i="1" s="1"/>
  <c r="CW219" i="1" s="1"/>
  <c r="CW218" i="1" s="1"/>
  <c r="CK220" i="1"/>
  <c r="CK219" i="1" s="1"/>
  <c r="CK218" i="1" s="1"/>
  <c r="CE220" i="1"/>
  <c r="CE219" i="1" s="1"/>
  <c r="CE218" i="1" s="1"/>
  <c r="CB220" i="1"/>
  <c r="CB219" i="1" s="1"/>
  <c r="CB218" i="1" s="1"/>
  <c r="BN220" i="1"/>
  <c r="BK220" i="1"/>
  <c r="BK219" i="1" s="1"/>
  <c r="BK218" i="1" s="1"/>
  <c r="BF220" i="1"/>
  <c r="BF219" i="1" s="1"/>
  <c r="BF218" i="1" s="1"/>
  <c r="BB220" i="1"/>
  <c r="BB219" i="1" s="1"/>
  <c r="BB218" i="1" s="1"/>
  <c r="AD220" i="1"/>
  <c r="AD219" i="1" s="1"/>
  <c r="AD218" i="1" s="1"/>
  <c r="U220" i="1"/>
  <c r="U219" i="1" s="1"/>
  <c r="U218" i="1" s="1"/>
  <c r="P220" i="1"/>
  <c r="P219" i="1" s="1"/>
  <c r="P218" i="1" s="1"/>
  <c r="I220" i="1"/>
  <c r="CZ219" i="1"/>
  <c r="CZ218" i="1" s="1"/>
  <c r="CY219" i="1"/>
  <c r="CY218" i="1" s="1"/>
  <c r="CS219" i="1"/>
  <c r="CS218" i="1" s="1"/>
  <c r="CN219" i="1"/>
  <c r="CN218" i="1" s="1"/>
  <c r="CM219" i="1"/>
  <c r="CM218" i="1" s="1"/>
  <c r="CL219" i="1"/>
  <c r="CL218" i="1" s="1"/>
  <c r="CJ219" i="1"/>
  <c r="CJ218" i="1" s="1"/>
  <c r="CI219" i="1"/>
  <c r="CI218" i="1" s="1"/>
  <c r="CH219" i="1"/>
  <c r="CH218" i="1" s="1"/>
  <c r="CG219" i="1"/>
  <c r="CG218" i="1" s="1"/>
  <c r="CF219" i="1"/>
  <c r="CF218" i="1" s="1"/>
  <c r="CD219" i="1"/>
  <c r="CD218" i="1" s="1"/>
  <c r="CC219" i="1"/>
  <c r="CC218" i="1" s="1"/>
  <c r="BY219" i="1"/>
  <c r="BY218" i="1" s="1"/>
  <c r="BX219" i="1"/>
  <c r="BX218" i="1" s="1"/>
  <c r="BW219" i="1"/>
  <c r="BW218" i="1" s="1"/>
  <c r="BV219" i="1"/>
  <c r="BV218" i="1" s="1"/>
  <c r="BU219" i="1"/>
  <c r="BU218" i="1" s="1"/>
  <c r="BT219" i="1"/>
  <c r="BT218" i="1" s="1"/>
  <c r="BS219" i="1"/>
  <c r="BS218" i="1" s="1"/>
  <c r="BR219" i="1"/>
  <c r="BR218" i="1" s="1"/>
  <c r="BQ219" i="1"/>
  <c r="BQ218" i="1" s="1"/>
  <c r="BP219" i="1"/>
  <c r="BP218" i="1" s="1"/>
  <c r="BO219" i="1"/>
  <c r="BO218" i="1" s="1"/>
  <c r="BM219" i="1"/>
  <c r="BM218" i="1" s="1"/>
  <c r="BL219" i="1"/>
  <c r="BL218" i="1" s="1"/>
  <c r="BJ219" i="1"/>
  <c r="BJ218" i="1" s="1"/>
  <c r="BI219" i="1"/>
  <c r="BI218" i="1" s="1"/>
  <c r="BH219" i="1"/>
  <c r="BH218" i="1" s="1"/>
  <c r="BG219" i="1"/>
  <c r="BG218" i="1" s="1"/>
  <c r="BE219" i="1"/>
  <c r="BE218" i="1" s="1"/>
  <c r="BD219" i="1"/>
  <c r="BD218" i="1" s="1"/>
  <c r="BC219" i="1"/>
  <c r="BC218" i="1" s="1"/>
  <c r="AZ219" i="1"/>
  <c r="AZ218" i="1" s="1"/>
  <c r="AX219" i="1"/>
  <c r="AX218" i="1" s="1"/>
  <c r="AW219" i="1"/>
  <c r="AW218" i="1" s="1"/>
  <c r="AV219" i="1"/>
  <c r="AV218" i="1" s="1"/>
  <c r="AS219" i="1"/>
  <c r="AS218" i="1" s="1"/>
  <c r="AR219" i="1"/>
  <c r="AR218" i="1" s="1"/>
  <c r="AQ219" i="1"/>
  <c r="AQ218" i="1" s="1"/>
  <c r="AO219" i="1"/>
  <c r="AO218" i="1" s="1"/>
  <c r="AN219" i="1"/>
  <c r="AN218" i="1" s="1"/>
  <c r="AM219" i="1"/>
  <c r="AM218" i="1" s="1"/>
  <c r="AL219" i="1"/>
  <c r="AL218" i="1" s="1"/>
  <c r="AK219" i="1"/>
  <c r="AK218" i="1" s="1"/>
  <c r="AJ219" i="1"/>
  <c r="AJ218" i="1" s="1"/>
  <c r="AI219" i="1"/>
  <c r="AI218" i="1" s="1"/>
  <c r="AH219" i="1"/>
  <c r="AH218" i="1" s="1"/>
  <c r="AG219" i="1"/>
  <c r="AG218" i="1" s="1"/>
  <c r="AF219" i="1"/>
  <c r="AF218" i="1" s="1"/>
  <c r="AE219" i="1"/>
  <c r="AE218" i="1" s="1"/>
  <c r="AC219" i="1"/>
  <c r="AC218" i="1" s="1"/>
  <c r="AB219" i="1"/>
  <c r="AB218" i="1" s="1"/>
  <c r="AA219" i="1"/>
  <c r="AA218" i="1" s="1"/>
  <c r="Z219" i="1"/>
  <c r="Z218" i="1" s="1"/>
  <c r="Y219" i="1"/>
  <c r="Y218" i="1" s="1"/>
  <c r="X219" i="1"/>
  <c r="X218" i="1" s="1"/>
  <c r="W219" i="1"/>
  <c r="W218" i="1" s="1"/>
  <c r="V219" i="1"/>
  <c r="V218" i="1" s="1"/>
  <c r="T219" i="1"/>
  <c r="T218" i="1" s="1"/>
  <c r="S219" i="1"/>
  <c r="S218" i="1" s="1"/>
  <c r="R219" i="1"/>
  <c r="R218" i="1" s="1"/>
  <c r="Q219" i="1"/>
  <c r="Q218" i="1" s="1"/>
  <c r="O219" i="1"/>
  <c r="O218" i="1" s="1"/>
  <c r="N219" i="1"/>
  <c r="N218" i="1" s="1"/>
  <c r="M219" i="1"/>
  <c r="M218" i="1" s="1"/>
  <c r="L219" i="1"/>
  <c r="L218" i="1" s="1"/>
  <c r="K219" i="1"/>
  <c r="K218" i="1" s="1"/>
  <c r="J219" i="1"/>
  <c r="J218" i="1" s="1"/>
  <c r="H219" i="1"/>
  <c r="H218" i="1" s="1"/>
  <c r="G219" i="1"/>
  <c r="G218" i="1" s="1"/>
  <c r="H187" i="1"/>
  <c r="G187" i="1"/>
  <c r="W186" i="1"/>
  <c r="H186" i="1"/>
  <c r="G186" i="1"/>
  <c r="CM185" i="1"/>
  <c r="W185" i="1"/>
  <c r="H185" i="1"/>
  <c r="G185" i="1"/>
  <c r="BX182" i="1"/>
  <c r="BO182" i="1"/>
  <c r="H180" i="1"/>
  <c r="G180" i="1"/>
  <c r="W176" i="1"/>
  <c r="H175" i="1"/>
  <c r="G175" i="1"/>
  <c r="W173" i="1"/>
  <c r="H173" i="1"/>
  <c r="G173" i="1"/>
  <c r="W172" i="1"/>
  <c r="H172" i="1"/>
  <c r="G172" i="1"/>
  <c r="AH170" i="1"/>
  <c r="AG170" i="1"/>
  <c r="W170" i="1"/>
  <c r="O170" i="1"/>
  <c r="H170" i="1"/>
  <c r="G170" i="1"/>
  <c r="H155" i="1"/>
  <c r="G155" i="1"/>
  <c r="W154" i="1"/>
  <c r="H154" i="1"/>
  <c r="G154" i="1"/>
  <c r="AD229" i="1" l="1"/>
  <c r="BA229" i="1"/>
  <c r="BA232" i="1"/>
  <c r="E229" i="1"/>
  <c r="D229" i="1" s="1"/>
  <c r="E236" i="1"/>
  <c r="CA236" i="1"/>
  <c r="BZ236" i="1" s="1"/>
  <c r="CA232" i="1"/>
  <c r="BZ232" i="1" s="1"/>
  <c r="E235" i="1"/>
  <c r="CU231" i="1"/>
  <c r="CU225" i="1" s="1"/>
  <c r="CU323" i="1" s="1"/>
  <c r="BA220" i="1"/>
  <c r="BA219" i="1" s="1"/>
  <c r="BA218" i="1" s="1"/>
  <c r="CA229" i="1"/>
  <c r="BZ229" i="1" s="1"/>
  <c r="CA235" i="1"/>
  <c r="BZ235" i="1" s="1"/>
  <c r="CQ323" i="1"/>
  <c r="CR219" i="1"/>
  <c r="CR218" i="1" s="1"/>
  <c r="CR323" i="1" s="1"/>
  <c r="E220" i="1"/>
  <c r="CA220" i="1"/>
  <c r="BZ220" i="1" s="1"/>
  <c r="BZ219" i="1" s="1"/>
  <c r="BZ218" i="1" s="1"/>
  <c r="CX219" i="1"/>
  <c r="CX218" i="1" s="1"/>
  <c r="BN219" i="1"/>
  <c r="BN218" i="1" s="1"/>
  <c r="I219" i="1"/>
  <c r="I218" i="1" s="1"/>
  <c r="D236" i="1" l="1"/>
  <c r="E232" i="1"/>
  <c r="D232" i="1" s="1"/>
  <c r="D235" i="1"/>
  <c r="CA219" i="1"/>
  <c r="CA218" i="1" s="1"/>
  <c r="F219" i="1"/>
  <c r="F218" i="1" s="1"/>
  <c r="E219" i="1"/>
  <c r="E218" i="1" s="1"/>
  <c r="D220" i="1"/>
  <c r="D219" i="1" s="1"/>
  <c r="D218" i="1" s="1"/>
  <c r="H144" i="1" l="1"/>
  <c r="G144" i="1"/>
  <c r="H143" i="1"/>
  <c r="G143" i="1"/>
  <c r="W140" i="1"/>
  <c r="H140" i="1"/>
  <c r="G140" i="1"/>
  <c r="H138" i="1"/>
  <c r="G138" i="1"/>
  <c r="W136" i="1"/>
  <c r="H136" i="1"/>
  <c r="G136" i="1"/>
  <c r="BQ135" i="1"/>
  <c r="W135" i="1"/>
  <c r="H135" i="1"/>
  <c r="G135" i="1"/>
  <c r="H132" i="1"/>
  <c r="G132" i="1"/>
  <c r="W131" i="1"/>
  <c r="H131" i="1"/>
  <c r="G131" i="1"/>
  <c r="H130" i="1"/>
  <c r="G130" i="1"/>
  <c r="H128" i="1"/>
  <c r="G128" i="1"/>
  <c r="W127" i="1"/>
  <c r="H127" i="1"/>
  <c r="G127" i="1"/>
  <c r="H126" i="1"/>
  <c r="G126" i="1"/>
  <c r="W111" i="1"/>
  <c r="AZ109" i="1"/>
  <c r="I88" i="1"/>
  <c r="P88" i="1"/>
  <c r="U88" i="1"/>
  <c r="CX97" i="1"/>
  <c r="CW97" i="1" s="1"/>
  <c r="CK97" i="1"/>
  <c r="CE97" i="1"/>
  <c r="CB97" i="1"/>
  <c r="BN97" i="1"/>
  <c r="BK97" i="1"/>
  <c r="BF97" i="1"/>
  <c r="BB97" i="1"/>
  <c r="AD97" i="1"/>
  <c r="U97" i="1"/>
  <c r="P97" i="1"/>
  <c r="I97" i="1"/>
  <c r="BA97" i="1" l="1"/>
  <c r="CA97" i="1"/>
  <c r="BZ97" i="1" s="1"/>
  <c r="W78" i="1"/>
  <c r="W76" i="1"/>
  <c r="BY74" i="1"/>
  <c r="W74" i="1"/>
  <c r="N74" i="1"/>
  <c r="G74" i="1"/>
  <c r="W71" i="1"/>
  <c r="CD69" i="1"/>
  <c r="W69" i="1"/>
  <c r="O69" i="1"/>
  <c r="N69" i="1"/>
  <c r="K69" i="1"/>
  <c r="W64" i="1"/>
  <c r="W45" i="1"/>
  <c r="W43" i="1"/>
  <c r="W42" i="1"/>
  <c r="E97" i="1" l="1"/>
  <c r="D97" i="1" s="1"/>
  <c r="BX201" i="1"/>
  <c r="BX200" i="1"/>
  <c r="BY199" i="1"/>
  <c r="BX199" i="1"/>
  <c r="BX189" i="1"/>
  <c r="BU189" i="1"/>
  <c r="CP314" i="1" l="1"/>
  <c r="CF314" i="1"/>
  <c r="AJ294" i="1" l="1"/>
  <c r="CX296" i="1"/>
  <c r="CW296" i="1" s="1"/>
  <c r="CK296" i="1"/>
  <c r="CE296" i="1"/>
  <c r="CB296" i="1"/>
  <c r="BN296" i="1"/>
  <c r="BK296" i="1"/>
  <c r="BF296" i="1"/>
  <c r="BB296" i="1"/>
  <c r="AD296" i="1"/>
  <c r="U296" i="1"/>
  <c r="P296" i="1"/>
  <c r="I296" i="1"/>
  <c r="G228" i="1"/>
  <c r="H228" i="1"/>
  <c r="G56" i="1"/>
  <c r="H54" i="1"/>
  <c r="G54" i="1"/>
  <c r="H33" i="1"/>
  <c r="G33" i="1"/>
  <c r="H32" i="1"/>
  <c r="G32" i="1"/>
  <c r="H25" i="1"/>
  <c r="G25" i="1"/>
  <c r="BA296" i="1" l="1"/>
  <c r="CA296" i="1"/>
  <c r="BZ296" i="1" s="1"/>
  <c r="AJ135" i="1"/>
  <c r="AI135" i="1"/>
  <c r="N135" i="1"/>
  <c r="L135" i="1"/>
  <c r="K135" i="1"/>
  <c r="J135" i="1"/>
  <c r="AJ131" i="1"/>
  <c r="AI131" i="1"/>
  <c r="N131" i="1"/>
  <c r="L131" i="1"/>
  <c r="K131" i="1"/>
  <c r="J131" i="1"/>
  <c r="V185" i="1"/>
  <c r="AZ154" i="1"/>
  <c r="AS154" i="1"/>
  <c r="Y154" i="1"/>
  <c r="X154" i="1"/>
  <c r="V154" i="1"/>
  <c r="N154" i="1"/>
  <c r="CN18" i="1"/>
  <c r="BC101" i="1"/>
  <c r="E296" i="1" l="1"/>
  <c r="D296" i="1" s="1"/>
  <c r="CS273" i="1"/>
  <c r="Y22" i="1"/>
  <c r="BI242" i="1"/>
  <c r="BJ242" i="1"/>
  <c r="Y21" i="1"/>
  <c r="CN21" i="1"/>
  <c r="CD21" i="1"/>
  <c r="N21" i="1"/>
  <c r="H21" i="1"/>
  <c r="G21" i="1"/>
  <c r="BF307" i="1" l="1"/>
  <c r="BF322" i="1"/>
  <c r="BJ321" i="1" l="1"/>
  <c r="BJ319" i="1"/>
  <c r="BJ317" i="1"/>
  <c r="BJ315" i="1"/>
  <c r="BJ313" i="1"/>
  <c r="BJ308" i="1"/>
  <c r="BJ294" i="1"/>
  <c r="BJ291" i="1"/>
  <c r="BJ290" i="1" s="1"/>
  <c r="BJ288" i="1"/>
  <c r="BJ286" i="1"/>
  <c r="BJ270" i="1"/>
  <c r="BJ245" i="1"/>
  <c r="BJ231" i="1" s="1"/>
  <c r="BJ226" i="1"/>
  <c r="BJ222" i="1"/>
  <c r="BJ221" i="1" s="1"/>
  <c r="BJ216" i="1"/>
  <c r="BJ215" i="1" s="1"/>
  <c r="BJ204" i="1"/>
  <c r="BJ196" i="1"/>
  <c r="BJ194" i="1"/>
  <c r="BJ192" i="1"/>
  <c r="BJ190" i="1"/>
  <c r="BJ188" i="1"/>
  <c r="BJ184" i="1"/>
  <c r="BJ179" i="1"/>
  <c r="BJ177" i="1"/>
  <c r="BJ174" i="1"/>
  <c r="BJ171" i="1"/>
  <c r="BJ169" i="1"/>
  <c r="BJ166" i="1"/>
  <c r="BJ163" i="1"/>
  <c r="BJ160" i="1"/>
  <c r="BJ153" i="1"/>
  <c r="BJ150" i="1"/>
  <c r="BJ146" i="1"/>
  <c r="BJ141" i="1"/>
  <c r="BJ139" i="1"/>
  <c r="BJ137" i="1"/>
  <c r="BJ133" i="1"/>
  <c r="BJ129" i="1"/>
  <c r="BJ125" i="1"/>
  <c r="BJ122" i="1"/>
  <c r="BJ118" i="1"/>
  <c r="BJ116" i="1"/>
  <c r="BJ113" i="1"/>
  <c r="BJ110" i="1"/>
  <c r="BJ108" i="1"/>
  <c r="BJ106" i="1"/>
  <c r="BJ103" i="1"/>
  <c r="BJ102" i="1" s="1"/>
  <c r="BJ100" i="1"/>
  <c r="BJ99" i="1" s="1"/>
  <c r="BJ86" i="1"/>
  <c r="BJ83" i="1"/>
  <c r="BJ81" i="1"/>
  <c r="BJ79" i="1"/>
  <c r="BJ77" i="1"/>
  <c r="BJ75" i="1"/>
  <c r="BJ73" i="1"/>
  <c r="BJ70" i="1"/>
  <c r="BJ68" i="1"/>
  <c r="BJ65" i="1"/>
  <c r="BJ63" i="1"/>
  <c r="BJ60" i="1"/>
  <c r="BJ59" i="1" s="1"/>
  <c r="BJ57" i="1"/>
  <c r="BJ55" i="1"/>
  <c r="BJ53" i="1"/>
  <c r="BJ51" i="1"/>
  <c r="BJ49" i="1"/>
  <c r="BJ46" i="1"/>
  <c r="BJ44" i="1"/>
  <c r="BJ39" i="1"/>
  <c r="BJ37" i="1"/>
  <c r="BJ23" i="1"/>
  <c r="BJ19" i="1"/>
  <c r="BJ17" i="1"/>
  <c r="I64" i="1"/>
  <c r="I66" i="1"/>
  <c r="BJ62" i="1" l="1"/>
  <c r="BJ181" i="1"/>
  <c r="BJ105" i="1"/>
  <c r="BJ159" i="1"/>
  <c r="BJ293" i="1"/>
  <c r="BJ145" i="1"/>
  <c r="BJ16" i="1"/>
  <c r="BJ225" i="1"/>
  <c r="BJ48" i="1"/>
  <c r="BJ67" i="1"/>
  <c r="BJ85" i="1"/>
  <c r="BJ112" i="1"/>
  <c r="BJ124" i="1"/>
  <c r="BJ168" i="1"/>
  <c r="BJ323" i="1" l="1"/>
  <c r="CX167" i="1"/>
  <c r="CW167" i="1" s="1"/>
  <c r="CW166" i="1" s="1"/>
  <c r="CK167" i="1"/>
  <c r="CK166" i="1" s="1"/>
  <c r="CE167" i="1"/>
  <c r="CE166" i="1" s="1"/>
  <c r="CB167" i="1"/>
  <c r="BN167" i="1"/>
  <c r="BN166" i="1" s="1"/>
  <c r="BK167" i="1"/>
  <c r="BK166" i="1" s="1"/>
  <c r="BF167" i="1"/>
  <c r="BF166" i="1" s="1"/>
  <c r="BB167" i="1"/>
  <c r="AD167" i="1"/>
  <c r="AD166" i="1" s="1"/>
  <c r="U167" i="1"/>
  <c r="U166" i="1" s="1"/>
  <c r="P167" i="1"/>
  <c r="P166" i="1" s="1"/>
  <c r="O167" i="1"/>
  <c r="I167" i="1" s="1"/>
  <c r="CZ166" i="1"/>
  <c r="CY166" i="1"/>
  <c r="CS166" i="1"/>
  <c r="CP166" i="1"/>
  <c r="CP159" i="1" s="1"/>
  <c r="CO166" i="1"/>
  <c r="CO159" i="1" s="1"/>
  <c r="CN166" i="1"/>
  <c r="CM166" i="1"/>
  <c r="CL166" i="1"/>
  <c r="CJ166" i="1"/>
  <c r="CI166" i="1"/>
  <c r="CH166" i="1"/>
  <c r="CG166" i="1"/>
  <c r="CF166" i="1"/>
  <c r="CD166" i="1"/>
  <c r="CC166" i="1"/>
  <c r="BY166" i="1"/>
  <c r="BX166" i="1"/>
  <c r="BW166" i="1"/>
  <c r="BV166" i="1"/>
  <c r="BU166" i="1"/>
  <c r="BT166" i="1"/>
  <c r="BS166" i="1"/>
  <c r="BR166" i="1"/>
  <c r="BQ166" i="1"/>
  <c r="BP166" i="1"/>
  <c r="BO166" i="1"/>
  <c r="BM166" i="1"/>
  <c r="BL166" i="1"/>
  <c r="BI166" i="1"/>
  <c r="BH166" i="1"/>
  <c r="BG166" i="1"/>
  <c r="BE166" i="1"/>
  <c r="BD166" i="1"/>
  <c r="BC166" i="1"/>
  <c r="AZ166" i="1"/>
  <c r="AY166" i="1"/>
  <c r="AY159" i="1" s="1"/>
  <c r="AX166" i="1"/>
  <c r="AW166" i="1"/>
  <c r="AV166" i="1"/>
  <c r="AU166" i="1"/>
  <c r="AU159" i="1" s="1"/>
  <c r="AT166" i="1"/>
  <c r="AT159" i="1" s="1"/>
  <c r="AS166" i="1"/>
  <c r="AR166" i="1"/>
  <c r="AQ166" i="1"/>
  <c r="AO166" i="1"/>
  <c r="AN166" i="1"/>
  <c r="AM166" i="1"/>
  <c r="AL166" i="1"/>
  <c r="AK166" i="1"/>
  <c r="AJ166" i="1"/>
  <c r="AI166" i="1"/>
  <c r="AH166" i="1"/>
  <c r="AG166" i="1"/>
  <c r="AF166" i="1"/>
  <c r="AE166" i="1"/>
  <c r="AC166" i="1"/>
  <c r="AB166" i="1"/>
  <c r="AA166" i="1"/>
  <c r="Z166" i="1"/>
  <c r="Y166" i="1"/>
  <c r="X166" i="1"/>
  <c r="W166" i="1"/>
  <c r="V166" i="1"/>
  <c r="T166" i="1"/>
  <c r="S166" i="1"/>
  <c r="R166" i="1"/>
  <c r="Q166" i="1"/>
  <c r="N166" i="1"/>
  <c r="M166" i="1"/>
  <c r="L166" i="1"/>
  <c r="K166" i="1"/>
  <c r="J166" i="1"/>
  <c r="H166" i="1"/>
  <c r="G166" i="1"/>
  <c r="H17" i="1"/>
  <c r="G17" i="1"/>
  <c r="CZ294" i="1"/>
  <c r="CY294" i="1"/>
  <c r="CS294" i="1"/>
  <c r="CP294" i="1"/>
  <c r="CO294" i="1"/>
  <c r="CN294" i="1"/>
  <c r="CM294" i="1"/>
  <c r="CL294" i="1"/>
  <c r="CJ294" i="1"/>
  <c r="CI294" i="1"/>
  <c r="CH294" i="1"/>
  <c r="CG294" i="1"/>
  <c r="CF294" i="1"/>
  <c r="CD294" i="1"/>
  <c r="CC294" i="1"/>
  <c r="BY294" i="1"/>
  <c r="BX294" i="1"/>
  <c r="BW294" i="1"/>
  <c r="BV294" i="1"/>
  <c r="BU294" i="1"/>
  <c r="BT294" i="1"/>
  <c r="BS294" i="1"/>
  <c r="BR294" i="1"/>
  <c r="BQ294" i="1"/>
  <c r="BP294" i="1"/>
  <c r="BO294" i="1"/>
  <c r="BM294" i="1"/>
  <c r="BL294" i="1"/>
  <c r="BI294" i="1"/>
  <c r="BH294" i="1"/>
  <c r="BG294" i="1"/>
  <c r="BE294" i="1"/>
  <c r="BD294" i="1"/>
  <c r="BC294" i="1"/>
  <c r="AZ294" i="1"/>
  <c r="AY294" i="1"/>
  <c r="AX294" i="1"/>
  <c r="AW294" i="1"/>
  <c r="AV294" i="1"/>
  <c r="AU294" i="1"/>
  <c r="AT294" i="1"/>
  <c r="AS294" i="1"/>
  <c r="AR294" i="1"/>
  <c r="AQ294" i="1"/>
  <c r="AO294" i="1"/>
  <c r="AN294" i="1"/>
  <c r="AM294" i="1"/>
  <c r="AL294" i="1"/>
  <c r="AK294" i="1"/>
  <c r="AI294" i="1"/>
  <c r="AH294" i="1"/>
  <c r="AG294" i="1"/>
  <c r="AF294" i="1"/>
  <c r="AE294" i="1"/>
  <c r="AC294" i="1"/>
  <c r="AB294" i="1"/>
  <c r="AA294" i="1"/>
  <c r="Z294" i="1"/>
  <c r="Y294" i="1"/>
  <c r="X294" i="1"/>
  <c r="W294" i="1"/>
  <c r="V294" i="1"/>
  <c r="T294" i="1"/>
  <c r="S294" i="1"/>
  <c r="R294" i="1"/>
  <c r="Q294" i="1"/>
  <c r="O294" i="1"/>
  <c r="N294" i="1"/>
  <c r="M294" i="1"/>
  <c r="L294" i="1"/>
  <c r="K294" i="1"/>
  <c r="J294" i="1"/>
  <c r="H294" i="1"/>
  <c r="G294" i="1"/>
  <c r="CX307" i="1"/>
  <c r="CW307" i="1" s="1"/>
  <c r="CK307" i="1"/>
  <c r="CE307" i="1"/>
  <c r="CB307" i="1"/>
  <c r="BN307" i="1"/>
  <c r="BK307" i="1"/>
  <c r="BB307" i="1"/>
  <c r="AD307" i="1"/>
  <c r="U307" i="1"/>
  <c r="P307" i="1"/>
  <c r="I307" i="1"/>
  <c r="CX300" i="1"/>
  <c r="CW300" i="1" s="1"/>
  <c r="CK300" i="1"/>
  <c r="CE300" i="1"/>
  <c r="CB300" i="1"/>
  <c r="BN300" i="1"/>
  <c r="BK300" i="1"/>
  <c r="BF300" i="1"/>
  <c r="BB300" i="1"/>
  <c r="AD300" i="1"/>
  <c r="U300" i="1"/>
  <c r="P300" i="1"/>
  <c r="I300" i="1"/>
  <c r="CX120" i="1"/>
  <c r="CW120" i="1" s="1"/>
  <c r="CK120" i="1"/>
  <c r="CE120" i="1"/>
  <c r="CB120" i="1"/>
  <c r="BN120" i="1"/>
  <c r="BK120" i="1"/>
  <c r="BF120" i="1"/>
  <c r="BB120" i="1"/>
  <c r="AD120" i="1"/>
  <c r="U120" i="1"/>
  <c r="P120" i="1"/>
  <c r="I120" i="1"/>
  <c r="CX166" i="1" l="1"/>
  <c r="BA167" i="1"/>
  <c r="BA166" i="1" s="1"/>
  <c r="CA167" i="1"/>
  <c r="BZ167" i="1" s="1"/>
  <c r="BZ166" i="1" s="1"/>
  <c r="O166" i="1"/>
  <c r="CB166" i="1"/>
  <c r="BB166" i="1"/>
  <c r="CA166" i="1"/>
  <c r="I166" i="1"/>
  <c r="BA307" i="1"/>
  <c r="BA120" i="1"/>
  <c r="CA307" i="1"/>
  <c r="BZ307" i="1" s="1"/>
  <c r="CA120" i="1"/>
  <c r="BZ120" i="1" s="1"/>
  <c r="CA300" i="1"/>
  <c r="BZ300" i="1" s="1"/>
  <c r="BA300" i="1"/>
  <c r="CX109" i="1"/>
  <c r="CW109" i="1" s="1"/>
  <c r="CW108" i="1" s="1"/>
  <c r="CK109" i="1"/>
  <c r="CK108" i="1" s="1"/>
  <c r="CE109" i="1"/>
  <c r="CE108" i="1" s="1"/>
  <c r="CB109" i="1"/>
  <c r="CB108" i="1" s="1"/>
  <c r="BN109" i="1"/>
  <c r="BN108" i="1" s="1"/>
  <c r="BK109" i="1"/>
  <c r="BK108" i="1" s="1"/>
  <c r="BF109" i="1"/>
  <c r="BF108" i="1" s="1"/>
  <c r="BB109" i="1"/>
  <c r="BB108" i="1" s="1"/>
  <c r="AD109" i="1"/>
  <c r="AD108" i="1" s="1"/>
  <c r="U109" i="1"/>
  <c r="U108" i="1" s="1"/>
  <c r="P109" i="1"/>
  <c r="P108" i="1" s="1"/>
  <c r="I109" i="1"/>
  <c r="I108" i="1" s="1"/>
  <c r="CZ108" i="1"/>
  <c r="CY108" i="1"/>
  <c r="CS108" i="1"/>
  <c r="CN108" i="1"/>
  <c r="CM108" i="1"/>
  <c r="CL108" i="1"/>
  <c r="CJ108" i="1"/>
  <c r="CI108" i="1"/>
  <c r="CH108" i="1"/>
  <c r="CG108" i="1"/>
  <c r="CF108" i="1"/>
  <c r="CD108" i="1"/>
  <c r="CC108" i="1"/>
  <c r="BY108" i="1"/>
  <c r="BX108" i="1"/>
  <c r="BW108" i="1"/>
  <c r="BV108" i="1"/>
  <c r="BU108" i="1"/>
  <c r="BT108" i="1"/>
  <c r="BS108" i="1"/>
  <c r="BR108" i="1"/>
  <c r="BQ108" i="1"/>
  <c r="BP108" i="1"/>
  <c r="BO108" i="1"/>
  <c r="BM108" i="1"/>
  <c r="BL108" i="1"/>
  <c r="BI108" i="1"/>
  <c r="BH108" i="1"/>
  <c r="BG108" i="1"/>
  <c r="BE108" i="1"/>
  <c r="BD108" i="1"/>
  <c r="BC108" i="1"/>
  <c r="AZ108" i="1"/>
  <c r="AX108" i="1"/>
  <c r="AW108" i="1"/>
  <c r="AV108" i="1"/>
  <c r="AS108" i="1"/>
  <c r="AR108" i="1"/>
  <c r="AQ108" i="1"/>
  <c r="AO108" i="1"/>
  <c r="AN108" i="1"/>
  <c r="AM108" i="1"/>
  <c r="AL108" i="1"/>
  <c r="AK108" i="1"/>
  <c r="AJ108" i="1"/>
  <c r="AI108" i="1"/>
  <c r="AH108" i="1"/>
  <c r="AG108" i="1"/>
  <c r="AF108" i="1"/>
  <c r="AE108" i="1"/>
  <c r="AC108" i="1"/>
  <c r="AB108" i="1"/>
  <c r="AA108" i="1"/>
  <c r="Z108" i="1"/>
  <c r="Y108" i="1"/>
  <c r="X108" i="1"/>
  <c r="W108" i="1"/>
  <c r="V108" i="1"/>
  <c r="T108" i="1"/>
  <c r="S108" i="1"/>
  <c r="R108" i="1"/>
  <c r="Q108" i="1"/>
  <c r="O108" i="1"/>
  <c r="N108" i="1"/>
  <c r="M108" i="1"/>
  <c r="L108" i="1"/>
  <c r="K108" i="1"/>
  <c r="J108" i="1"/>
  <c r="H108" i="1"/>
  <c r="G108" i="1"/>
  <c r="CX108" i="1" l="1"/>
  <c r="E120" i="1"/>
  <c r="D120" i="1" s="1"/>
  <c r="E307" i="1"/>
  <c r="D307" i="1" s="1"/>
  <c r="F166" i="1"/>
  <c r="E167" i="1"/>
  <c r="BA109" i="1"/>
  <c r="BA108" i="1" s="1"/>
  <c r="F108" i="1"/>
  <c r="CA109" i="1"/>
  <c r="CA108" i="1" s="1"/>
  <c r="E300" i="1"/>
  <c r="D300" i="1" s="1"/>
  <c r="E109" i="1" l="1"/>
  <c r="E108" i="1" s="1"/>
  <c r="BZ109" i="1"/>
  <c r="BZ108" i="1" s="1"/>
  <c r="E166" i="1"/>
  <c r="D167" i="1"/>
  <c r="D166" i="1" s="1"/>
  <c r="D109" i="1" l="1"/>
  <c r="D108" i="1" s="1"/>
  <c r="CX90" i="1"/>
  <c r="CW90" i="1" s="1"/>
  <c r="CK90" i="1"/>
  <c r="CE90" i="1"/>
  <c r="CB90" i="1"/>
  <c r="BN90" i="1"/>
  <c r="BK90" i="1"/>
  <c r="BF90" i="1"/>
  <c r="BB90" i="1"/>
  <c r="AD90" i="1"/>
  <c r="U90" i="1"/>
  <c r="P90" i="1"/>
  <c r="I90" i="1"/>
  <c r="CA90" i="1" l="1"/>
  <c r="BZ90" i="1" s="1"/>
  <c r="BA90" i="1"/>
  <c r="CE322" i="1"/>
  <c r="CE320" i="1"/>
  <c r="CE318" i="1"/>
  <c r="CE316" i="1"/>
  <c r="CE314" i="1"/>
  <c r="CE311" i="1"/>
  <c r="CE310" i="1" s="1"/>
  <c r="CE309" i="1"/>
  <c r="CE306" i="1"/>
  <c r="CE305" i="1"/>
  <c r="CE295" i="1"/>
  <c r="CE292" i="1"/>
  <c r="CE289" i="1"/>
  <c r="CE287" i="1"/>
  <c r="CE285" i="1"/>
  <c r="CE284" i="1"/>
  <c r="CE283" i="1"/>
  <c r="CE282" i="1"/>
  <c r="CE281" i="1"/>
  <c r="CE280" i="1"/>
  <c r="CE276" i="1"/>
  <c r="CE275" i="1"/>
  <c r="CE278" i="1"/>
  <c r="CE279" i="1"/>
  <c r="CE277" i="1"/>
  <c r="CE274" i="1"/>
  <c r="CE273" i="1"/>
  <c r="CE271" i="1"/>
  <c r="CE269" i="1"/>
  <c r="CE268" i="1"/>
  <c r="CE267" i="1"/>
  <c r="CE266" i="1"/>
  <c r="CE265" i="1"/>
  <c r="CE264" i="1"/>
  <c r="CE263" i="1"/>
  <c r="CE262" i="1"/>
  <c r="CE261" i="1"/>
  <c r="CE260" i="1"/>
  <c r="CE259" i="1"/>
  <c r="CE258" i="1"/>
  <c r="CE257" i="1"/>
  <c r="CE256" i="1"/>
  <c r="CE255" i="1"/>
  <c r="CE254" i="1"/>
  <c r="CE253" i="1"/>
  <c r="CE252" i="1"/>
  <c r="CE251" i="1"/>
  <c r="CE250" i="1"/>
  <c r="CE249" i="1"/>
  <c r="CE248" i="1"/>
  <c r="CE247" i="1"/>
  <c r="CE246" i="1"/>
  <c r="CE244" i="1"/>
  <c r="CE243" i="1"/>
  <c r="CE242" i="1"/>
  <c r="CE241" i="1"/>
  <c r="CE240" i="1"/>
  <c r="CE239" i="1"/>
  <c r="CE238" i="1"/>
  <c r="CE237" i="1"/>
  <c r="CE234" i="1"/>
  <c r="CE233" i="1"/>
  <c r="CE230" i="1"/>
  <c r="CE228" i="1" s="1"/>
  <c r="CE227" i="1"/>
  <c r="CE224" i="1"/>
  <c r="CE223" i="1"/>
  <c r="CE217" i="1"/>
  <c r="CE214" i="1"/>
  <c r="CE213" i="1"/>
  <c r="CE212" i="1"/>
  <c r="CE211" i="1"/>
  <c r="CE210" i="1"/>
  <c r="CE209" i="1"/>
  <c r="CE208" i="1"/>
  <c r="CE207" i="1"/>
  <c r="CE206" i="1"/>
  <c r="CE205" i="1"/>
  <c r="CE203" i="1"/>
  <c r="CE202" i="1"/>
  <c r="CE201" i="1"/>
  <c r="CE200" i="1"/>
  <c r="CE199" i="1"/>
  <c r="CE198" i="1"/>
  <c r="CE197" i="1"/>
  <c r="CE195" i="1"/>
  <c r="CE193" i="1"/>
  <c r="CE191" i="1"/>
  <c r="CE189" i="1"/>
  <c r="CE187" i="1"/>
  <c r="CE186" i="1"/>
  <c r="CE185" i="1"/>
  <c r="CE183" i="1"/>
  <c r="CE182" i="1"/>
  <c r="CE180" i="1"/>
  <c r="CE178" i="1"/>
  <c r="CE176" i="1"/>
  <c r="CE175" i="1"/>
  <c r="CE173" i="1"/>
  <c r="CE172" i="1"/>
  <c r="CE170" i="1"/>
  <c r="CE165" i="1"/>
  <c r="CE164" i="1"/>
  <c r="CE162" i="1"/>
  <c r="CE161" i="1"/>
  <c r="CE158" i="1"/>
  <c r="CE157" i="1"/>
  <c r="CE156" i="1"/>
  <c r="CE155" i="1"/>
  <c r="CE154" i="1"/>
  <c r="CE152" i="1"/>
  <c r="CE151" i="1"/>
  <c r="CE149" i="1"/>
  <c r="CE148" i="1"/>
  <c r="CE147" i="1"/>
  <c r="CE144" i="1"/>
  <c r="CE143" i="1"/>
  <c r="CE142" i="1"/>
  <c r="CE140" i="1"/>
  <c r="CE138" i="1"/>
  <c r="CE136" i="1"/>
  <c r="CE135" i="1"/>
  <c r="CE134" i="1"/>
  <c r="CE132" i="1"/>
  <c r="CE131" i="1"/>
  <c r="CE130" i="1"/>
  <c r="CE128" i="1"/>
  <c r="CE127" i="1"/>
  <c r="CE126" i="1"/>
  <c r="CE123" i="1"/>
  <c r="CE121" i="1"/>
  <c r="CE119" i="1"/>
  <c r="CE117" i="1"/>
  <c r="CE115" i="1"/>
  <c r="CE114" i="1"/>
  <c r="CE111" i="1"/>
  <c r="CE107" i="1"/>
  <c r="CE104" i="1"/>
  <c r="CE101" i="1"/>
  <c r="CE98" i="1"/>
  <c r="CE96" i="1"/>
  <c r="CE95" i="1"/>
  <c r="CE94" i="1"/>
  <c r="CE93" i="1"/>
  <c r="CE92" i="1"/>
  <c r="CE91" i="1"/>
  <c r="CE88" i="1"/>
  <c r="CE87" i="1"/>
  <c r="CE84" i="1"/>
  <c r="CE82" i="1"/>
  <c r="CE80" i="1"/>
  <c r="CE78" i="1"/>
  <c r="CE76" i="1"/>
  <c r="CE74" i="1"/>
  <c r="CE72" i="1"/>
  <c r="CE71" i="1"/>
  <c r="CE69" i="1"/>
  <c r="CE66" i="1"/>
  <c r="CE64" i="1"/>
  <c r="CE61" i="1"/>
  <c r="CE58" i="1"/>
  <c r="CE56" i="1"/>
  <c r="CE54" i="1"/>
  <c r="CE52" i="1"/>
  <c r="CE50" i="1"/>
  <c r="CE47" i="1"/>
  <c r="CE45" i="1"/>
  <c r="CE43" i="1"/>
  <c r="CE42" i="1"/>
  <c r="CE41" i="1"/>
  <c r="CE40" i="1"/>
  <c r="CE38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2" i="1"/>
  <c r="CE21" i="1"/>
  <c r="CE20" i="1"/>
  <c r="E90" i="1" l="1"/>
  <c r="D90" i="1" s="1"/>
  <c r="CE294" i="1"/>
  <c r="AY169" i="1"/>
  <c r="AE77" i="1"/>
  <c r="AF77" i="1"/>
  <c r="AG77" i="1"/>
  <c r="AH77" i="1"/>
  <c r="AI77" i="1"/>
  <c r="AJ77" i="1"/>
  <c r="AK77" i="1"/>
  <c r="AL77" i="1"/>
  <c r="AM77" i="1"/>
  <c r="AN77" i="1"/>
  <c r="AO77" i="1"/>
  <c r="AQ77" i="1"/>
  <c r="AR77" i="1"/>
  <c r="AS77" i="1"/>
  <c r="AV77" i="1"/>
  <c r="AW77" i="1"/>
  <c r="AX77" i="1"/>
  <c r="AZ77" i="1"/>
  <c r="V73" i="1"/>
  <c r="W73" i="1"/>
  <c r="X73" i="1"/>
  <c r="Y73" i="1"/>
  <c r="Z73" i="1"/>
  <c r="AA73" i="1"/>
  <c r="AB73" i="1"/>
  <c r="AC73" i="1"/>
  <c r="V75" i="1"/>
  <c r="W75" i="1"/>
  <c r="X75" i="1"/>
  <c r="Y75" i="1"/>
  <c r="Z75" i="1"/>
  <c r="AA75" i="1"/>
  <c r="AB75" i="1"/>
  <c r="AC75" i="1"/>
  <c r="J53" i="1"/>
  <c r="K53" i="1"/>
  <c r="L53" i="1"/>
  <c r="M53" i="1"/>
  <c r="N53" i="1"/>
  <c r="O53" i="1"/>
  <c r="AY168" i="1" l="1"/>
  <c r="CE18" i="1"/>
  <c r="CJ321" i="1"/>
  <c r="CJ319" i="1"/>
  <c r="CJ317" i="1"/>
  <c r="CJ315" i="1"/>
  <c r="CJ313" i="1"/>
  <c r="CJ308" i="1"/>
  <c r="CJ291" i="1"/>
  <c r="CJ288" i="1"/>
  <c r="CJ286" i="1"/>
  <c r="CJ270" i="1"/>
  <c r="CJ245" i="1"/>
  <c r="CJ231" i="1" s="1"/>
  <c r="CJ226" i="1"/>
  <c r="CJ222" i="1"/>
  <c r="CJ216" i="1"/>
  <c r="CJ204" i="1"/>
  <c r="CJ196" i="1"/>
  <c r="CJ194" i="1"/>
  <c r="CJ192" i="1"/>
  <c r="CJ190" i="1"/>
  <c r="CJ188" i="1"/>
  <c r="CJ184" i="1"/>
  <c r="CJ179" i="1"/>
  <c r="CJ177" i="1"/>
  <c r="CJ174" i="1"/>
  <c r="CJ171" i="1"/>
  <c r="CJ169" i="1"/>
  <c r="CJ163" i="1"/>
  <c r="CJ160" i="1"/>
  <c r="CJ153" i="1"/>
  <c r="CJ150" i="1"/>
  <c r="CJ146" i="1"/>
  <c r="CJ141" i="1"/>
  <c r="CJ139" i="1"/>
  <c r="CJ137" i="1"/>
  <c r="CJ133" i="1"/>
  <c r="CJ129" i="1"/>
  <c r="CJ125" i="1"/>
  <c r="CJ122" i="1"/>
  <c r="CJ118" i="1"/>
  <c r="CJ116" i="1"/>
  <c r="CJ113" i="1"/>
  <c r="CJ110" i="1"/>
  <c r="CJ106" i="1"/>
  <c r="CJ103" i="1"/>
  <c r="CJ100" i="1"/>
  <c r="CJ86" i="1"/>
  <c r="CJ83" i="1"/>
  <c r="CJ81" i="1"/>
  <c r="CJ79" i="1"/>
  <c r="CJ77" i="1"/>
  <c r="CJ75" i="1"/>
  <c r="CJ73" i="1"/>
  <c r="CJ70" i="1"/>
  <c r="CJ68" i="1"/>
  <c r="CJ65" i="1"/>
  <c r="CJ63" i="1"/>
  <c r="CJ60" i="1"/>
  <c r="CJ57" i="1"/>
  <c r="CJ55" i="1"/>
  <c r="CJ53" i="1"/>
  <c r="CJ51" i="1"/>
  <c r="CJ49" i="1"/>
  <c r="CJ46" i="1"/>
  <c r="CJ44" i="1"/>
  <c r="CJ39" i="1"/>
  <c r="CJ37" i="1"/>
  <c r="CJ23" i="1"/>
  <c r="CJ19" i="1"/>
  <c r="CJ17" i="1"/>
  <c r="CP59" i="1"/>
  <c r="CO59" i="1"/>
  <c r="AY59" i="1"/>
  <c r="AU59" i="1"/>
  <c r="AT59" i="1"/>
  <c r="CJ159" i="1" l="1"/>
  <c r="CJ105" i="1"/>
  <c r="CJ59" i="1"/>
  <c r="CJ221" i="1"/>
  <c r="CJ102" i="1"/>
  <c r="CJ225" i="1"/>
  <c r="CJ48" i="1"/>
  <c r="CJ62" i="1"/>
  <c r="CJ112" i="1"/>
  <c r="CJ124" i="1"/>
  <c r="CJ168" i="1"/>
  <c r="CJ181" i="1"/>
  <c r="CJ293" i="1"/>
  <c r="CJ67" i="1"/>
  <c r="CJ99" i="1"/>
  <c r="CJ215" i="1"/>
  <c r="CJ290" i="1"/>
  <c r="CJ16" i="1"/>
  <c r="CJ85" i="1"/>
  <c r="CJ145" i="1"/>
  <c r="CJ323" i="1" l="1"/>
  <c r="O165" i="1" l="1"/>
  <c r="AY68" i="1" l="1"/>
  <c r="CD282" i="1" l="1"/>
  <c r="CZ118" i="1"/>
  <c r="CY118" i="1"/>
  <c r="CS118" i="1"/>
  <c r="CP118" i="1"/>
  <c r="CO118" i="1"/>
  <c r="CN118" i="1"/>
  <c r="CM118" i="1"/>
  <c r="CL118" i="1"/>
  <c r="CI118" i="1"/>
  <c r="CH118" i="1"/>
  <c r="CG118" i="1"/>
  <c r="CF118" i="1"/>
  <c r="CD118" i="1"/>
  <c r="CC118" i="1"/>
  <c r="BY118" i="1"/>
  <c r="BX118" i="1"/>
  <c r="BW118" i="1"/>
  <c r="BV118" i="1"/>
  <c r="BU118" i="1"/>
  <c r="BT118" i="1"/>
  <c r="BS118" i="1"/>
  <c r="BR118" i="1"/>
  <c r="BQ118" i="1"/>
  <c r="BP118" i="1"/>
  <c r="BO118" i="1"/>
  <c r="BM118" i="1"/>
  <c r="BL118" i="1"/>
  <c r="BI118" i="1"/>
  <c r="BH118" i="1"/>
  <c r="BG118" i="1"/>
  <c r="BE118" i="1"/>
  <c r="BD118" i="1"/>
  <c r="BC118" i="1"/>
  <c r="AY118" i="1"/>
  <c r="AX118" i="1"/>
  <c r="AW118" i="1"/>
  <c r="AV118" i="1"/>
  <c r="AU118" i="1"/>
  <c r="AT118" i="1"/>
  <c r="AS118" i="1"/>
  <c r="AR118" i="1"/>
  <c r="AQ118" i="1"/>
  <c r="AO118" i="1"/>
  <c r="AN118" i="1"/>
  <c r="AM118" i="1"/>
  <c r="AL118" i="1"/>
  <c r="AK118" i="1"/>
  <c r="AJ118" i="1"/>
  <c r="AI118" i="1"/>
  <c r="AH118" i="1"/>
  <c r="AG118" i="1"/>
  <c r="AF118" i="1"/>
  <c r="AE118" i="1"/>
  <c r="AC118" i="1"/>
  <c r="AB118" i="1"/>
  <c r="AA118" i="1"/>
  <c r="Z118" i="1"/>
  <c r="Y118" i="1"/>
  <c r="X118" i="1"/>
  <c r="W118" i="1"/>
  <c r="V118" i="1"/>
  <c r="T118" i="1"/>
  <c r="S118" i="1"/>
  <c r="R118" i="1"/>
  <c r="Q118" i="1"/>
  <c r="O118" i="1"/>
  <c r="N118" i="1"/>
  <c r="M118" i="1"/>
  <c r="L118" i="1"/>
  <c r="K118" i="1"/>
  <c r="J118" i="1"/>
  <c r="H118" i="1"/>
  <c r="G118" i="1"/>
  <c r="AZ118" i="1" l="1"/>
  <c r="CX121" i="1" l="1"/>
  <c r="CK121" i="1"/>
  <c r="CB121" i="1"/>
  <c r="BN121" i="1"/>
  <c r="BK121" i="1"/>
  <c r="BF121" i="1"/>
  <c r="BB121" i="1"/>
  <c r="AD121" i="1"/>
  <c r="U121" i="1"/>
  <c r="P121" i="1"/>
  <c r="I121" i="1"/>
  <c r="CX119" i="1"/>
  <c r="CK119" i="1"/>
  <c r="CB119" i="1"/>
  <c r="BN119" i="1"/>
  <c r="BK119" i="1"/>
  <c r="BF119" i="1"/>
  <c r="BB119" i="1"/>
  <c r="AD119" i="1"/>
  <c r="U119" i="1"/>
  <c r="P119" i="1"/>
  <c r="I119" i="1"/>
  <c r="CZ106" i="1"/>
  <c r="CY106" i="1"/>
  <c r="CS106" i="1"/>
  <c r="CP106" i="1"/>
  <c r="CP105" i="1" s="1"/>
  <c r="CO106" i="1"/>
  <c r="CO105" i="1" s="1"/>
  <c r="CN106" i="1"/>
  <c r="CM106" i="1"/>
  <c r="CL106" i="1"/>
  <c r="CI106" i="1"/>
  <c r="CH106" i="1"/>
  <c r="CG106" i="1"/>
  <c r="CF106" i="1"/>
  <c r="CD106" i="1"/>
  <c r="CC106" i="1"/>
  <c r="BY106" i="1"/>
  <c r="BX106" i="1"/>
  <c r="BW106" i="1"/>
  <c r="BV106" i="1"/>
  <c r="BU106" i="1"/>
  <c r="BT106" i="1"/>
  <c r="BS106" i="1"/>
  <c r="BR106" i="1"/>
  <c r="BQ106" i="1"/>
  <c r="BP106" i="1"/>
  <c r="BO106" i="1"/>
  <c r="BM106" i="1"/>
  <c r="BL106" i="1"/>
  <c r="BI106" i="1"/>
  <c r="BH106" i="1"/>
  <c r="BG106" i="1"/>
  <c r="BE106" i="1"/>
  <c r="BD106" i="1"/>
  <c r="BC106" i="1"/>
  <c r="AY106" i="1"/>
  <c r="AY105" i="1" s="1"/>
  <c r="AX106" i="1"/>
  <c r="AW106" i="1"/>
  <c r="AV106" i="1"/>
  <c r="AU106" i="1"/>
  <c r="AU105" i="1" s="1"/>
  <c r="AT106" i="1"/>
  <c r="AT105" i="1" s="1"/>
  <c r="AS106" i="1"/>
  <c r="AR106" i="1"/>
  <c r="AQ106" i="1"/>
  <c r="AO106" i="1"/>
  <c r="AN106" i="1"/>
  <c r="AM106" i="1"/>
  <c r="AL106" i="1"/>
  <c r="AK106" i="1"/>
  <c r="AJ106" i="1"/>
  <c r="AI106" i="1"/>
  <c r="AH106" i="1"/>
  <c r="AG106" i="1"/>
  <c r="AF106" i="1"/>
  <c r="AE106" i="1"/>
  <c r="AC106" i="1"/>
  <c r="AB106" i="1"/>
  <c r="AA106" i="1"/>
  <c r="Z106" i="1"/>
  <c r="Y106" i="1"/>
  <c r="X106" i="1"/>
  <c r="W106" i="1"/>
  <c r="V106" i="1"/>
  <c r="T106" i="1"/>
  <c r="S106" i="1"/>
  <c r="R106" i="1"/>
  <c r="Q106" i="1"/>
  <c r="O106" i="1"/>
  <c r="N106" i="1"/>
  <c r="M106" i="1"/>
  <c r="L106" i="1"/>
  <c r="K106" i="1"/>
  <c r="J106" i="1"/>
  <c r="H106" i="1"/>
  <c r="G106" i="1"/>
  <c r="CX107" i="1"/>
  <c r="CK107" i="1"/>
  <c r="CB107" i="1"/>
  <c r="BN107" i="1"/>
  <c r="BK107" i="1"/>
  <c r="BF107" i="1"/>
  <c r="BB107" i="1"/>
  <c r="AD107" i="1"/>
  <c r="U107" i="1"/>
  <c r="P107" i="1"/>
  <c r="I107" i="1"/>
  <c r="AZ106" i="1" l="1"/>
  <c r="CW107" i="1"/>
  <c r="CW119" i="1"/>
  <c r="CW121" i="1"/>
  <c r="BA107" i="1"/>
  <c r="CA107" i="1"/>
  <c r="BA119" i="1"/>
  <c r="CA119" i="1"/>
  <c r="BA121" i="1"/>
  <c r="CA121" i="1"/>
  <c r="BZ107" i="1" l="1"/>
  <c r="E107" i="1"/>
  <c r="E119" i="1"/>
  <c r="E121" i="1"/>
  <c r="BZ119" i="1"/>
  <c r="BZ121" i="1"/>
  <c r="D119" i="1" l="1"/>
  <c r="D107" i="1"/>
  <c r="D121" i="1"/>
  <c r="CX305" i="1" l="1"/>
  <c r="CK305" i="1"/>
  <c r="CB305" i="1"/>
  <c r="BN305" i="1"/>
  <c r="BK305" i="1"/>
  <c r="BF305" i="1"/>
  <c r="BB305" i="1"/>
  <c r="AD305" i="1"/>
  <c r="U305" i="1"/>
  <c r="P305" i="1"/>
  <c r="I305" i="1"/>
  <c r="CX241" i="1"/>
  <c r="CK241" i="1"/>
  <c r="CB241" i="1"/>
  <c r="BN241" i="1"/>
  <c r="BK241" i="1"/>
  <c r="BF241" i="1"/>
  <c r="BB241" i="1"/>
  <c r="AD241" i="1"/>
  <c r="U241" i="1"/>
  <c r="P241" i="1"/>
  <c r="I241" i="1"/>
  <c r="CW241" i="1" l="1"/>
  <c r="CW305" i="1"/>
  <c r="BA305" i="1"/>
  <c r="CA241" i="1"/>
  <c r="BA241" i="1"/>
  <c r="CA305" i="1"/>
  <c r="BF309" i="1"/>
  <c r="BF106" i="1" l="1"/>
  <c r="BZ241" i="1"/>
  <c r="BZ305" i="1"/>
  <c r="E305" i="1"/>
  <c r="E241" i="1"/>
  <c r="D241" i="1" l="1"/>
  <c r="D305" i="1"/>
  <c r="CS313" i="1" l="1"/>
  <c r="CY313" i="1"/>
  <c r="CZ313" i="1"/>
  <c r="CO313" i="1"/>
  <c r="CP313" i="1"/>
  <c r="CX284" i="1" l="1"/>
  <c r="CK284" i="1"/>
  <c r="CB284" i="1"/>
  <c r="BN284" i="1"/>
  <c r="BK284" i="1"/>
  <c r="BF284" i="1"/>
  <c r="BB284" i="1"/>
  <c r="AD284" i="1"/>
  <c r="U284" i="1"/>
  <c r="P284" i="1"/>
  <c r="I284" i="1"/>
  <c r="CO171" i="1"/>
  <c r="CO122" i="1"/>
  <c r="CO116" i="1"/>
  <c r="CO113" i="1"/>
  <c r="CO44" i="1"/>
  <c r="CO16" i="1" s="1"/>
  <c r="CM321" i="1"/>
  <c r="CM319" i="1"/>
  <c r="CM317" i="1"/>
  <c r="CM315" i="1"/>
  <c r="CM313" i="1"/>
  <c r="CM308" i="1"/>
  <c r="CM291" i="1"/>
  <c r="CM288" i="1"/>
  <c r="CM286" i="1"/>
  <c r="CM270" i="1"/>
  <c r="CM245" i="1"/>
  <c r="CM231" i="1" s="1"/>
  <c r="CM226" i="1"/>
  <c r="CM222" i="1"/>
  <c r="CM216" i="1"/>
  <c r="CM204" i="1"/>
  <c r="CM196" i="1"/>
  <c r="CM194" i="1"/>
  <c r="CM192" i="1"/>
  <c r="CM190" i="1"/>
  <c r="CM188" i="1"/>
  <c r="CM184" i="1"/>
  <c r="CM179" i="1"/>
  <c r="CM177" i="1"/>
  <c r="CM174" i="1"/>
  <c r="CM171" i="1"/>
  <c r="CM169" i="1"/>
  <c r="CM163" i="1"/>
  <c r="CM160" i="1"/>
  <c r="CM153" i="1"/>
  <c r="CM150" i="1"/>
  <c r="CM146" i="1"/>
  <c r="CM141" i="1"/>
  <c r="CM139" i="1"/>
  <c r="CM137" i="1"/>
  <c r="CM133" i="1"/>
  <c r="CM129" i="1"/>
  <c r="CM125" i="1"/>
  <c r="CM122" i="1"/>
  <c r="CM116" i="1"/>
  <c r="CM113" i="1"/>
  <c r="CM110" i="1"/>
  <c r="CM105" i="1" s="1"/>
  <c r="CM103" i="1"/>
  <c r="CM100" i="1"/>
  <c r="CM86" i="1"/>
  <c r="CM83" i="1"/>
  <c r="CM81" i="1"/>
  <c r="CM79" i="1"/>
  <c r="CM77" i="1"/>
  <c r="CM75" i="1"/>
  <c r="CM73" i="1"/>
  <c r="CM70" i="1"/>
  <c r="CM68" i="1"/>
  <c r="CM65" i="1"/>
  <c r="CM63" i="1"/>
  <c r="CM60" i="1"/>
  <c r="CM57" i="1"/>
  <c r="CM55" i="1"/>
  <c r="CM53" i="1"/>
  <c r="CM51" i="1"/>
  <c r="CM49" i="1"/>
  <c r="CM46" i="1"/>
  <c r="CM44" i="1"/>
  <c r="CM39" i="1"/>
  <c r="CM37" i="1"/>
  <c r="CM23" i="1"/>
  <c r="CM19" i="1"/>
  <c r="CM17" i="1"/>
  <c r="CH321" i="1"/>
  <c r="CH319" i="1"/>
  <c r="CH317" i="1"/>
  <c r="CH315" i="1"/>
  <c r="CH313" i="1"/>
  <c r="CH308" i="1"/>
  <c r="CH291" i="1"/>
  <c r="CH288" i="1"/>
  <c r="CH286" i="1"/>
  <c r="CH270" i="1"/>
  <c r="CH245" i="1"/>
  <c r="CH231" i="1" s="1"/>
  <c r="CH226" i="1"/>
  <c r="CH222" i="1"/>
  <c r="CH216" i="1"/>
  <c r="CH204" i="1"/>
  <c r="CH196" i="1"/>
  <c r="CH194" i="1"/>
  <c r="CH192" i="1"/>
  <c r="CH190" i="1"/>
  <c r="CH188" i="1"/>
  <c r="CH184" i="1"/>
  <c r="CH179" i="1"/>
  <c r="CH177" i="1"/>
  <c r="CH174" i="1"/>
  <c r="CH171" i="1"/>
  <c r="CH169" i="1"/>
  <c r="CH163" i="1"/>
  <c r="CH160" i="1"/>
  <c r="CH153" i="1"/>
  <c r="CH150" i="1"/>
  <c r="CH146" i="1"/>
  <c r="CH141" i="1"/>
  <c r="CH139" i="1"/>
  <c r="CH137" i="1"/>
  <c r="CH133" i="1"/>
  <c r="CH129" i="1"/>
  <c r="CH125" i="1"/>
  <c r="CH122" i="1"/>
  <c r="CH116" i="1"/>
  <c r="CH113" i="1"/>
  <c r="CH110" i="1"/>
  <c r="CH105" i="1" s="1"/>
  <c r="CH103" i="1"/>
  <c r="CH100" i="1"/>
  <c r="CH86" i="1"/>
  <c r="CH83" i="1"/>
  <c r="CH81" i="1"/>
  <c r="CH79" i="1"/>
  <c r="CH77" i="1"/>
  <c r="CH75" i="1"/>
  <c r="CH73" i="1"/>
  <c r="CH70" i="1"/>
  <c r="CH68" i="1"/>
  <c r="CH65" i="1"/>
  <c r="CH63" i="1"/>
  <c r="CH60" i="1"/>
  <c r="CH57" i="1"/>
  <c r="CH55" i="1"/>
  <c r="CH53" i="1"/>
  <c r="CH51" i="1"/>
  <c r="CH49" i="1"/>
  <c r="CH46" i="1"/>
  <c r="CH44" i="1"/>
  <c r="CH39" i="1"/>
  <c r="CH37" i="1"/>
  <c r="CH23" i="1"/>
  <c r="CH19" i="1"/>
  <c r="CH17" i="1"/>
  <c r="CG321" i="1"/>
  <c r="CG319" i="1"/>
  <c r="CG317" i="1"/>
  <c r="CG315" i="1"/>
  <c r="CG313" i="1"/>
  <c r="CG308" i="1"/>
  <c r="CG291" i="1"/>
  <c r="CG288" i="1"/>
  <c r="CG286" i="1"/>
  <c r="CG270" i="1"/>
  <c r="CG245" i="1"/>
  <c r="CG231" i="1" s="1"/>
  <c r="CG226" i="1"/>
  <c r="CG222" i="1"/>
  <c r="CG216" i="1"/>
  <c r="CG204" i="1"/>
  <c r="CG196" i="1"/>
  <c r="CG194" i="1"/>
  <c r="CG192" i="1"/>
  <c r="CG190" i="1"/>
  <c r="CG188" i="1"/>
  <c r="CG184" i="1"/>
  <c r="CG179" i="1"/>
  <c r="CG177" i="1"/>
  <c r="CG174" i="1"/>
  <c r="CG171" i="1"/>
  <c r="CG169" i="1"/>
  <c r="CG163" i="1"/>
  <c r="CG160" i="1"/>
  <c r="CG153" i="1"/>
  <c r="CG150" i="1"/>
  <c r="CG146" i="1"/>
  <c r="CG141" i="1"/>
  <c r="CG139" i="1"/>
  <c r="CG137" i="1"/>
  <c r="CG133" i="1"/>
  <c r="CG129" i="1"/>
  <c r="CG125" i="1"/>
  <c r="CG122" i="1"/>
  <c r="CG116" i="1"/>
  <c r="CG113" i="1"/>
  <c r="CG110" i="1"/>
  <c r="CG105" i="1" s="1"/>
  <c r="CG103" i="1"/>
  <c r="CG100" i="1"/>
  <c r="CG86" i="1"/>
  <c r="CG83" i="1"/>
  <c r="CG81" i="1"/>
  <c r="CG79" i="1"/>
  <c r="CG77" i="1"/>
  <c r="CG75" i="1"/>
  <c r="CG73" i="1"/>
  <c r="CG70" i="1"/>
  <c r="CG68" i="1"/>
  <c r="CG65" i="1"/>
  <c r="CG63" i="1"/>
  <c r="CG60" i="1"/>
  <c r="CG57" i="1"/>
  <c r="CG55" i="1"/>
  <c r="CG53" i="1"/>
  <c r="CG51" i="1"/>
  <c r="CG49" i="1"/>
  <c r="CG46" i="1"/>
  <c r="CG44" i="1"/>
  <c r="CG39" i="1"/>
  <c r="CG37" i="1"/>
  <c r="CG23" i="1"/>
  <c r="CG19" i="1"/>
  <c r="CG17" i="1"/>
  <c r="CX271" i="1"/>
  <c r="CK271" i="1"/>
  <c r="CB271" i="1"/>
  <c r="BN271" i="1"/>
  <c r="BK271" i="1"/>
  <c r="BF271" i="1"/>
  <c r="BB271" i="1"/>
  <c r="AD271" i="1"/>
  <c r="U271" i="1"/>
  <c r="P271" i="1"/>
  <c r="I271" i="1"/>
  <c r="CX234" i="1"/>
  <c r="CK234" i="1"/>
  <c r="CB234" i="1"/>
  <c r="BN234" i="1"/>
  <c r="BK234" i="1"/>
  <c r="BF234" i="1"/>
  <c r="BB234" i="1"/>
  <c r="AD234" i="1"/>
  <c r="U234" i="1"/>
  <c r="P234" i="1"/>
  <c r="O234" i="1"/>
  <c r="CX238" i="1"/>
  <c r="CK238" i="1"/>
  <c r="CB238" i="1"/>
  <c r="BN238" i="1"/>
  <c r="BK238" i="1"/>
  <c r="BF238" i="1"/>
  <c r="BB238" i="1"/>
  <c r="AD238" i="1"/>
  <c r="U238" i="1"/>
  <c r="P238" i="1"/>
  <c r="I238" i="1"/>
  <c r="AD203" i="1"/>
  <c r="AD202" i="1"/>
  <c r="AD201" i="1"/>
  <c r="AD200" i="1"/>
  <c r="AD199" i="1"/>
  <c r="AD198" i="1"/>
  <c r="AD197" i="1"/>
  <c r="AD195" i="1"/>
  <c r="BN54" i="1"/>
  <c r="CM159" i="1" l="1"/>
  <c r="CG159" i="1"/>
  <c r="CH159" i="1"/>
  <c r="CG59" i="1"/>
  <c r="CM59" i="1"/>
  <c r="CH59" i="1"/>
  <c r="CW234" i="1"/>
  <c r="CW271" i="1"/>
  <c r="CG99" i="1"/>
  <c r="CH99" i="1"/>
  <c r="BN53" i="1"/>
  <c r="CW238" i="1"/>
  <c r="CG102" i="1"/>
  <c r="CG215" i="1"/>
  <c r="CG290" i="1"/>
  <c r="CH102" i="1"/>
  <c r="CH215" i="1"/>
  <c r="CH290" i="1"/>
  <c r="CM102" i="1"/>
  <c r="CM215" i="1"/>
  <c r="CM290" i="1"/>
  <c r="CO293" i="1"/>
  <c r="CW284" i="1"/>
  <c r="I234" i="1"/>
  <c r="CG221" i="1"/>
  <c r="CH221" i="1"/>
  <c r="CM99" i="1"/>
  <c r="CM221" i="1"/>
  <c r="CO168" i="1"/>
  <c r="CM168" i="1"/>
  <c r="BA271" i="1"/>
  <c r="CA284" i="1"/>
  <c r="CH124" i="1"/>
  <c r="CH181" i="1"/>
  <c r="BA284" i="1"/>
  <c r="BA238" i="1"/>
  <c r="CG124" i="1"/>
  <c r="CG181" i="1"/>
  <c r="CH168" i="1"/>
  <c r="CH293" i="1"/>
  <c r="CM16" i="1"/>
  <c r="CM62" i="1"/>
  <c r="CM67" i="1"/>
  <c r="CM124" i="1"/>
  <c r="CM145" i="1"/>
  <c r="CM181" i="1"/>
  <c r="CM293" i="1"/>
  <c r="CG48" i="1"/>
  <c r="CG168" i="1"/>
  <c r="CG293" i="1"/>
  <c r="CH16" i="1"/>
  <c r="CH62" i="1"/>
  <c r="CH67" i="1"/>
  <c r="CH85" i="1"/>
  <c r="CH112" i="1"/>
  <c r="CM48" i="1"/>
  <c r="CM112" i="1"/>
  <c r="CG67" i="1"/>
  <c r="CG112" i="1"/>
  <c r="CH48" i="1"/>
  <c r="CM85" i="1"/>
  <c r="CG16" i="1"/>
  <c r="CG62" i="1"/>
  <c r="CG145" i="1"/>
  <c r="CH145" i="1"/>
  <c r="CA271" i="1"/>
  <c r="CG85" i="1"/>
  <c r="CA234" i="1"/>
  <c r="CA238" i="1"/>
  <c r="AY81" i="1"/>
  <c r="AY245" i="1"/>
  <c r="AY231" i="1" s="1"/>
  <c r="AX46" i="1"/>
  <c r="AY46" i="1"/>
  <c r="AZ46" i="1"/>
  <c r="AY23" i="1"/>
  <c r="AD178" i="1"/>
  <c r="CM225" i="1" l="1"/>
  <c r="CO323" i="1"/>
  <c r="CH225" i="1"/>
  <c r="CG225" i="1"/>
  <c r="E238" i="1"/>
  <c r="BZ238" i="1"/>
  <c r="BZ234" i="1"/>
  <c r="BZ271" i="1"/>
  <c r="AY67" i="1"/>
  <c r="E271" i="1"/>
  <c r="BZ284" i="1"/>
  <c r="E284" i="1"/>
  <c r="AY16" i="1"/>
  <c r="CM323" i="1" l="1"/>
  <c r="CH323" i="1"/>
  <c r="CG323" i="1"/>
  <c r="E234" i="1"/>
  <c r="AY225" i="1"/>
  <c r="D238" i="1"/>
  <c r="D271" i="1"/>
  <c r="D284" i="1"/>
  <c r="CX283" i="1"/>
  <c r="CK283" i="1"/>
  <c r="CB283" i="1"/>
  <c r="BN283" i="1"/>
  <c r="BK283" i="1"/>
  <c r="BF283" i="1"/>
  <c r="BB283" i="1"/>
  <c r="AD283" i="1"/>
  <c r="U283" i="1"/>
  <c r="P283" i="1"/>
  <c r="I283" i="1"/>
  <c r="CX282" i="1"/>
  <c r="CK282" i="1"/>
  <c r="CB282" i="1"/>
  <c r="BN282" i="1"/>
  <c r="BK282" i="1"/>
  <c r="BF282" i="1"/>
  <c r="BB282" i="1"/>
  <c r="AD282" i="1"/>
  <c r="U282" i="1"/>
  <c r="P282" i="1"/>
  <c r="I282" i="1"/>
  <c r="CX275" i="1"/>
  <c r="CK275" i="1"/>
  <c r="CB275" i="1"/>
  <c r="BN275" i="1"/>
  <c r="BK275" i="1"/>
  <c r="BF275" i="1"/>
  <c r="BB275" i="1"/>
  <c r="AD275" i="1"/>
  <c r="U275" i="1"/>
  <c r="P275" i="1"/>
  <c r="I275" i="1"/>
  <c r="CX244" i="1"/>
  <c r="CK244" i="1"/>
  <c r="CB244" i="1"/>
  <c r="BN244" i="1"/>
  <c r="BK244" i="1"/>
  <c r="BF244" i="1"/>
  <c r="BB244" i="1"/>
  <c r="AD244" i="1"/>
  <c r="U244" i="1"/>
  <c r="P244" i="1"/>
  <c r="I244" i="1"/>
  <c r="CX239" i="1"/>
  <c r="CK239" i="1"/>
  <c r="CB239" i="1"/>
  <c r="BN239" i="1"/>
  <c r="BK239" i="1"/>
  <c r="BF239" i="1"/>
  <c r="BB239" i="1"/>
  <c r="AD239" i="1"/>
  <c r="U239" i="1"/>
  <c r="P239" i="1"/>
  <c r="I239" i="1"/>
  <c r="CX237" i="1"/>
  <c r="CK237" i="1"/>
  <c r="CB237" i="1"/>
  <c r="BN237" i="1"/>
  <c r="BK237" i="1"/>
  <c r="BF237" i="1"/>
  <c r="BB237" i="1"/>
  <c r="AD237" i="1"/>
  <c r="U237" i="1"/>
  <c r="P237" i="1"/>
  <c r="I237" i="1"/>
  <c r="CX98" i="1"/>
  <c r="CK98" i="1"/>
  <c r="CB98" i="1"/>
  <c r="BN98" i="1"/>
  <c r="BK98" i="1"/>
  <c r="BF98" i="1"/>
  <c r="BB98" i="1"/>
  <c r="AD98" i="1"/>
  <c r="U98" i="1"/>
  <c r="P98" i="1"/>
  <c r="I98" i="1"/>
  <c r="CX94" i="1"/>
  <c r="CK94" i="1"/>
  <c r="CB94" i="1"/>
  <c r="BN94" i="1"/>
  <c r="BK94" i="1"/>
  <c r="BF94" i="1"/>
  <c r="BB94" i="1"/>
  <c r="AD94" i="1"/>
  <c r="U94" i="1"/>
  <c r="P94" i="1"/>
  <c r="I94" i="1"/>
  <c r="AY323" i="1" l="1"/>
  <c r="D234" i="1"/>
  <c r="BA244" i="1"/>
  <c r="CA98" i="1"/>
  <c r="CW98" i="1"/>
  <c r="BA94" i="1"/>
  <c r="CA275" i="1"/>
  <c r="CW275" i="1"/>
  <c r="BA283" i="1"/>
  <c r="BA237" i="1"/>
  <c r="CA237" i="1"/>
  <c r="BA239" i="1"/>
  <c r="CA239" i="1"/>
  <c r="BA282" i="1"/>
  <c r="CA282" i="1"/>
  <c r="CA94" i="1"/>
  <c r="CW94" i="1"/>
  <c r="BA98" i="1"/>
  <c r="CW237" i="1"/>
  <c r="CW239" i="1"/>
  <c r="CA244" i="1"/>
  <c r="CW244" i="1"/>
  <c r="BA275" i="1"/>
  <c r="CW282" i="1"/>
  <c r="CA283" i="1"/>
  <c r="CW283" i="1"/>
  <c r="BZ275" i="1" l="1"/>
  <c r="BZ98" i="1"/>
  <c r="E239" i="1"/>
  <c r="E275" i="1"/>
  <c r="E237" i="1"/>
  <c r="BZ283" i="1"/>
  <c r="E98" i="1"/>
  <c r="BZ94" i="1"/>
  <c r="E94" i="1"/>
  <c r="E283" i="1"/>
  <c r="BZ282" i="1"/>
  <c r="E244" i="1"/>
  <c r="BZ239" i="1"/>
  <c r="BZ237" i="1"/>
  <c r="E282" i="1"/>
  <c r="BZ244" i="1"/>
  <c r="D282" i="1" l="1"/>
  <c r="D244" i="1"/>
  <c r="D283" i="1"/>
  <c r="D94" i="1"/>
  <c r="D98" i="1"/>
  <c r="D237" i="1"/>
  <c r="D275" i="1"/>
  <c r="D239" i="1"/>
  <c r="CB45" i="1" l="1"/>
  <c r="AZ44" i="1"/>
  <c r="AL44" i="1"/>
  <c r="AJ44" i="1"/>
  <c r="AH44" i="1"/>
  <c r="AG44" i="1"/>
  <c r="AA44" i="1"/>
  <c r="Z44" i="1"/>
  <c r="Y44" i="1"/>
  <c r="X44" i="1"/>
  <c r="W44" i="1"/>
  <c r="V44" i="1"/>
  <c r="T44" i="1"/>
  <c r="O44" i="1"/>
  <c r="H44" i="1"/>
  <c r="G44" i="1"/>
  <c r="CZ44" i="1"/>
  <c r="CY44" i="1"/>
  <c r="CS44" i="1"/>
  <c r="CP44" i="1"/>
  <c r="CP16" i="1" s="1"/>
  <c r="CN44" i="1"/>
  <c r="CL44" i="1"/>
  <c r="CI44" i="1"/>
  <c r="CF44" i="1"/>
  <c r="CC44" i="1"/>
  <c r="BY44" i="1"/>
  <c r="BX44" i="1"/>
  <c r="BW44" i="1"/>
  <c r="BV44" i="1"/>
  <c r="BU44" i="1"/>
  <c r="BT44" i="1"/>
  <c r="BS44" i="1"/>
  <c r="BR44" i="1"/>
  <c r="BQ44" i="1"/>
  <c r="BP44" i="1"/>
  <c r="BO44" i="1"/>
  <c r="BM44" i="1"/>
  <c r="BL44" i="1"/>
  <c r="BI44" i="1"/>
  <c r="BH44" i="1"/>
  <c r="BG44" i="1"/>
  <c r="BE44" i="1"/>
  <c r="BD44" i="1"/>
  <c r="BC44" i="1"/>
  <c r="AX44" i="1"/>
  <c r="AW44" i="1"/>
  <c r="AV44" i="1"/>
  <c r="AU44" i="1"/>
  <c r="AT44" i="1"/>
  <c r="AS44" i="1"/>
  <c r="AR44" i="1"/>
  <c r="AQ44" i="1"/>
  <c r="AO44" i="1"/>
  <c r="AN44" i="1"/>
  <c r="AM44" i="1"/>
  <c r="AK44" i="1"/>
  <c r="AI44" i="1"/>
  <c r="AF44" i="1"/>
  <c r="AE44" i="1"/>
  <c r="AC44" i="1"/>
  <c r="AB44" i="1"/>
  <c r="S44" i="1"/>
  <c r="R44" i="1"/>
  <c r="Q44" i="1"/>
  <c r="N44" i="1"/>
  <c r="M44" i="1"/>
  <c r="L44" i="1"/>
  <c r="K44" i="1"/>
  <c r="J44" i="1"/>
  <c r="CX45" i="1"/>
  <c r="CK45" i="1"/>
  <c r="BN45" i="1"/>
  <c r="BK45" i="1"/>
  <c r="BF45" i="1"/>
  <c r="BB45" i="1"/>
  <c r="P45" i="1"/>
  <c r="BA45" i="1" l="1"/>
  <c r="AU16" i="1"/>
  <c r="AT16" i="1"/>
  <c r="BN64" i="1"/>
  <c r="CW45" i="1"/>
  <c r="CD44" i="1"/>
  <c r="I45" i="1"/>
  <c r="U45" i="1"/>
  <c r="AD45" i="1"/>
  <c r="CA45" i="1"/>
  <c r="BZ45" i="1" l="1"/>
  <c r="E45" i="1" l="1"/>
  <c r="D45" i="1" l="1"/>
  <c r="CP293" i="1" l="1"/>
  <c r="CX295" i="1"/>
  <c r="CK295" i="1"/>
  <c r="CB295" i="1"/>
  <c r="BN295" i="1"/>
  <c r="BK295" i="1"/>
  <c r="BF295" i="1"/>
  <c r="BB295" i="1"/>
  <c r="AD295" i="1"/>
  <c r="U295" i="1"/>
  <c r="P295" i="1"/>
  <c r="I295" i="1"/>
  <c r="CW295" i="1" l="1"/>
  <c r="CA295" i="1"/>
  <c r="BA295" i="1"/>
  <c r="BZ295" i="1" l="1"/>
  <c r="E295" i="1"/>
  <c r="D295" i="1" l="1"/>
  <c r="BK115" i="1"/>
  <c r="BM321" i="1" l="1"/>
  <c r="BM319" i="1"/>
  <c r="BM317" i="1"/>
  <c r="BM315" i="1"/>
  <c r="BM313" i="1"/>
  <c r="BM308" i="1"/>
  <c r="BM291" i="1"/>
  <c r="BM288" i="1"/>
  <c r="BM286" i="1"/>
  <c r="BM270" i="1"/>
  <c r="BM245" i="1"/>
  <c r="BM231" i="1" s="1"/>
  <c r="BM226" i="1"/>
  <c r="BM222" i="1"/>
  <c r="BM216" i="1"/>
  <c r="BM204" i="1"/>
  <c r="BM196" i="1"/>
  <c r="BM194" i="1"/>
  <c r="BM192" i="1"/>
  <c r="BM190" i="1"/>
  <c r="BM188" i="1"/>
  <c r="BM184" i="1"/>
  <c r="BM179" i="1"/>
  <c r="BM177" i="1"/>
  <c r="BM174" i="1"/>
  <c r="BM171" i="1"/>
  <c r="BM169" i="1"/>
  <c r="BM163" i="1"/>
  <c r="BM160" i="1"/>
  <c r="BM153" i="1"/>
  <c r="BM150" i="1"/>
  <c r="BM146" i="1"/>
  <c r="BM141" i="1"/>
  <c r="BM139" i="1"/>
  <c r="BM137" i="1"/>
  <c r="BM133" i="1"/>
  <c r="BM129" i="1"/>
  <c r="BM125" i="1"/>
  <c r="BM122" i="1"/>
  <c r="BM116" i="1"/>
  <c r="BM113" i="1"/>
  <c r="BM110" i="1"/>
  <c r="BM105" i="1" s="1"/>
  <c r="BM103" i="1"/>
  <c r="BM100" i="1"/>
  <c r="BM86" i="1"/>
  <c r="BM83" i="1"/>
  <c r="BM81" i="1"/>
  <c r="BM79" i="1"/>
  <c r="BM77" i="1"/>
  <c r="BM75" i="1"/>
  <c r="BM73" i="1"/>
  <c r="BM70" i="1"/>
  <c r="BM68" i="1"/>
  <c r="BM65" i="1"/>
  <c r="BM63" i="1"/>
  <c r="BM60" i="1"/>
  <c r="BM57" i="1"/>
  <c r="BM55" i="1"/>
  <c r="BM53" i="1"/>
  <c r="BM51" i="1"/>
  <c r="BM49" i="1"/>
  <c r="BM46" i="1"/>
  <c r="BM39" i="1"/>
  <c r="BM37" i="1"/>
  <c r="BM23" i="1"/>
  <c r="BM19" i="1"/>
  <c r="BM17" i="1"/>
  <c r="CZ113" i="1"/>
  <c r="CY113" i="1"/>
  <c r="CS113" i="1"/>
  <c r="CP113" i="1"/>
  <c r="CN113" i="1"/>
  <c r="CL113" i="1"/>
  <c r="CI113" i="1"/>
  <c r="CF113" i="1"/>
  <c r="CD113" i="1"/>
  <c r="CC113" i="1"/>
  <c r="BY113" i="1"/>
  <c r="BX113" i="1"/>
  <c r="BW113" i="1"/>
  <c r="BV113" i="1"/>
  <c r="BU113" i="1"/>
  <c r="BT113" i="1"/>
  <c r="BS113" i="1"/>
  <c r="BR113" i="1"/>
  <c r="BQ113" i="1"/>
  <c r="BP113" i="1"/>
  <c r="BO113" i="1"/>
  <c r="BL113" i="1"/>
  <c r="BI113" i="1"/>
  <c r="BH113" i="1"/>
  <c r="BG113" i="1"/>
  <c r="BE113" i="1"/>
  <c r="BC113" i="1"/>
  <c r="AZ113" i="1"/>
  <c r="AX113" i="1"/>
  <c r="AW113" i="1"/>
  <c r="AV113" i="1"/>
  <c r="AU113" i="1"/>
  <c r="AT113" i="1"/>
  <c r="AS113" i="1"/>
  <c r="AR113" i="1"/>
  <c r="AQ113" i="1"/>
  <c r="AO113" i="1"/>
  <c r="AN113" i="1"/>
  <c r="AM113" i="1"/>
  <c r="AL113" i="1"/>
  <c r="AK113" i="1"/>
  <c r="AJ113" i="1"/>
  <c r="AI113" i="1"/>
  <c r="AH113" i="1"/>
  <c r="AG113" i="1"/>
  <c r="AF113" i="1"/>
  <c r="AE113" i="1"/>
  <c r="AC113" i="1"/>
  <c r="AB113" i="1"/>
  <c r="AA113" i="1"/>
  <c r="Z113" i="1"/>
  <c r="Y113" i="1"/>
  <c r="X113" i="1"/>
  <c r="W113" i="1"/>
  <c r="V113" i="1"/>
  <c r="T113" i="1"/>
  <c r="S113" i="1"/>
  <c r="R113" i="1"/>
  <c r="Q113" i="1"/>
  <c r="O113" i="1"/>
  <c r="N113" i="1"/>
  <c r="M113" i="1"/>
  <c r="L113" i="1"/>
  <c r="K113" i="1"/>
  <c r="J113" i="1"/>
  <c r="H113" i="1"/>
  <c r="G113" i="1"/>
  <c r="CX115" i="1"/>
  <c r="CK115" i="1"/>
  <c r="CB115" i="1"/>
  <c r="BN115" i="1"/>
  <c r="BF115" i="1"/>
  <c r="BB115" i="1"/>
  <c r="AD115" i="1"/>
  <c r="U115" i="1"/>
  <c r="P115" i="1"/>
  <c r="I115" i="1"/>
  <c r="BM159" i="1" l="1"/>
  <c r="BM59" i="1"/>
  <c r="BM290" i="1"/>
  <c r="BM124" i="1"/>
  <c r="BM168" i="1"/>
  <c r="BM221" i="1"/>
  <c r="BA115" i="1"/>
  <c r="CA115" i="1"/>
  <c r="CW115" i="1"/>
  <c r="BM181" i="1"/>
  <c r="BM293" i="1"/>
  <c r="BM215" i="1"/>
  <c r="BM99" i="1"/>
  <c r="BM112" i="1"/>
  <c r="BD113" i="1"/>
  <c r="BM102" i="1"/>
  <c r="BM48" i="1"/>
  <c r="BM16" i="1"/>
  <c r="BM62" i="1"/>
  <c r="BM85" i="1"/>
  <c r="BM145" i="1"/>
  <c r="BM67" i="1"/>
  <c r="BZ115" i="1" l="1"/>
  <c r="E115" i="1"/>
  <c r="BM225" i="1"/>
  <c r="BM323" i="1" l="1"/>
  <c r="D115" i="1"/>
  <c r="BN36" i="1" l="1"/>
  <c r="G55" i="1"/>
  <c r="G46" i="1"/>
  <c r="U36" i="1"/>
  <c r="H19" i="1"/>
  <c r="CX268" i="1"/>
  <c r="CK268" i="1"/>
  <c r="BN268" i="1"/>
  <c r="BK268" i="1"/>
  <c r="BF268" i="1"/>
  <c r="BB268" i="1"/>
  <c r="CX213" i="1"/>
  <c r="CK213" i="1"/>
  <c r="CB213" i="1"/>
  <c r="BN213" i="1"/>
  <c r="BK213" i="1"/>
  <c r="BF213" i="1"/>
  <c r="BB213" i="1"/>
  <c r="AD213" i="1"/>
  <c r="U213" i="1"/>
  <c r="P213" i="1"/>
  <c r="I213" i="1"/>
  <c r="CX161" i="1"/>
  <c r="CK161" i="1"/>
  <c r="BN161" i="1"/>
  <c r="BK161" i="1"/>
  <c r="BF161" i="1"/>
  <c r="BB161" i="1"/>
  <c r="CZ122" i="1"/>
  <c r="CY122" i="1"/>
  <c r="CS122" i="1"/>
  <c r="CP122" i="1"/>
  <c r="CN122" i="1"/>
  <c r="CL122" i="1"/>
  <c r="CI122" i="1"/>
  <c r="CF122" i="1"/>
  <c r="CD122" i="1"/>
  <c r="CC122" i="1"/>
  <c r="BY122" i="1"/>
  <c r="BX122" i="1"/>
  <c r="BW122" i="1"/>
  <c r="BV122" i="1"/>
  <c r="BU122" i="1"/>
  <c r="BT122" i="1"/>
  <c r="BS122" i="1"/>
  <c r="BR122" i="1"/>
  <c r="BQ122" i="1"/>
  <c r="BP122" i="1"/>
  <c r="BO122" i="1"/>
  <c r="BL122" i="1"/>
  <c r="BI122" i="1"/>
  <c r="BH122" i="1"/>
  <c r="BG122" i="1"/>
  <c r="BE122" i="1"/>
  <c r="BD122" i="1"/>
  <c r="BC122" i="1"/>
  <c r="AX122" i="1"/>
  <c r="AW122" i="1"/>
  <c r="AV122" i="1"/>
  <c r="AU122" i="1"/>
  <c r="AT122" i="1"/>
  <c r="AS122" i="1"/>
  <c r="AR122" i="1"/>
  <c r="AQ122" i="1"/>
  <c r="AO122" i="1"/>
  <c r="AN122" i="1"/>
  <c r="AM122" i="1"/>
  <c r="AL122" i="1"/>
  <c r="AK122" i="1"/>
  <c r="AJ122" i="1"/>
  <c r="AI122" i="1"/>
  <c r="AH122" i="1"/>
  <c r="AG122" i="1"/>
  <c r="AF122" i="1"/>
  <c r="AE122" i="1"/>
  <c r="AC122" i="1"/>
  <c r="AB122" i="1"/>
  <c r="AA122" i="1"/>
  <c r="Z122" i="1"/>
  <c r="Y122" i="1"/>
  <c r="X122" i="1"/>
  <c r="W122" i="1"/>
  <c r="V122" i="1"/>
  <c r="T122" i="1"/>
  <c r="S122" i="1"/>
  <c r="R122" i="1"/>
  <c r="Q122" i="1"/>
  <c r="O122" i="1"/>
  <c r="N122" i="1"/>
  <c r="M122" i="1"/>
  <c r="L122" i="1"/>
  <c r="K122" i="1"/>
  <c r="J122" i="1"/>
  <c r="H122" i="1"/>
  <c r="G122" i="1"/>
  <c r="CZ116" i="1"/>
  <c r="CY116" i="1"/>
  <c r="CS116" i="1"/>
  <c r="CP116" i="1"/>
  <c r="CN116" i="1"/>
  <c r="CL116" i="1"/>
  <c r="CI116" i="1"/>
  <c r="CF116" i="1"/>
  <c r="CD116" i="1"/>
  <c r="CC116" i="1"/>
  <c r="BY116" i="1"/>
  <c r="BX116" i="1"/>
  <c r="BW116" i="1"/>
  <c r="BV116" i="1"/>
  <c r="BU116" i="1"/>
  <c r="BT116" i="1"/>
  <c r="BS116" i="1"/>
  <c r="BR116" i="1"/>
  <c r="BQ116" i="1"/>
  <c r="BP116" i="1"/>
  <c r="BO116" i="1"/>
  <c r="BL116" i="1"/>
  <c r="BI116" i="1"/>
  <c r="BH116" i="1"/>
  <c r="BG116" i="1"/>
  <c r="BD116" i="1"/>
  <c r="BC116" i="1"/>
  <c r="AZ116" i="1"/>
  <c r="AX116" i="1"/>
  <c r="AW116" i="1"/>
  <c r="AV116" i="1"/>
  <c r="AU116" i="1"/>
  <c r="AT116" i="1"/>
  <c r="AS116" i="1"/>
  <c r="AR116" i="1"/>
  <c r="AQ116" i="1"/>
  <c r="AO116" i="1"/>
  <c r="AN116" i="1"/>
  <c r="AM116" i="1"/>
  <c r="AL116" i="1"/>
  <c r="AK116" i="1"/>
  <c r="AJ116" i="1"/>
  <c r="AI116" i="1"/>
  <c r="AH116" i="1"/>
  <c r="AG116" i="1"/>
  <c r="AF116" i="1"/>
  <c r="AE116" i="1"/>
  <c r="AC116" i="1"/>
  <c r="AB116" i="1"/>
  <c r="AA116" i="1"/>
  <c r="Z116" i="1"/>
  <c r="Y116" i="1"/>
  <c r="X116" i="1"/>
  <c r="W116" i="1"/>
  <c r="V116" i="1"/>
  <c r="T116" i="1"/>
  <c r="S116" i="1"/>
  <c r="R116" i="1"/>
  <c r="Q116" i="1"/>
  <c r="O116" i="1"/>
  <c r="N116" i="1"/>
  <c r="M116" i="1"/>
  <c r="L116" i="1"/>
  <c r="K116" i="1"/>
  <c r="J116" i="1"/>
  <c r="H116" i="1"/>
  <c r="G116" i="1"/>
  <c r="CX117" i="1"/>
  <c r="CK117" i="1"/>
  <c r="CB117" i="1"/>
  <c r="BN117" i="1"/>
  <c r="BK117" i="1"/>
  <c r="BF117" i="1"/>
  <c r="AD117" i="1"/>
  <c r="U117" i="1"/>
  <c r="P117" i="1"/>
  <c r="I117" i="1"/>
  <c r="CX322" i="1"/>
  <c r="CK322" i="1"/>
  <c r="CB322" i="1"/>
  <c r="BN322" i="1"/>
  <c r="BK322" i="1"/>
  <c r="BB322" i="1"/>
  <c r="AD322" i="1"/>
  <c r="U322" i="1"/>
  <c r="P322" i="1"/>
  <c r="I322" i="1"/>
  <c r="CZ321" i="1"/>
  <c r="CY321" i="1"/>
  <c r="CS321" i="1"/>
  <c r="CN321" i="1"/>
  <c r="CL321" i="1"/>
  <c r="CI321" i="1"/>
  <c r="CF321" i="1"/>
  <c r="CD321" i="1"/>
  <c r="CC321" i="1"/>
  <c r="BY321" i="1"/>
  <c r="BX321" i="1"/>
  <c r="BW321" i="1"/>
  <c r="BV321" i="1"/>
  <c r="BU321" i="1"/>
  <c r="BT321" i="1"/>
  <c r="BS321" i="1"/>
  <c r="BR321" i="1"/>
  <c r="BQ321" i="1"/>
  <c r="BP321" i="1"/>
  <c r="BO321" i="1"/>
  <c r="BL321" i="1"/>
  <c r="BI321" i="1"/>
  <c r="BH321" i="1"/>
  <c r="BG321" i="1"/>
  <c r="BE321" i="1"/>
  <c r="BD321" i="1"/>
  <c r="BC321" i="1"/>
  <c r="AZ321" i="1"/>
  <c r="AX321" i="1"/>
  <c r="AW321" i="1"/>
  <c r="AV321" i="1"/>
  <c r="AU321" i="1"/>
  <c r="AT321" i="1"/>
  <c r="AS321" i="1"/>
  <c r="AR321" i="1"/>
  <c r="AQ321" i="1"/>
  <c r="AO321" i="1"/>
  <c r="AN321" i="1"/>
  <c r="AM321" i="1"/>
  <c r="AL321" i="1"/>
  <c r="AK321" i="1"/>
  <c r="AJ321" i="1"/>
  <c r="AI321" i="1"/>
  <c r="AH321" i="1"/>
  <c r="AG321" i="1"/>
  <c r="AF321" i="1"/>
  <c r="AE321" i="1"/>
  <c r="AC321" i="1"/>
  <c r="AB321" i="1"/>
  <c r="AA321" i="1"/>
  <c r="Z321" i="1"/>
  <c r="Y321" i="1"/>
  <c r="X321" i="1"/>
  <c r="W321" i="1"/>
  <c r="V321" i="1"/>
  <c r="T321" i="1"/>
  <c r="S321" i="1"/>
  <c r="R321" i="1"/>
  <c r="Q321" i="1"/>
  <c r="O321" i="1"/>
  <c r="N321" i="1"/>
  <c r="M321" i="1"/>
  <c r="L321" i="1"/>
  <c r="K321" i="1"/>
  <c r="J321" i="1"/>
  <c r="H321" i="1"/>
  <c r="G321" i="1"/>
  <c r="CX320" i="1"/>
  <c r="CK320" i="1"/>
  <c r="CB320" i="1"/>
  <c r="BN320" i="1"/>
  <c r="BK320" i="1"/>
  <c r="BF320" i="1"/>
  <c r="BB320" i="1"/>
  <c r="AD320" i="1"/>
  <c r="U320" i="1"/>
  <c r="P320" i="1"/>
  <c r="I320" i="1"/>
  <c r="CZ319" i="1"/>
  <c r="CY319" i="1"/>
  <c r="CS319" i="1"/>
  <c r="CN319" i="1"/>
  <c r="CL319" i="1"/>
  <c r="CI319" i="1"/>
  <c r="CF319" i="1"/>
  <c r="CD319" i="1"/>
  <c r="CC319" i="1"/>
  <c r="BY319" i="1"/>
  <c r="BX319" i="1"/>
  <c r="BW319" i="1"/>
  <c r="BV319" i="1"/>
  <c r="BU319" i="1"/>
  <c r="BT319" i="1"/>
  <c r="BS319" i="1"/>
  <c r="BR319" i="1"/>
  <c r="BQ319" i="1"/>
  <c r="BP319" i="1"/>
  <c r="BO319" i="1"/>
  <c r="BL319" i="1"/>
  <c r="BI319" i="1"/>
  <c r="BH319" i="1"/>
  <c r="BG319" i="1"/>
  <c r="BE319" i="1"/>
  <c r="BD319" i="1"/>
  <c r="BC319" i="1"/>
  <c r="AZ319" i="1"/>
  <c r="AX319" i="1"/>
  <c r="AW319" i="1"/>
  <c r="AV319" i="1"/>
  <c r="AU319" i="1"/>
  <c r="AT319" i="1"/>
  <c r="AS319" i="1"/>
  <c r="AR319" i="1"/>
  <c r="AQ319" i="1"/>
  <c r="AO319" i="1"/>
  <c r="AN319" i="1"/>
  <c r="AM319" i="1"/>
  <c r="AL319" i="1"/>
  <c r="AK319" i="1"/>
  <c r="AJ319" i="1"/>
  <c r="AI319" i="1"/>
  <c r="AH319" i="1"/>
  <c r="AG319" i="1"/>
  <c r="AF319" i="1"/>
  <c r="AE319" i="1"/>
  <c r="AC319" i="1"/>
  <c r="AB319" i="1"/>
  <c r="AA319" i="1"/>
  <c r="Z319" i="1"/>
  <c r="Y319" i="1"/>
  <c r="X319" i="1"/>
  <c r="W319" i="1"/>
  <c r="V319" i="1"/>
  <c r="T319" i="1"/>
  <c r="S319" i="1"/>
  <c r="R319" i="1"/>
  <c r="Q319" i="1"/>
  <c r="O319" i="1"/>
  <c r="N319" i="1"/>
  <c r="M319" i="1"/>
  <c r="L319" i="1"/>
  <c r="K319" i="1"/>
  <c r="J319" i="1"/>
  <c r="H319" i="1"/>
  <c r="G319" i="1"/>
  <c r="CX318" i="1"/>
  <c r="CK318" i="1"/>
  <c r="CB318" i="1"/>
  <c r="BN318" i="1"/>
  <c r="BK318" i="1"/>
  <c r="BF318" i="1"/>
  <c r="BB318" i="1"/>
  <c r="AD318" i="1"/>
  <c r="U318" i="1"/>
  <c r="P318" i="1"/>
  <c r="I318" i="1"/>
  <c r="CZ317" i="1"/>
  <c r="CY317" i="1"/>
  <c r="CS317" i="1"/>
  <c r="CN317" i="1"/>
  <c r="CL317" i="1"/>
  <c r="CI317" i="1"/>
  <c r="CF317" i="1"/>
  <c r="CD317" i="1"/>
  <c r="CC317" i="1"/>
  <c r="BY317" i="1"/>
  <c r="BX317" i="1"/>
  <c r="BW317" i="1"/>
  <c r="BV317" i="1"/>
  <c r="BU317" i="1"/>
  <c r="BT317" i="1"/>
  <c r="BS317" i="1"/>
  <c r="BR317" i="1"/>
  <c r="BQ317" i="1"/>
  <c r="BP317" i="1"/>
  <c r="BO317" i="1"/>
  <c r="BL317" i="1"/>
  <c r="BI317" i="1"/>
  <c r="BH317" i="1"/>
  <c r="BG317" i="1"/>
  <c r="BE317" i="1"/>
  <c r="BD317" i="1"/>
  <c r="BC317" i="1"/>
  <c r="AZ317" i="1"/>
  <c r="AX317" i="1"/>
  <c r="AW317" i="1"/>
  <c r="AV317" i="1"/>
  <c r="AU317" i="1"/>
  <c r="AT317" i="1"/>
  <c r="AS317" i="1"/>
  <c r="AR317" i="1"/>
  <c r="AQ317" i="1"/>
  <c r="AO317" i="1"/>
  <c r="AN317" i="1"/>
  <c r="AM317" i="1"/>
  <c r="AL317" i="1"/>
  <c r="AK317" i="1"/>
  <c r="AJ317" i="1"/>
  <c r="AI317" i="1"/>
  <c r="AH317" i="1"/>
  <c r="AG317" i="1"/>
  <c r="AF317" i="1"/>
  <c r="AE317" i="1"/>
  <c r="AC317" i="1"/>
  <c r="AB317" i="1"/>
  <c r="AA317" i="1"/>
  <c r="Z317" i="1"/>
  <c r="Y317" i="1"/>
  <c r="X317" i="1"/>
  <c r="W317" i="1"/>
  <c r="V317" i="1"/>
  <c r="T317" i="1"/>
  <c r="S317" i="1"/>
  <c r="R317" i="1"/>
  <c r="Q317" i="1"/>
  <c r="O317" i="1"/>
  <c r="N317" i="1"/>
  <c r="M317" i="1"/>
  <c r="L317" i="1"/>
  <c r="K317" i="1"/>
  <c r="J317" i="1"/>
  <c r="H317" i="1"/>
  <c r="G317" i="1"/>
  <c r="CX316" i="1"/>
  <c r="CK316" i="1"/>
  <c r="CB316" i="1"/>
  <c r="BN316" i="1"/>
  <c r="BK316" i="1"/>
  <c r="BF316" i="1"/>
  <c r="BB316" i="1"/>
  <c r="AD316" i="1"/>
  <c r="U316" i="1"/>
  <c r="P316" i="1"/>
  <c r="I316" i="1"/>
  <c r="CZ315" i="1"/>
  <c r="CY315" i="1"/>
  <c r="CS315" i="1"/>
  <c r="CN315" i="1"/>
  <c r="CL315" i="1"/>
  <c r="CI315" i="1"/>
  <c r="CF315" i="1"/>
  <c r="CD315" i="1"/>
  <c r="CC315" i="1"/>
  <c r="BY315" i="1"/>
  <c r="BX315" i="1"/>
  <c r="BW315" i="1"/>
  <c r="BV315" i="1"/>
  <c r="BU315" i="1"/>
  <c r="BT315" i="1"/>
  <c r="BS315" i="1"/>
  <c r="BR315" i="1"/>
  <c r="BQ315" i="1"/>
  <c r="BP315" i="1"/>
  <c r="BO315" i="1"/>
  <c r="BL315" i="1"/>
  <c r="BI315" i="1"/>
  <c r="BH315" i="1"/>
  <c r="BG315" i="1"/>
  <c r="BE315" i="1"/>
  <c r="BD315" i="1"/>
  <c r="BC315" i="1"/>
  <c r="AZ315" i="1"/>
  <c r="AX315" i="1"/>
  <c r="AW315" i="1"/>
  <c r="AV315" i="1"/>
  <c r="AU315" i="1"/>
  <c r="AT315" i="1"/>
  <c r="AS315" i="1"/>
  <c r="AR315" i="1"/>
  <c r="AQ315" i="1"/>
  <c r="AO315" i="1"/>
  <c r="AN315" i="1"/>
  <c r="AM315" i="1"/>
  <c r="AL315" i="1"/>
  <c r="AK315" i="1"/>
  <c r="AJ315" i="1"/>
  <c r="AI315" i="1"/>
  <c r="AH315" i="1"/>
  <c r="AG315" i="1"/>
  <c r="AF315" i="1"/>
  <c r="AE315" i="1"/>
  <c r="AC315" i="1"/>
  <c r="AB315" i="1"/>
  <c r="AA315" i="1"/>
  <c r="Z315" i="1"/>
  <c r="Y315" i="1"/>
  <c r="X315" i="1"/>
  <c r="W315" i="1"/>
  <c r="V315" i="1"/>
  <c r="T315" i="1"/>
  <c r="S315" i="1"/>
  <c r="R315" i="1"/>
  <c r="Q315" i="1"/>
  <c r="O315" i="1"/>
  <c r="N315" i="1"/>
  <c r="M315" i="1"/>
  <c r="L315" i="1"/>
  <c r="K315" i="1"/>
  <c r="J315" i="1"/>
  <c r="H315" i="1"/>
  <c r="G315" i="1"/>
  <c r="CX314" i="1"/>
  <c r="CK314" i="1"/>
  <c r="BN314" i="1"/>
  <c r="BK314" i="1"/>
  <c r="BF314" i="1"/>
  <c r="BB314" i="1"/>
  <c r="AZ313" i="1"/>
  <c r="U314" i="1"/>
  <c r="P314" i="1"/>
  <c r="O313" i="1"/>
  <c r="N313" i="1"/>
  <c r="J314" i="1"/>
  <c r="CN313" i="1"/>
  <c r="CL313" i="1"/>
  <c r="CF313" i="1"/>
  <c r="CC313" i="1"/>
  <c r="BY313" i="1"/>
  <c r="BX313" i="1"/>
  <c r="BW313" i="1"/>
  <c r="BV313" i="1"/>
  <c r="BU313" i="1"/>
  <c r="BT313" i="1"/>
  <c r="BS313" i="1"/>
  <c r="BR313" i="1"/>
  <c r="BQ313" i="1"/>
  <c r="BP313" i="1"/>
  <c r="BO313" i="1"/>
  <c r="BL313" i="1"/>
  <c r="BI313" i="1"/>
  <c r="BH313" i="1"/>
  <c r="BG313" i="1"/>
  <c r="BE313" i="1"/>
  <c r="BD313" i="1"/>
  <c r="BC313" i="1"/>
  <c r="AX313" i="1"/>
  <c r="AW313" i="1"/>
  <c r="AU313" i="1"/>
  <c r="AT313" i="1"/>
  <c r="AS313" i="1"/>
  <c r="AR313" i="1"/>
  <c r="AQ313" i="1"/>
  <c r="AO313" i="1"/>
  <c r="AN313" i="1"/>
  <c r="AM313" i="1"/>
  <c r="AL313" i="1"/>
  <c r="AK313" i="1"/>
  <c r="AJ313" i="1"/>
  <c r="AI313" i="1"/>
  <c r="AH313" i="1"/>
  <c r="AG313" i="1"/>
  <c r="AF313" i="1"/>
  <c r="AE313" i="1"/>
  <c r="AC313" i="1"/>
  <c r="AB313" i="1"/>
  <c r="AA313" i="1"/>
  <c r="Z313" i="1"/>
  <c r="Y313" i="1"/>
  <c r="X313" i="1"/>
  <c r="W313" i="1"/>
  <c r="V313" i="1"/>
  <c r="T313" i="1"/>
  <c r="S313" i="1"/>
  <c r="R313" i="1"/>
  <c r="Q313" i="1"/>
  <c r="M313" i="1"/>
  <c r="L313" i="1"/>
  <c r="K313" i="1"/>
  <c r="H313" i="1"/>
  <c r="G313" i="1"/>
  <c r="CX311" i="1"/>
  <c r="CX310" i="1" s="1"/>
  <c r="CK311" i="1"/>
  <c r="CK310" i="1" s="1"/>
  <c r="CB311" i="1"/>
  <c r="CB310" i="1" s="1"/>
  <c r="BN311" i="1"/>
  <c r="BN310" i="1" s="1"/>
  <c r="BK311" i="1"/>
  <c r="BK310" i="1" s="1"/>
  <c r="BF311" i="1"/>
  <c r="BF310" i="1" s="1"/>
  <c r="BB311" i="1"/>
  <c r="BB310" i="1" s="1"/>
  <c r="AD311" i="1"/>
  <c r="AD310" i="1" s="1"/>
  <c r="U311" i="1"/>
  <c r="U310" i="1" s="1"/>
  <c r="P311" i="1"/>
  <c r="P310" i="1" s="1"/>
  <c r="I311" i="1"/>
  <c r="I310" i="1" s="1"/>
  <c r="CX309" i="1"/>
  <c r="CK309" i="1"/>
  <c r="CB309" i="1"/>
  <c r="BN309" i="1"/>
  <c r="BK309" i="1"/>
  <c r="BB309" i="1"/>
  <c r="AD309" i="1"/>
  <c r="U309" i="1"/>
  <c r="P309" i="1"/>
  <c r="I309" i="1"/>
  <c r="CZ308" i="1"/>
  <c r="CY308" i="1"/>
  <c r="CS308" i="1"/>
  <c r="CN308" i="1"/>
  <c r="CL308" i="1"/>
  <c r="CI308" i="1"/>
  <c r="CF308" i="1"/>
  <c r="CD308" i="1"/>
  <c r="CC308" i="1"/>
  <c r="BY308" i="1"/>
  <c r="BX308" i="1"/>
  <c r="BW308" i="1"/>
  <c r="BV308" i="1"/>
  <c r="BU308" i="1"/>
  <c r="BT308" i="1"/>
  <c r="BS308" i="1"/>
  <c r="BR308" i="1"/>
  <c r="BQ308" i="1"/>
  <c r="BP308" i="1"/>
  <c r="BO308" i="1"/>
  <c r="BL308" i="1"/>
  <c r="BI308" i="1"/>
  <c r="BG308" i="1"/>
  <c r="BE308" i="1"/>
  <c r="BD308" i="1"/>
  <c r="BC308" i="1"/>
  <c r="AZ308" i="1"/>
  <c r="AX308" i="1"/>
  <c r="AW308" i="1"/>
  <c r="AV308" i="1"/>
  <c r="AU308" i="1"/>
  <c r="AT308" i="1"/>
  <c r="AS308" i="1"/>
  <c r="AR308" i="1"/>
  <c r="AQ308" i="1"/>
  <c r="AO308" i="1"/>
  <c r="AN308" i="1"/>
  <c r="AM308" i="1"/>
  <c r="AL308" i="1"/>
  <c r="AK308" i="1"/>
  <c r="AJ308" i="1"/>
  <c r="AI308" i="1"/>
  <c r="AH308" i="1"/>
  <c r="AG308" i="1"/>
  <c r="AF308" i="1"/>
  <c r="AE308" i="1"/>
  <c r="AC308" i="1"/>
  <c r="AB308" i="1"/>
  <c r="AA308" i="1"/>
  <c r="Z308" i="1"/>
  <c r="Y308" i="1"/>
  <c r="X308" i="1"/>
  <c r="W308" i="1"/>
  <c r="V308" i="1"/>
  <c r="T308" i="1"/>
  <c r="S308" i="1"/>
  <c r="R308" i="1"/>
  <c r="Q308" i="1"/>
  <c r="O308" i="1"/>
  <c r="N308" i="1"/>
  <c r="M308" i="1"/>
  <c r="L308" i="1"/>
  <c r="K308" i="1"/>
  <c r="J308" i="1"/>
  <c r="H308" i="1"/>
  <c r="G308" i="1"/>
  <c r="CX306" i="1"/>
  <c r="CX294" i="1" s="1"/>
  <c r="CK306" i="1"/>
  <c r="CK294" i="1" s="1"/>
  <c r="CB306" i="1"/>
  <c r="CB294" i="1" s="1"/>
  <c r="BN306" i="1"/>
  <c r="BN294" i="1" s="1"/>
  <c r="BK306" i="1"/>
  <c r="BK294" i="1" s="1"/>
  <c r="BF306" i="1"/>
  <c r="BF294" i="1" s="1"/>
  <c r="BB306" i="1"/>
  <c r="BB294" i="1" s="1"/>
  <c r="U306" i="1"/>
  <c r="U294" i="1" s="1"/>
  <c r="P306" i="1"/>
  <c r="P294" i="1" s="1"/>
  <c r="I306" i="1"/>
  <c r="I294" i="1" s="1"/>
  <c r="CX292" i="1"/>
  <c r="CK292" i="1"/>
  <c r="CB292" i="1"/>
  <c r="BN292" i="1"/>
  <c r="BK292" i="1"/>
  <c r="BF292" i="1"/>
  <c r="BB292" i="1"/>
  <c r="AD292" i="1"/>
  <c r="U292" i="1"/>
  <c r="P292" i="1"/>
  <c r="I292" i="1"/>
  <c r="CZ291" i="1"/>
  <c r="CY291" i="1"/>
  <c r="CS291" i="1"/>
  <c r="CN291" i="1"/>
  <c r="CL291" i="1"/>
  <c r="CI291" i="1"/>
  <c r="CF291" i="1"/>
  <c r="CD291" i="1"/>
  <c r="CC291" i="1"/>
  <c r="BY291" i="1"/>
  <c r="BX291" i="1"/>
  <c r="BW291" i="1"/>
  <c r="BV291" i="1"/>
  <c r="BU291" i="1"/>
  <c r="BT291" i="1"/>
  <c r="BS291" i="1"/>
  <c r="BR291" i="1"/>
  <c r="BQ291" i="1"/>
  <c r="BP291" i="1"/>
  <c r="BO291" i="1"/>
  <c r="BL291" i="1"/>
  <c r="BI291" i="1"/>
  <c r="BH291" i="1"/>
  <c r="BG291" i="1"/>
  <c r="BE291" i="1"/>
  <c r="BD291" i="1"/>
  <c r="BC291" i="1"/>
  <c r="AZ291" i="1"/>
  <c r="AX291" i="1"/>
  <c r="AW291" i="1"/>
  <c r="AV291" i="1"/>
  <c r="AU291" i="1"/>
  <c r="AT291" i="1"/>
  <c r="AS291" i="1"/>
  <c r="AR291" i="1"/>
  <c r="AQ291" i="1"/>
  <c r="AO291" i="1"/>
  <c r="AN291" i="1"/>
  <c r="AM291" i="1"/>
  <c r="AL291" i="1"/>
  <c r="AK291" i="1"/>
  <c r="AJ291" i="1"/>
  <c r="AI291" i="1"/>
  <c r="AH291" i="1"/>
  <c r="AG291" i="1"/>
  <c r="AF291" i="1"/>
  <c r="AE291" i="1"/>
  <c r="AC291" i="1"/>
  <c r="AB291" i="1"/>
  <c r="AA291" i="1"/>
  <c r="Z291" i="1"/>
  <c r="Y291" i="1"/>
  <c r="X291" i="1"/>
  <c r="W291" i="1"/>
  <c r="V291" i="1"/>
  <c r="T291" i="1"/>
  <c r="S291" i="1"/>
  <c r="R291" i="1"/>
  <c r="Q291" i="1"/>
  <c r="O291" i="1"/>
  <c r="N291" i="1"/>
  <c r="M291" i="1"/>
  <c r="L291" i="1"/>
  <c r="K291" i="1"/>
  <c r="J291" i="1"/>
  <c r="H291" i="1"/>
  <c r="G291" i="1"/>
  <c r="CX289" i="1"/>
  <c r="CK289" i="1"/>
  <c r="CB289" i="1"/>
  <c r="BN289" i="1"/>
  <c r="BK289" i="1"/>
  <c r="BF289" i="1"/>
  <c r="BB289" i="1"/>
  <c r="AD289" i="1"/>
  <c r="U289" i="1"/>
  <c r="P289" i="1"/>
  <c r="I289" i="1"/>
  <c r="CZ288" i="1"/>
  <c r="CY288" i="1"/>
  <c r="CS288" i="1"/>
  <c r="CN288" i="1"/>
  <c r="CL288" i="1"/>
  <c r="CI288" i="1"/>
  <c r="CF288" i="1"/>
  <c r="CD288" i="1"/>
  <c r="CC288" i="1"/>
  <c r="BY288" i="1"/>
  <c r="BX288" i="1"/>
  <c r="BW288" i="1"/>
  <c r="BV288" i="1"/>
  <c r="BU288" i="1"/>
  <c r="BT288" i="1"/>
  <c r="BS288" i="1"/>
  <c r="BR288" i="1"/>
  <c r="BQ288" i="1"/>
  <c r="BP288" i="1"/>
  <c r="BO288" i="1"/>
  <c r="BL288" i="1"/>
  <c r="BI288" i="1"/>
  <c r="BH288" i="1"/>
  <c r="BG288" i="1"/>
  <c r="BE288" i="1"/>
  <c r="BD288" i="1"/>
  <c r="BC288" i="1"/>
  <c r="AZ288" i="1"/>
  <c r="AX288" i="1"/>
  <c r="AW288" i="1"/>
  <c r="AV288" i="1"/>
  <c r="AU288" i="1"/>
  <c r="AT288" i="1"/>
  <c r="AS288" i="1"/>
  <c r="AR288" i="1"/>
  <c r="AQ288" i="1"/>
  <c r="AO288" i="1"/>
  <c r="AN288" i="1"/>
  <c r="AM288" i="1"/>
  <c r="AL288" i="1"/>
  <c r="AK288" i="1"/>
  <c r="AJ288" i="1"/>
  <c r="AI288" i="1"/>
  <c r="AH288" i="1"/>
  <c r="AG288" i="1"/>
  <c r="AF288" i="1"/>
  <c r="AE288" i="1"/>
  <c r="AC288" i="1"/>
  <c r="AB288" i="1"/>
  <c r="AA288" i="1"/>
  <c r="Z288" i="1"/>
  <c r="Y288" i="1"/>
  <c r="X288" i="1"/>
  <c r="W288" i="1"/>
  <c r="V288" i="1"/>
  <c r="T288" i="1"/>
  <c r="S288" i="1"/>
  <c r="R288" i="1"/>
  <c r="Q288" i="1"/>
  <c r="O288" i="1"/>
  <c r="N288" i="1"/>
  <c r="M288" i="1"/>
  <c r="L288" i="1"/>
  <c r="K288" i="1"/>
  <c r="J288" i="1"/>
  <c r="H288" i="1"/>
  <c r="G288" i="1"/>
  <c r="CX287" i="1"/>
  <c r="CK287" i="1"/>
  <c r="CB287" i="1"/>
  <c r="BN287" i="1"/>
  <c r="BK287" i="1"/>
  <c r="BF287" i="1"/>
  <c r="BB287" i="1"/>
  <c r="AD287" i="1"/>
  <c r="U287" i="1"/>
  <c r="P287" i="1"/>
  <c r="I287" i="1"/>
  <c r="CZ286" i="1"/>
  <c r="CY286" i="1"/>
  <c r="CS286" i="1"/>
  <c r="CN286" i="1"/>
  <c r="CL286" i="1"/>
  <c r="CI286" i="1"/>
  <c r="CF286" i="1"/>
  <c r="CD286" i="1"/>
  <c r="CC286" i="1"/>
  <c r="BY286" i="1"/>
  <c r="BX286" i="1"/>
  <c r="BW286" i="1"/>
  <c r="BV286" i="1"/>
  <c r="BU286" i="1"/>
  <c r="BT286" i="1"/>
  <c r="BS286" i="1"/>
  <c r="BR286" i="1"/>
  <c r="BQ286" i="1"/>
  <c r="BP286" i="1"/>
  <c r="BO286" i="1"/>
  <c r="BL286" i="1"/>
  <c r="BI286" i="1"/>
  <c r="BH286" i="1"/>
  <c r="BG286" i="1"/>
  <c r="BE286" i="1"/>
  <c r="BD286" i="1"/>
  <c r="BC286" i="1"/>
  <c r="AZ286" i="1"/>
  <c r="AX286" i="1"/>
  <c r="AW286" i="1"/>
  <c r="AV286" i="1"/>
  <c r="AU286" i="1"/>
  <c r="AT286" i="1"/>
  <c r="AS286" i="1"/>
  <c r="AR286" i="1"/>
  <c r="AQ286" i="1"/>
  <c r="AO286" i="1"/>
  <c r="AN286" i="1"/>
  <c r="AM286" i="1"/>
  <c r="AL286" i="1"/>
  <c r="AK286" i="1"/>
  <c r="AJ286" i="1"/>
  <c r="AI286" i="1"/>
  <c r="AH286" i="1"/>
  <c r="AG286" i="1"/>
  <c r="AF286" i="1"/>
  <c r="AE286" i="1"/>
  <c r="AC286" i="1"/>
  <c r="AB286" i="1"/>
  <c r="AA286" i="1"/>
  <c r="Z286" i="1"/>
  <c r="Y286" i="1"/>
  <c r="X286" i="1"/>
  <c r="W286" i="1"/>
  <c r="V286" i="1"/>
  <c r="T286" i="1"/>
  <c r="S286" i="1"/>
  <c r="R286" i="1"/>
  <c r="Q286" i="1"/>
  <c r="O286" i="1"/>
  <c r="N286" i="1"/>
  <c r="M286" i="1"/>
  <c r="L286" i="1"/>
  <c r="K286" i="1"/>
  <c r="J286" i="1"/>
  <c r="H286" i="1"/>
  <c r="G286" i="1"/>
  <c r="CX285" i="1"/>
  <c r="CK285" i="1"/>
  <c r="CB285" i="1"/>
  <c r="BN285" i="1"/>
  <c r="BK285" i="1"/>
  <c r="BF285" i="1"/>
  <c r="BB285" i="1"/>
  <c r="AD285" i="1"/>
  <c r="U285" i="1"/>
  <c r="P285" i="1"/>
  <c r="I285" i="1"/>
  <c r="CX281" i="1"/>
  <c r="CK281" i="1"/>
  <c r="CB281" i="1"/>
  <c r="BN281" i="1"/>
  <c r="BK281" i="1"/>
  <c r="BF281" i="1"/>
  <c r="BB281" i="1"/>
  <c r="AD281" i="1"/>
  <c r="U281" i="1"/>
  <c r="P281" i="1"/>
  <c r="I281" i="1"/>
  <c r="CX280" i="1"/>
  <c r="CK280" i="1"/>
  <c r="CB280" i="1"/>
  <c r="BN280" i="1"/>
  <c r="BK280" i="1"/>
  <c r="BF280" i="1"/>
  <c r="BB280" i="1"/>
  <c r="AD280" i="1"/>
  <c r="U280" i="1"/>
  <c r="P280" i="1"/>
  <c r="I280" i="1"/>
  <c r="CX279" i="1"/>
  <c r="CK279" i="1"/>
  <c r="CB279" i="1"/>
  <c r="BN279" i="1"/>
  <c r="BK279" i="1"/>
  <c r="BF279" i="1"/>
  <c r="BB279" i="1"/>
  <c r="AD279" i="1"/>
  <c r="U279" i="1"/>
  <c r="P279" i="1"/>
  <c r="I279" i="1"/>
  <c r="CX278" i="1"/>
  <c r="CK278" i="1"/>
  <c r="CB278" i="1"/>
  <c r="BN278" i="1"/>
  <c r="BK278" i="1"/>
  <c r="BF278" i="1"/>
  <c r="BB278" i="1"/>
  <c r="AD278" i="1"/>
  <c r="U278" i="1"/>
  <c r="P278" i="1"/>
  <c r="I278" i="1"/>
  <c r="CX277" i="1"/>
  <c r="CK277" i="1"/>
  <c r="CB277" i="1"/>
  <c r="BN277" i="1"/>
  <c r="BK277" i="1"/>
  <c r="BF277" i="1"/>
  <c r="BB277" i="1"/>
  <c r="AD277" i="1"/>
  <c r="U277" i="1"/>
  <c r="P277" i="1"/>
  <c r="I277" i="1"/>
  <c r="CX276" i="1"/>
  <c r="CK276" i="1"/>
  <c r="CB276" i="1"/>
  <c r="BN276" i="1"/>
  <c r="BK276" i="1"/>
  <c r="BF276" i="1"/>
  <c r="BB276" i="1"/>
  <c r="AD276" i="1"/>
  <c r="U276" i="1"/>
  <c r="P276" i="1"/>
  <c r="I276" i="1"/>
  <c r="CX274" i="1"/>
  <c r="CK274" i="1"/>
  <c r="CB274" i="1"/>
  <c r="BN274" i="1"/>
  <c r="BK274" i="1"/>
  <c r="BF274" i="1"/>
  <c r="BB274" i="1"/>
  <c r="AD274" i="1"/>
  <c r="U274" i="1"/>
  <c r="P274" i="1"/>
  <c r="I274" i="1"/>
  <c r="CX273" i="1"/>
  <c r="CK273" i="1"/>
  <c r="CB273" i="1"/>
  <c r="BN273" i="1"/>
  <c r="BK273" i="1"/>
  <c r="BF273" i="1"/>
  <c r="BB273" i="1"/>
  <c r="AD273" i="1"/>
  <c r="U273" i="1"/>
  <c r="P273" i="1"/>
  <c r="I273" i="1"/>
  <c r="CZ270" i="1"/>
  <c r="CY270" i="1"/>
  <c r="CS270" i="1"/>
  <c r="CN270" i="1"/>
  <c r="CL270" i="1"/>
  <c r="CI270" i="1"/>
  <c r="CF270" i="1"/>
  <c r="CD270" i="1"/>
  <c r="CC270" i="1"/>
  <c r="BY270" i="1"/>
  <c r="BX270" i="1"/>
  <c r="BW270" i="1"/>
  <c r="BV270" i="1"/>
  <c r="BU270" i="1"/>
  <c r="BT270" i="1"/>
  <c r="BS270" i="1"/>
  <c r="BR270" i="1"/>
  <c r="BQ270" i="1"/>
  <c r="BP270" i="1"/>
  <c r="BO270" i="1"/>
  <c r="BL270" i="1"/>
  <c r="BI270" i="1"/>
  <c r="BH270" i="1"/>
  <c r="BG270" i="1"/>
  <c r="BE270" i="1"/>
  <c r="BD270" i="1"/>
  <c r="BC270" i="1"/>
  <c r="AZ270" i="1"/>
  <c r="AX270" i="1"/>
  <c r="AW270" i="1"/>
  <c r="AV270" i="1"/>
  <c r="AU270" i="1"/>
  <c r="AT270" i="1"/>
  <c r="AS270" i="1"/>
  <c r="AR270" i="1"/>
  <c r="AQ270" i="1"/>
  <c r="AO270" i="1"/>
  <c r="AN270" i="1"/>
  <c r="AM270" i="1"/>
  <c r="AL270" i="1"/>
  <c r="AK270" i="1"/>
  <c r="AJ270" i="1"/>
  <c r="AI270" i="1"/>
  <c r="AH270" i="1"/>
  <c r="AG270" i="1"/>
  <c r="AF270" i="1"/>
  <c r="AE270" i="1"/>
  <c r="AC270" i="1"/>
  <c r="AB270" i="1"/>
  <c r="AA270" i="1"/>
  <c r="Z270" i="1"/>
  <c r="Y270" i="1"/>
  <c r="X270" i="1"/>
  <c r="W270" i="1"/>
  <c r="V270" i="1"/>
  <c r="T270" i="1"/>
  <c r="S270" i="1"/>
  <c r="R270" i="1"/>
  <c r="Q270" i="1"/>
  <c r="O270" i="1"/>
  <c r="N270" i="1"/>
  <c r="M270" i="1"/>
  <c r="L270" i="1"/>
  <c r="K270" i="1"/>
  <c r="J270" i="1"/>
  <c r="H270" i="1"/>
  <c r="G270" i="1"/>
  <c r="CX269" i="1"/>
  <c r="CK269" i="1"/>
  <c r="BN269" i="1"/>
  <c r="BK269" i="1"/>
  <c r="BF269" i="1"/>
  <c r="BB269" i="1"/>
  <c r="P269" i="1"/>
  <c r="CX267" i="1"/>
  <c r="CK267" i="1"/>
  <c r="CB267" i="1"/>
  <c r="BN267" i="1"/>
  <c r="BK267" i="1"/>
  <c r="BF267" i="1"/>
  <c r="BB267" i="1"/>
  <c r="AD267" i="1"/>
  <c r="U267" i="1"/>
  <c r="P267" i="1"/>
  <c r="I267" i="1"/>
  <c r="CX266" i="1"/>
  <c r="CK266" i="1"/>
  <c r="CB266" i="1"/>
  <c r="BN266" i="1"/>
  <c r="BK266" i="1"/>
  <c r="BF266" i="1"/>
  <c r="BB266" i="1"/>
  <c r="AD266" i="1"/>
  <c r="U266" i="1"/>
  <c r="P266" i="1"/>
  <c r="I266" i="1"/>
  <c r="CX265" i="1"/>
  <c r="CK265" i="1"/>
  <c r="CB265" i="1"/>
  <c r="BN265" i="1"/>
  <c r="BK265" i="1"/>
  <c r="BF265" i="1"/>
  <c r="BB265" i="1"/>
  <c r="AD265" i="1"/>
  <c r="U265" i="1"/>
  <c r="P265" i="1"/>
  <c r="I265" i="1"/>
  <c r="CX264" i="1"/>
  <c r="CK264" i="1"/>
  <c r="CB264" i="1"/>
  <c r="BN264" i="1"/>
  <c r="BK264" i="1"/>
  <c r="BF264" i="1"/>
  <c r="BB264" i="1"/>
  <c r="AD264" i="1"/>
  <c r="U264" i="1"/>
  <c r="P264" i="1"/>
  <c r="I264" i="1"/>
  <c r="CX263" i="1"/>
  <c r="CK263" i="1"/>
  <c r="CB263" i="1"/>
  <c r="BN263" i="1"/>
  <c r="BK263" i="1"/>
  <c r="BF263" i="1"/>
  <c r="BB263" i="1"/>
  <c r="AD263" i="1"/>
  <c r="U263" i="1"/>
  <c r="P263" i="1"/>
  <c r="I263" i="1"/>
  <c r="CX262" i="1"/>
  <c r="CK262" i="1"/>
  <c r="CB262" i="1"/>
  <c r="BN262" i="1"/>
  <c r="BK262" i="1"/>
  <c r="BF262" i="1"/>
  <c r="BB262" i="1"/>
  <c r="AD262" i="1"/>
  <c r="U262" i="1"/>
  <c r="P262" i="1"/>
  <c r="I262" i="1"/>
  <c r="CX261" i="1"/>
  <c r="CK261" i="1"/>
  <c r="CB261" i="1"/>
  <c r="BN261" i="1"/>
  <c r="BK261" i="1"/>
  <c r="BF261" i="1"/>
  <c r="BB261" i="1"/>
  <c r="AD261" i="1"/>
  <c r="U261" i="1"/>
  <c r="P261" i="1"/>
  <c r="I261" i="1"/>
  <c r="CX260" i="1"/>
  <c r="CK260" i="1"/>
  <c r="CB260" i="1"/>
  <c r="BN260" i="1"/>
  <c r="BK260" i="1"/>
  <c r="BF260" i="1"/>
  <c r="BB260" i="1"/>
  <c r="AD260" i="1"/>
  <c r="U260" i="1"/>
  <c r="P260" i="1"/>
  <c r="I260" i="1"/>
  <c r="CX259" i="1"/>
  <c r="CK259" i="1"/>
  <c r="CB259" i="1"/>
  <c r="BN259" i="1"/>
  <c r="BK259" i="1"/>
  <c r="BF259" i="1"/>
  <c r="BB259" i="1"/>
  <c r="AD259" i="1"/>
  <c r="U259" i="1"/>
  <c r="P259" i="1"/>
  <c r="I259" i="1"/>
  <c r="CX258" i="1"/>
  <c r="CK258" i="1"/>
  <c r="CB258" i="1"/>
  <c r="BN258" i="1"/>
  <c r="BK258" i="1"/>
  <c r="BF258" i="1"/>
  <c r="BB258" i="1"/>
  <c r="AD258" i="1"/>
  <c r="U258" i="1"/>
  <c r="P258" i="1"/>
  <c r="I258" i="1"/>
  <c r="CX257" i="1"/>
  <c r="CK257" i="1"/>
  <c r="CB257" i="1"/>
  <c r="BN257" i="1"/>
  <c r="BK257" i="1"/>
  <c r="BF257" i="1"/>
  <c r="BB257" i="1"/>
  <c r="AD257" i="1"/>
  <c r="U257" i="1"/>
  <c r="P257" i="1"/>
  <c r="I257" i="1"/>
  <c r="CX256" i="1"/>
  <c r="CK256" i="1"/>
  <c r="CB256" i="1"/>
  <c r="BN256" i="1"/>
  <c r="BK256" i="1"/>
  <c r="BF256" i="1"/>
  <c r="BB256" i="1"/>
  <c r="AD256" i="1"/>
  <c r="U256" i="1"/>
  <c r="P256" i="1"/>
  <c r="I256" i="1"/>
  <c r="CX255" i="1"/>
  <c r="CK255" i="1"/>
  <c r="CB255" i="1"/>
  <c r="BN255" i="1"/>
  <c r="BK255" i="1"/>
  <c r="BF255" i="1"/>
  <c r="BB255" i="1"/>
  <c r="AD255" i="1"/>
  <c r="U255" i="1"/>
  <c r="P255" i="1"/>
  <c r="I255" i="1"/>
  <c r="CX254" i="1"/>
  <c r="CK254" i="1"/>
  <c r="CB254" i="1"/>
  <c r="BN254" i="1"/>
  <c r="BK254" i="1"/>
  <c r="BF254" i="1"/>
  <c r="BB254" i="1"/>
  <c r="AD254" i="1"/>
  <c r="U254" i="1"/>
  <c r="P254" i="1"/>
  <c r="I254" i="1"/>
  <c r="CX253" i="1"/>
  <c r="CK253" i="1"/>
  <c r="CB253" i="1"/>
  <c r="BN253" i="1"/>
  <c r="BK253" i="1"/>
  <c r="BF253" i="1"/>
  <c r="BB253" i="1"/>
  <c r="AD253" i="1"/>
  <c r="U253" i="1"/>
  <c r="P253" i="1"/>
  <c r="I253" i="1"/>
  <c r="CX252" i="1"/>
  <c r="CK252" i="1"/>
  <c r="CB252" i="1"/>
  <c r="BN252" i="1"/>
  <c r="BK252" i="1"/>
  <c r="BF252" i="1"/>
  <c r="BB252" i="1"/>
  <c r="AD252" i="1"/>
  <c r="U252" i="1"/>
  <c r="P252" i="1"/>
  <c r="I252" i="1"/>
  <c r="CX251" i="1"/>
  <c r="CK251" i="1"/>
  <c r="CB251" i="1"/>
  <c r="BN251" i="1"/>
  <c r="BK251" i="1"/>
  <c r="BF251" i="1"/>
  <c r="BB251" i="1"/>
  <c r="AD251" i="1"/>
  <c r="U251" i="1"/>
  <c r="P251" i="1"/>
  <c r="I251" i="1"/>
  <c r="CX250" i="1"/>
  <c r="CK250" i="1"/>
  <c r="CB250" i="1"/>
  <c r="BN250" i="1"/>
  <c r="BK250" i="1"/>
  <c r="BF250" i="1"/>
  <c r="BB250" i="1"/>
  <c r="AD250" i="1"/>
  <c r="U250" i="1"/>
  <c r="P250" i="1"/>
  <c r="I250" i="1"/>
  <c r="CX249" i="1"/>
  <c r="CK249" i="1"/>
  <c r="CB249" i="1"/>
  <c r="BN249" i="1"/>
  <c r="BK249" i="1"/>
  <c r="BF249" i="1"/>
  <c r="BB249" i="1"/>
  <c r="AD249" i="1"/>
  <c r="U249" i="1"/>
  <c r="P249" i="1"/>
  <c r="I249" i="1"/>
  <c r="CX248" i="1"/>
  <c r="CK248" i="1"/>
  <c r="CB248" i="1"/>
  <c r="BN248" i="1"/>
  <c r="BK248" i="1"/>
  <c r="BF248" i="1"/>
  <c r="BB248" i="1"/>
  <c r="AD248" i="1"/>
  <c r="U248" i="1"/>
  <c r="P248" i="1"/>
  <c r="I248" i="1"/>
  <c r="CX247" i="1"/>
  <c r="CK247" i="1"/>
  <c r="CB247" i="1"/>
  <c r="BN247" i="1"/>
  <c r="BK247" i="1"/>
  <c r="BF247" i="1"/>
  <c r="BB247" i="1"/>
  <c r="AD247" i="1"/>
  <c r="U247" i="1"/>
  <c r="P247" i="1"/>
  <c r="I247" i="1"/>
  <c r="CX246" i="1"/>
  <c r="CK246" i="1"/>
  <c r="CB246" i="1"/>
  <c r="BN246" i="1"/>
  <c r="BK246" i="1"/>
  <c r="BF246" i="1"/>
  <c r="BB246" i="1"/>
  <c r="AD246" i="1"/>
  <c r="U246" i="1"/>
  <c r="P246" i="1"/>
  <c r="I246" i="1"/>
  <c r="CY245" i="1"/>
  <c r="CY231" i="1" s="1"/>
  <c r="CS245" i="1"/>
  <c r="CS231" i="1" s="1"/>
  <c r="CN245" i="1"/>
  <c r="CN231" i="1" s="1"/>
  <c r="CI245" i="1"/>
  <c r="CI231" i="1" s="1"/>
  <c r="CF245" i="1"/>
  <c r="CF231" i="1" s="1"/>
  <c r="CC245" i="1"/>
  <c r="CC231" i="1" s="1"/>
  <c r="BY245" i="1"/>
  <c r="BY231" i="1" s="1"/>
  <c r="BX245" i="1"/>
  <c r="BX231" i="1" s="1"/>
  <c r="BW245" i="1"/>
  <c r="BW231" i="1" s="1"/>
  <c r="BV245" i="1"/>
  <c r="BV231" i="1" s="1"/>
  <c r="BU245" i="1"/>
  <c r="BU231" i="1" s="1"/>
  <c r="BT245" i="1"/>
  <c r="BT231" i="1" s="1"/>
  <c r="BS245" i="1"/>
  <c r="BS231" i="1" s="1"/>
  <c r="BR245" i="1"/>
  <c r="BR231" i="1" s="1"/>
  <c r="BQ245" i="1"/>
  <c r="BQ231" i="1" s="1"/>
  <c r="BP245" i="1"/>
  <c r="BP231" i="1" s="1"/>
  <c r="BO245" i="1"/>
  <c r="BO231" i="1" s="1"/>
  <c r="BL245" i="1"/>
  <c r="BL231" i="1" s="1"/>
  <c r="BI245" i="1"/>
  <c r="BI231" i="1" s="1"/>
  <c r="BH245" i="1"/>
  <c r="BH231" i="1" s="1"/>
  <c r="BG245" i="1"/>
  <c r="BG231" i="1" s="1"/>
  <c r="BE245" i="1"/>
  <c r="BE231" i="1" s="1"/>
  <c r="BD245" i="1"/>
  <c r="BD231" i="1" s="1"/>
  <c r="BC245" i="1"/>
  <c r="BC231" i="1" s="1"/>
  <c r="AX245" i="1"/>
  <c r="AX231" i="1" s="1"/>
  <c r="AW245" i="1"/>
  <c r="AW231" i="1" s="1"/>
  <c r="AV245" i="1"/>
  <c r="AV231" i="1" s="1"/>
  <c r="AU245" i="1"/>
  <c r="AU231" i="1" s="1"/>
  <c r="AT245" i="1"/>
  <c r="AT231" i="1" s="1"/>
  <c r="AS245" i="1"/>
  <c r="AS231" i="1" s="1"/>
  <c r="AR245" i="1"/>
  <c r="AR231" i="1" s="1"/>
  <c r="AQ245" i="1"/>
  <c r="AQ231" i="1" s="1"/>
  <c r="AO245" i="1"/>
  <c r="AO231" i="1" s="1"/>
  <c r="AN245" i="1"/>
  <c r="AN231" i="1" s="1"/>
  <c r="AM245" i="1"/>
  <c r="AM231" i="1" s="1"/>
  <c r="AL245" i="1"/>
  <c r="AL231" i="1" s="1"/>
  <c r="AK245" i="1"/>
  <c r="AK231" i="1" s="1"/>
  <c r="AI245" i="1"/>
  <c r="AI231" i="1" s="1"/>
  <c r="AF245" i="1"/>
  <c r="AF231" i="1" s="1"/>
  <c r="AE245" i="1"/>
  <c r="AE231" i="1" s="1"/>
  <c r="AB245" i="1"/>
  <c r="AB231" i="1" s="1"/>
  <c r="S245" i="1"/>
  <c r="S231" i="1" s="1"/>
  <c r="Q245" i="1"/>
  <c r="Q231" i="1" s="1"/>
  <c r="M245" i="1"/>
  <c r="M231" i="1" s="1"/>
  <c r="L245" i="1"/>
  <c r="L231" i="1" s="1"/>
  <c r="K245" i="1"/>
  <c r="K231" i="1" s="1"/>
  <c r="H245" i="1"/>
  <c r="H231" i="1" s="1"/>
  <c r="G245" i="1"/>
  <c r="G231" i="1" s="1"/>
  <c r="CX243" i="1"/>
  <c r="CK243" i="1"/>
  <c r="CB243" i="1"/>
  <c r="BN243" i="1"/>
  <c r="BK243" i="1"/>
  <c r="BF243" i="1"/>
  <c r="BB243" i="1"/>
  <c r="AD243" i="1"/>
  <c r="U243" i="1"/>
  <c r="P243" i="1"/>
  <c r="I243" i="1"/>
  <c r="CX242" i="1"/>
  <c r="CK242" i="1"/>
  <c r="CB242" i="1"/>
  <c r="BN242" i="1"/>
  <c r="BK242" i="1"/>
  <c r="BF242" i="1"/>
  <c r="BB242" i="1"/>
  <c r="AD242" i="1"/>
  <c r="U242" i="1"/>
  <c r="P242" i="1"/>
  <c r="O242" i="1"/>
  <c r="CX240" i="1"/>
  <c r="CK240" i="1"/>
  <c r="CB240" i="1"/>
  <c r="BN240" i="1"/>
  <c r="BK240" i="1"/>
  <c r="BF240" i="1"/>
  <c r="BB240" i="1"/>
  <c r="AD240" i="1"/>
  <c r="U240" i="1"/>
  <c r="P240" i="1"/>
  <c r="I240" i="1"/>
  <c r="CX233" i="1"/>
  <c r="CK233" i="1"/>
  <c r="CB233" i="1"/>
  <c r="BN233" i="1"/>
  <c r="BK233" i="1"/>
  <c r="BF233" i="1"/>
  <c r="BB233" i="1"/>
  <c r="AD233" i="1"/>
  <c r="U233" i="1"/>
  <c r="P233" i="1"/>
  <c r="I233" i="1"/>
  <c r="CX230" i="1"/>
  <c r="CX228" i="1" s="1"/>
  <c r="CK230" i="1"/>
  <c r="CK228" i="1" s="1"/>
  <c r="CB230" i="1"/>
  <c r="CB228" i="1" s="1"/>
  <c r="BN230" i="1"/>
  <c r="BN228" i="1" s="1"/>
  <c r="BK230" i="1"/>
  <c r="BK228" i="1" s="1"/>
  <c r="BF230" i="1"/>
  <c r="BF228" i="1" s="1"/>
  <c r="BB230" i="1"/>
  <c r="BB228" i="1" s="1"/>
  <c r="U230" i="1"/>
  <c r="U228" i="1" s="1"/>
  <c r="P230" i="1"/>
  <c r="P228" i="1" s="1"/>
  <c r="I230" i="1"/>
  <c r="I228" i="1" s="1"/>
  <c r="CX227" i="1"/>
  <c r="CK227" i="1"/>
  <c r="CB227" i="1"/>
  <c r="BN227" i="1"/>
  <c r="BK227" i="1"/>
  <c r="BF227" i="1"/>
  <c r="BB227" i="1"/>
  <c r="AD227" i="1"/>
  <c r="U227" i="1"/>
  <c r="P227" i="1"/>
  <c r="I227" i="1"/>
  <c r="CZ226" i="1"/>
  <c r="CY226" i="1"/>
  <c r="CS226" i="1"/>
  <c r="CN226" i="1"/>
  <c r="CL226" i="1"/>
  <c r="CI226" i="1"/>
  <c r="CF226" i="1"/>
  <c r="CD226" i="1"/>
  <c r="CC226" i="1"/>
  <c r="BY226" i="1"/>
  <c r="BX226" i="1"/>
  <c r="BW226" i="1"/>
  <c r="BV226" i="1"/>
  <c r="BU226" i="1"/>
  <c r="BT226" i="1"/>
  <c r="BS226" i="1"/>
  <c r="BR226" i="1"/>
  <c r="BQ226" i="1"/>
  <c r="BP226" i="1"/>
  <c r="BO226" i="1"/>
  <c r="BL226" i="1"/>
  <c r="BI226" i="1"/>
  <c r="BH226" i="1"/>
  <c r="BG226" i="1"/>
  <c r="BE226" i="1"/>
  <c r="BD226" i="1"/>
  <c r="BC226" i="1"/>
  <c r="AZ226" i="1"/>
  <c r="AX226" i="1"/>
  <c r="AW226" i="1"/>
  <c r="AV226" i="1"/>
  <c r="AS226" i="1"/>
  <c r="AR226" i="1"/>
  <c r="AQ226" i="1"/>
  <c r="AO226" i="1"/>
  <c r="AN226" i="1"/>
  <c r="AM226" i="1"/>
  <c r="AL226" i="1"/>
  <c r="AK226" i="1"/>
  <c r="AJ226" i="1"/>
  <c r="AI226" i="1"/>
  <c r="AH226" i="1"/>
  <c r="AG226" i="1"/>
  <c r="AF226" i="1"/>
  <c r="AE226" i="1"/>
  <c r="AC226" i="1"/>
  <c r="AB226" i="1"/>
  <c r="AA226" i="1"/>
  <c r="Z226" i="1"/>
  <c r="Y226" i="1"/>
  <c r="X226" i="1"/>
  <c r="W226" i="1"/>
  <c r="V226" i="1"/>
  <c r="T226" i="1"/>
  <c r="S226" i="1"/>
  <c r="R226" i="1"/>
  <c r="Q226" i="1"/>
  <c r="O226" i="1"/>
  <c r="N226" i="1"/>
  <c r="M226" i="1"/>
  <c r="L226" i="1"/>
  <c r="K226" i="1"/>
  <c r="J226" i="1"/>
  <c r="H226" i="1"/>
  <c r="G226" i="1"/>
  <c r="CX224" i="1"/>
  <c r="CK224" i="1"/>
  <c r="CB224" i="1"/>
  <c r="BN224" i="1"/>
  <c r="BK224" i="1"/>
  <c r="BF224" i="1"/>
  <c r="BB224" i="1"/>
  <c r="AD224" i="1"/>
  <c r="U224" i="1"/>
  <c r="P224" i="1"/>
  <c r="I224" i="1"/>
  <c r="CX223" i="1"/>
  <c r="CK223" i="1"/>
  <c r="CB223" i="1"/>
  <c r="BN223" i="1"/>
  <c r="BK223" i="1"/>
  <c r="BF223" i="1"/>
  <c r="BB223" i="1"/>
  <c r="AD223" i="1"/>
  <c r="U223" i="1"/>
  <c r="P223" i="1"/>
  <c r="I223" i="1"/>
  <c r="CZ222" i="1"/>
  <c r="CY222" i="1"/>
  <c r="CS222" i="1"/>
  <c r="CN222" i="1"/>
  <c r="CL222" i="1"/>
  <c r="CI222" i="1"/>
  <c r="CF222" i="1"/>
  <c r="CD222" i="1"/>
  <c r="CC222" i="1"/>
  <c r="BY222" i="1"/>
  <c r="BX222" i="1"/>
  <c r="BW222" i="1"/>
  <c r="BV222" i="1"/>
  <c r="BU222" i="1"/>
  <c r="BT222" i="1"/>
  <c r="BS222" i="1"/>
  <c r="BR222" i="1"/>
  <c r="BQ222" i="1"/>
  <c r="BP222" i="1"/>
  <c r="BO222" i="1"/>
  <c r="BL222" i="1"/>
  <c r="BI222" i="1"/>
  <c r="BH222" i="1"/>
  <c r="BG222" i="1"/>
  <c r="BE222" i="1"/>
  <c r="BD222" i="1"/>
  <c r="BC222" i="1"/>
  <c r="AZ222" i="1"/>
  <c r="AX222" i="1"/>
  <c r="AW222" i="1"/>
  <c r="AV222" i="1"/>
  <c r="AS222" i="1"/>
  <c r="AR222" i="1"/>
  <c r="AQ222" i="1"/>
  <c r="AO222" i="1"/>
  <c r="AN222" i="1"/>
  <c r="AM222" i="1"/>
  <c r="AL222" i="1"/>
  <c r="AK222" i="1"/>
  <c r="AJ222" i="1"/>
  <c r="AI222" i="1"/>
  <c r="AH222" i="1"/>
  <c r="AG222" i="1"/>
  <c r="AF222" i="1"/>
  <c r="AE222" i="1"/>
  <c r="AC222" i="1"/>
  <c r="AB222" i="1"/>
  <c r="AA222" i="1"/>
  <c r="Z222" i="1"/>
  <c r="Y222" i="1"/>
  <c r="X222" i="1"/>
  <c r="W222" i="1"/>
  <c r="V222" i="1"/>
  <c r="T222" i="1"/>
  <c r="S222" i="1"/>
  <c r="R222" i="1"/>
  <c r="Q222" i="1"/>
  <c r="O222" i="1"/>
  <c r="N222" i="1"/>
  <c r="M222" i="1"/>
  <c r="L222" i="1"/>
  <c r="K222" i="1"/>
  <c r="J222" i="1"/>
  <c r="H222" i="1"/>
  <c r="G222" i="1"/>
  <c r="CX217" i="1"/>
  <c r="CK217" i="1"/>
  <c r="CB217" i="1"/>
  <c r="BN217" i="1"/>
  <c r="BK217" i="1"/>
  <c r="BF217" i="1"/>
  <c r="BB217" i="1"/>
  <c r="AD217" i="1"/>
  <c r="U217" i="1"/>
  <c r="P217" i="1"/>
  <c r="I217" i="1"/>
  <c r="CZ216" i="1"/>
  <c r="CY216" i="1"/>
  <c r="CS216" i="1"/>
  <c r="CN216" i="1"/>
  <c r="CL216" i="1"/>
  <c r="CI216" i="1"/>
  <c r="CF216" i="1"/>
  <c r="CD216" i="1"/>
  <c r="CC216" i="1"/>
  <c r="BY216" i="1"/>
  <c r="BX216" i="1"/>
  <c r="BW216" i="1"/>
  <c r="BV216" i="1"/>
  <c r="BU216" i="1"/>
  <c r="BT216" i="1"/>
  <c r="BS216" i="1"/>
  <c r="BR216" i="1"/>
  <c r="BQ216" i="1"/>
  <c r="BP216" i="1"/>
  <c r="BO216" i="1"/>
  <c r="BL216" i="1"/>
  <c r="BI216" i="1"/>
  <c r="BH216" i="1"/>
  <c r="BG216" i="1"/>
  <c r="BE216" i="1"/>
  <c r="BD216" i="1"/>
  <c r="BC216" i="1"/>
  <c r="AZ216" i="1"/>
  <c r="AX216" i="1"/>
  <c r="AW216" i="1"/>
  <c r="AV216" i="1"/>
  <c r="AS216" i="1"/>
  <c r="AR216" i="1"/>
  <c r="AQ216" i="1"/>
  <c r="AO216" i="1"/>
  <c r="AN216" i="1"/>
  <c r="AM216" i="1"/>
  <c r="AL216" i="1"/>
  <c r="AK216" i="1"/>
  <c r="AJ216" i="1"/>
  <c r="AI216" i="1"/>
  <c r="AH216" i="1"/>
  <c r="AG216" i="1"/>
  <c r="AF216" i="1"/>
  <c r="AE216" i="1"/>
  <c r="AC216" i="1"/>
  <c r="AB216" i="1"/>
  <c r="AA216" i="1"/>
  <c r="Z216" i="1"/>
  <c r="Y216" i="1"/>
  <c r="X216" i="1"/>
  <c r="W216" i="1"/>
  <c r="V216" i="1"/>
  <c r="T216" i="1"/>
  <c r="S216" i="1"/>
  <c r="R216" i="1"/>
  <c r="Q216" i="1"/>
  <c r="O216" i="1"/>
  <c r="N216" i="1"/>
  <c r="M216" i="1"/>
  <c r="L216" i="1"/>
  <c r="K216" i="1"/>
  <c r="J216" i="1"/>
  <c r="H216" i="1"/>
  <c r="G216" i="1"/>
  <c r="CX214" i="1"/>
  <c r="CK214" i="1"/>
  <c r="CB214" i="1"/>
  <c r="BN214" i="1"/>
  <c r="BK214" i="1"/>
  <c r="BF214" i="1"/>
  <c r="BB214" i="1"/>
  <c r="AD214" i="1"/>
  <c r="P214" i="1"/>
  <c r="I214" i="1"/>
  <c r="CX212" i="1"/>
  <c r="CK212" i="1"/>
  <c r="CB212" i="1"/>
  <c r="BN212" i="1"/>
  <c r="BK212" i="1"/>
  <c r="BF212" i="1"/>
  <c r="BB212" i="1"/>
  <c r="AD212" i="1"/>
  <c r="U212" i="1"/>
  <c r="P212" i="1"/>
  <c r="I212" i="1"/>
  <c r="CX211" i="1"/>
  <c r="CK211" i="1"/>
  <c r="CB211" i="1"/>
  <c r="BN211" i="1"/>
  <c r="BK211" i="1"/>
  <c r="BF211" i="1"/>
  <c r="BB211" i="1"/>
  <c r="AD211" i="1"/>
  <c r="U211" i="1"/>
  <c r="P211" i="1"/>
  <c r="I211" i="1"/>
  <c r="CX210" i="1"/>
  <c r="CK210" i="1"/>
  <c r="CB210" i="1"/>
  <c r="BN210" i="1"/>
  <c r="BK210" i="1"/>
  <c r="BF210" i="1"/>
  <c r="BB210" i="1"/>
  <c r="AD210" i="1"/>
  <c r="U210" i="1"/>
  <c r="P210" i="1"/>
  <c r="I210" i="1"/>
  <c r="CX209" i="1"/>
  <c r="CK209" i="1"/>
  <c r="CB209" i="1"/>
  <c r="BN209" i="1"/>
  <c r="BK209" i="1"/>
  <c r="BF209" i="1"/>
  <c r="BB209" i="1"/>
  <c r="AD209" i="1"/>
  <c r="U209" i="1"/>
  <c r="P209" i="1"/>
  <c r="I209" i="1"/>
  <c r="CX208" i="1"/>
  <c r="CK208" i="1"/>
  <c r="CB208" i="1"/>
  <c r="BN208" i="1"/>
  <c r="BK208" i="1"/>
  <c r="BF208" i="1"/>
  <c r="BB208" i="1"/>
  <c r="AD208" i="1"/>
  <c r="U208" i="1"/>
  <c r="P208" i="1"/>
  <c r="I208" i="1"/>
  <c r="CX207" i="1"/>
  <c r="CK207" i="1"/>
  <c r="CB207" i="1"/>
  <c r="BN207" i="1"/>
  <c r="BK207" i="1"/>
  <c r="BF207" i="1"/>
  <c r="BB207" i="1"/>
  <c r="AD207" i="1"/>
  <c r="U207" i="1"/>
  <c r="P207" i="1"/>
  <c r="I207" i="1"/>
  <c r="CX206" i="1"/>
  <c r="CK206" i="1"/>
  <c r="CB206" i="1"/>
  <c r="BN206" i="1"/>
  <c r="BK206" i="1"/>
  <c r="BF206" i="1"/>
  <c r="BB206" i="1"/>
  <c r="AD206" i="1"/>
  <c r="U206" i="1"/>
  <c r="P206" i="1"/>
  <c r="I206" i="1"/>
  <c r="CX205" i="1"/>
  <c r="CK205" i="1"/>
  <c r="CB205" i="1"/>
  <c r="BN205" i="1"/>
  <c r="BK205" i="1"/>
  <c r="BF205" i="1"/>
  <c r="BB205" i="1"/>
  <c r="AD205" i="1"/>
  <c r="U205" i="1"/>
  <c r="P205" i="1"/>
  <c r="I205" i="1"/>
  <c r="CZ204" i="1"/>
  <c r="CY204" i="1"/>
  <c r="CS204" i="1"/>
  <c r="CN204" i="1"/>
  <c r="CL204" i="1"/>
  <c r="CI204" i="1"/>
  <c r="CF204" i="1"/>
  <c r="CD204" i="1"/>
  <c r="CC204" i="1"/>
  <c r="BY204" i="1"/>
  <c r="BX204" i="1"/>
  <c r="BW204" i="1"/>
  <c r="BV204" i="1"/>
  <c r="BU204" i="1"/>
  <c r="BT204" i="1"/>
  <c r="BS204" i="1"/>
  <c r="BR204" i="1"/>
  <c r="BQ204" i="1"/>
  <c r="BP204" i="1"/>
  <c r="BO204" i="1"/>
  <c r="BL204" i="1"/>
  <c r="BI204" i="1"/>
  <c r="BH204" i="1"/>
  <c r="BG204" i="1"/>
  <c r="BE204" i="1"/>
  <c r="BD204" i="1"/>
  <c r="BC204" i="1"/>
  <c r="AZ204" i="1"/>
  <c r="AX204" i="1"/>
  <c r="AW204" i="1"/>
  <c r="AV204" i="1"/>
  <c r="AS204" i="1"/>
  <c r="AR204" i="1"/>
  <c r="AQ204" i="1"/>
  <c r="AO204" i="1"/>
  <c r="AN204" i="1"/>
  <c r="AM204" i="1"/>
  <c r="AL204" i="1"/>
  <c r="AK204" i="1"/>
  <c r="AJ204" i="1"/>
  <c r="AI204" i="1"/>
  <c r="AH204" i="1"/>
  <c r="AG204" i="1"/>
  <c r="AF204" i="1"/>
  <c r="AE204" i="1"/>
  <c r="AC204" i="1"/>
  <c r="AA204" i="1"/>
  <c r="Z204" i="1"/>
  <c r="Y204" i="1"/>
  <c r="X204" i="1"/>
  <c r="W204" i="1"/>
  <c r="V204" i="1"/>
  <c r="T204" i="1"/>
  <c r="S204" i="1"/>
  <c r="R204" i="1"/>
  <c r="Q204" i="1"/>
  <c r="O204" i="1"/>
  <c r="N204" i="1"/>
  <c r="M204" i="1"/>
  <c r="L204" i="1"/>
  <c r="K204" i="1"/>
  <c r="J204" i="1"/>
  <c r="H204" i="1"/>
  <c r="G204" i="1"/>
  <c r="CX203" i="1"/>
  <c r="CK203" i="1"/>
  <c r="CB203" i="1"/>
  <c r="BN203" i="1"/>
  <c r="BK203" i="1"/>
  <c r="BF203" i="1"/>
  <c r="BB203" i="1"/>
  <c r="U203" i="1"/>
  <c r="P203" i="1"/>
  <c r="I203" i="1"/>
  <c r="CX202" i="1"/>
  <c r="CK202" i="1"/>
  <c r="CB202" i="1"/>
  <c r="BN202" i="1"/>
  <c r="BK202" i="1"/>
  <c r="BF202" i="1"/>
  <c r="BB202" i="1"/>
  <c r="U202" i="1"/>
  <c r="P202" i="1"/>
  <c r="I202" i="1"/>
  <c r="CX201" i="1"/>
  <c r="CK201" i="1"/>
  <c r="CB201" i="1"/>
  <c r="BK201" i="1"/>
  <c r="BF201" i="1"/>
  <c r="BB201" i="1"/>
  <c r="U201" i="1"/>
  <c r="P201" i="1"/>
  <c r="I201" i="1"/>
  <c r="CX200" i="1"/>
  <c r="CK200" i="1"/>
  <c r="CB200" i="1"/>
  <c r="BN200" i="1"/>
  <c r="BK200" i="1"/>
  <c r="BF200" i="1"/>
  <c r="BB200" i="1"/>
  <c r="U200" i="1"/>
  <c r="P200" i="1"/>
  <c r="I200" i="1"/>
  <c r="CX199" i="1"/>
  <c r="CK199" i="1"/>
  <c r="CB199" i="1"/>
  <c r="BK199" i="1"/>
  <c r="BF199" i="1"/>
  <c r="BB199" i="1"/>
  <c r="U199" i="1"/>
  <c r="P199" i="1"/>
  <c r="I199" i="1"/>
  <c r="CX198" i="1"/>
  <c r="CK198" i="1"/>
  <c r="CB198" i="1"/>
  <c r="BN198" i="1"/>
  <c r="BK198" i="1"/>
  <c r="BF198" i="1"/>
  <c r="BB198" i="1"/>
  <c r="U198" i="1"/>
  <c r="P198" i="1"/>
  <c r="I198" i="1"/>
  <c r="CX197" i="1"/>
  <c r="CK197" i="1"/>
  <c r="CB197" i="1"/>
  <c r="BN197" i="1"/>
  <c r="BK197" i="1"/>
  <c r="BF197" i="1"/>
  <c r="BB197" i="1"/>
  <c r="U197" i="1"/>
  <c r="P197" i="1"/>
  <c r="I197" i="1"/>
  <c r="CZ196" i="1"/>
  <c r="CY196" i="1"/>
  <c r="CS196" i="1"/>
  <c r="CN196" i="1"/>
  <c r="CL196" i="1"/>
  <c r="CI196" i="1"/>
  <c r="CF196" i="1"/>
  <c r="CD196" i="1"/>
  <c r="CC196" i="1"/>
  <c r="BW196" i="1"/>
  <c r="BV196" i="1"/>
  <c r="BU196" i="1"/>
  <c r="BT196" i="1"/>
  <c r="BS196" i="1"/>
  <c r="BR196" i="1"/>
  <c r="BQ196" i="1"/>
  <c r="BP196" i="1"/>
  <c r="BO196" i="1"/>
  <c r="BL196" i="1"/>
  <c r="BI196" i="1"/>
  <c r="BH196" i="1"/>
  <c r="BG196" i="1"/>
  <c r="BE196" i="1"/>
  <c r="BD196" i="1"/>
  <c r="BC196" i="1"/>
  <c r="AZ196" i="1"/>
  <c r="AX196" i="1"/>
  <c r="AW196" i="1"/>
  <c r="AV196" i="1"/>
  <c r="AS196" i="1"/>
  <c r="AR196" i="1"/>
  <c r="AQ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T196" i="1"/>
  <c r="S196" i="1"/>
  <c r="R196" i="1"/>
  <c r="Q196" i="1"/>
  <c r="O196" i="1"/>
  <c r="N196" i="1"/>
  <c r="M196" i="1"/>
  <c r="L196" i="1"/>
  <c r="K196" i="1"/>
  <c r="J196" i="1"/>
  <c r="CX195" i="1"/>
  <c r="CK195" i="1"/>
  <c r="CB195" i="1"/>
  <c r="BN195" i="1"/>
  <c r="BK195" i="1"/>
  <c r="BF195" i="1"/>
  <c r="BB195" i="1"/>
  <c r="U195" i="1"/>
  <c r="P195" i="1"/>
  <c r="I195" i="1"/>
  <c r="CZ194" i="1"/>
  <c r="CY194" i="1"/>
  <c r="CS194" i="1"/>
  <c r="CN194" i="1"/>
  <c r="CL194" i="1"/>
  <c r="CI194" i="1"/>
  <c r="CF194" i="1"/>
  <c r="CD194" i="1"/>
  <c r="CC194" i="1"/>
  <c r="BY194" i="1"/>
  <c r="BX194" i="1"/>
  <c r="BW194" i="1"/>
  <c r="BV194" i="1"/>
  <c r="BU194" i="1"/>
  <c r="BT194" i="1"/>
  <c r="BS194" i="1"/>
  <c r="BR194" i="1"/>
  <c r="BQ194" i="1"/>
  <c r="BP194" i="1"/>
  <c r="BO194" i="1"/>
  <c r="BL194" i="1"/>
  <c r="BI194" i="1"/>
  <c r="BH194" i="1"/>
  <c r="BG194" i="1"/>
  <c r="BE194" i="1"/>
  <c r="BD194" i="1"/>
  <c r="BC194" i="1"/>
  <c r="AZ194" i="1"/>
  <c r="AX194" i="1"/>
  <c r="AW194" i="1"/>
  <c r="AV194" i="1"/>
  <c r="AS194" i="1"/>
  <c r="AR194" i="1"/>
  <c r="AQ194" i="1"/>
  <c r="AO194" i="1"/>
  <c r="AN194" i="1"/>
  <c r="AM194" i="1"/>
  <c r="AL194" i="1"/>
  <c r="AK194" i="1"/>
  <c r="AJ194" i="1"/>
  <c r="AI194" i="1"/>
  <c r="AH194" i="1"/>
  <c r="AG194" i="1"/>
  <c r="AF194" i="1"/>
  <c r="AE194" i="1"/>
  <c r="AC194" i="1"/>
  <c r="AB194" i="1"/>
  <c r="AA194" i="1"/>
  <c r="Z194" i="1"/>
  <c r="Y194" i="1"/>
  <c r="X194" i="1"/>
  <c r="W194" i="1"/>
  <c r="V194" i="1"/>
  <c r="T194" i="1"/>
  <c r="S194" i="1"/>
  <c r="R194" i="1"/>
  <c r="Q194" i="1"/>
  <c r="O194" i="1"/>
  <c r="N194" i="1"/>
  <c r="M194" i="1"/>
  <c r="L194" i="1"/>
  <c r="K194" i="1"/>
  <c r="J194" i="1"/>
  <c r="H194" i="1"/>
  <c r="G194" i="1"/>
  <c r="CX193" i="1"/>
  <c r="CK193" i="1"/>
  <c r="CB193" i="1"/>
  <c r="BN193" i="1"/>
  <c r="BK193" i="1"/>
  <c r="BF193" i="1"/>
  <c r="BB193" i="1"/>
  <c r="AD193" i="1"/>
  <c r="U193" i="1"/>
  <c r="P193" i="1"/>
  <c r="I193" i="1"/>
  <c r="CZ192" i="1"/>
  <c r="CY192" i="1"/>
  <c r="CS192" i="1"/>
  <c r="CN192" i="1"/>
  <c r="CL192" i="1"/>
  <c r="CI192" i="1"/>
  <c r="CF192" i="1"/>
  <c r="CD192" i="1"/>
  <c r="CC192" i="1"/>
  <c r="BY192" i="1"/>
  <c r="BX192" i="1"/>
  <c r="BW192" i="1"/>
  <c r="BV192" i="1"/>
  <c r="BU192" i="1"/>
  <c r="BT192" i="1"/>
  <c r="BS192" i="1"/>
  <c r="BR192" i="1"/>
  <c r="BQ192" i="1"/>
  <c r="BP192" i="1"/>
  <c r="BO192" i="1"/>
  <c r="BL192" i="1"/>
  <c r="BI192" i="1"/>
  <c r="BH192" i="1"/>
  <c r="BG192" i="1"/>
  <c r="BE192" i="1"/>
  <c r="BD192" i="1"/>
  <c r="BC192" i="1"/>
  <c r="AZ192" i="1"/>
  <c r="AX192" i="1"/>
  <c r="AW192" i="1"/>
  <c r="AV192" i="1"/>
  <c r="AS192" i="1"/>
  <c r="AR192" i="1"/>
  <c r="AQ192" i="1"/>
  <c r="AO192" i="1"/>
  <c r="AN192" i="1"/>
  <c r="AM192" i="1"/>
  <c r="AL192" i="1"/>
  <c r="AK192" i="1"/>
  <c r="AJ192" i="1"/>
  <c r="AI192" i="1"/>
  <c r="AH192" i="1"/>
  <c r="AG192" i="1"/>
  <c r="AF192" i="1"/>
  <c r="AE192" i="1"/>
  <c r="AC192" i="1"/>
  <c r="AB192" i="1"/>
  <c r="AA192" i="1"/>
  <c r="Z192" i="1"/>
  <c r="Y192" i="1"/>
  <c r="X192" i="1"/>
  <c r="W192" i="1"/>
  <c r="V192" i="1"/>
  <c r="T192" i="1"/>
  <c r="S192" i="1"/>
  <c r="R192" i="1"/>
  <c r="Q192" i="1"/>
  <c r="O192" i="1"/>
  <c r="N192" i="1"/>
  <c r="M192" i="1"/>
  <c r="L192" i="1"/>
  <c r="K192" i="1"/>
  <c r="J192" i="1"/>
  <c r="H192" i="1"/>
  <c r="G192" i="1"/>
  <c r="CX191" i="1"/>
  <c r="CK191" i="1"/>
  <c r="CB191" i="1"/>
  <c r="BN191" i="1"/>
  <c r="BK191" i="1"/>
  <c r="BF191" i="1"/>
  <c r="BB191" i="1"/>
  <c r="AD191" i="1"/>
  <c r="U191" i="1"/>
  <c r="P191" i="1"/>
  <c r="I191" i="1"/>
  <c r="CZ190" i="1"/>
  <c r="CY190" i="1"/>
  <c r="CS190" i="1"/>
  <c r="CN190" i="1"/>
  <c r="CL190" i="1"/>
  <c r="CI190" i="1"/>
  <c r="CF190" i="1"/>
  <c r="CD190" i="1"/>
  <c r="CC190" i="1"/>
  <c r="BY190" i="1"/>
  <c r="BX190" i="1"/>
  <c r="BW190" i="1"/>
  <c r="BV190" i="1"/>
  <c r="BU190" i="1"/>
  <c r="BT190" i="1"/>
  <c r="BS190" i="1"/>
  <c r="BR190" i="1"/>
  <c r="BQ190" i="1"/>
  <c r="BP190" i="1"/>
  <c r="BO190" i="1"/>
  <c r="BL190" i="1"/>
  <c r="BI190" i="1"/>
  <c r="BH190" i="1"/>
  <c r="BG190" i="1"/>
  <c r="BE190" i="1"/>
  <c r="BD190" i="1"/>
  <c r="BC190" i="1"/>
  <c r="AZ190" i="1"/>
  <c r="AX190" i="1"/>
  <c r="AW190" i="1"/>
  <c r="AV190" i="1"/>
  <c r="AS190" i="1"/>
  <c r="AR190" i="1"/>
  <c r="AQ190" i="1"/>
  <c r="AO190" i="1"/>
  <c r="AN190" i="1"/>
  <c r="AM190" i="1"/>
  <c r="AL190" i="1"/>
  <c r="AK190" i="1"/>
  <c r="AJ190" i="1"/>
  <c r="AI190" i="1"/>
  <c r="AH190" i="1"/>
  <c r="AG190" i="1"/>
  <c r="AF190" i="1"/>
  <c r="AE190" i="1"/>
  <c r="AC190" i="1"/>
  <c r="AB190" i="1"/>
  <c r="AA190" i="1"/>
  <c r="Z190" i="1"/>
  <c r="Y190" i="1"/>
  <c r="X190" i="1"/>
  <c r="W190" i="1"/>
  <c r="V190" i="1"/>
  <c r="T190" i="1"/>
  <c r="S190" i="1"/>
  <c r="R190" i="1"/>
  <c r="Q190" i="1"/>
  <c r="O190" i="1"/>
  <c r="N190" i="1"/>
  <c r="M190" i="1"/>
  <c r="L190" i="1"/>
  <c r="K190" i="1"/>
  <c r="J190" i="1"/>
  <c r="H190" i="1"/>
  <c r="G190" i="1"/>
  <c r="CX189" i="1"/>
  <c r="CK189" i="1"/>
  <c r="CB189" i="1"/>
  <c r="BK189" i="1"/>
  <c r="BF189" i="1"/>
  <c r="BB189" i="1"/>
  <c r="AD189" i="1"/>
  <c r="U189" i="1"/>
  <c r="P189" i="1"/>
  <c r="I189" i="1"/>
  <c r="CZ188" i="1"/>
  <c r="CY188" i="1"/>
  <c r="CS188" i="1"/>
  <c r="CN188" i="1"/>
  <c r="CL188" i="1"/>
  <c r="CI188" i="1"/>
  <c r="CF188" i="1"/>
  <c r="CD188" i="1"/>
  <c r="CC188" i="1"/>
  <c r="BY188" i="1"/>
  <c r="BW188" i="1"/>
  <c r="BV188" i="1"/>
  <c r="BU188" i="1"/>
  <c r="BT188" i="1"/>
  <c r="BS188" i="1"/>
  <c r="BR188" i="1"/>
  <c r="BQ188" i="1"/>
  <c r="BP188" i="1"/>
  <c r="BO188" i="1"/>
  <c r="BL188" i="1"/>
  <c r="BI188" i="1"/>
  <c r="BH188" i="1"/>
  <c r="BG188" i="1"/>
  <c r="BE188" i="1"/>
  <c r="BD188" i="1"/>
  <c r="BC188" i="1"/>
  <c r="AZ188" i="1"/>
  <c r="AX188" i="1"/>
  <c r="AW188" i="1"/>
  <c r="AV188" i="1"/>
  <c r="AS188" i="1"/>
  <c r="AR188" i="1"/>
  <c r="AQ188" i="1"/>
  <c r="AO188" i="1"/>
  <c r="AN188" i="1"/>
  <c r="AM188" i="1"/>
  <c r="AL188" i="1"/>
  <c r="AK188" i="1"/>
  <c r="AJ188" i="1"/>
  <c r="AI188" i="1"/>
  <c r="AH188" i="1"/>
  <c r="AG188" i="1"/>
  <c r="AF188" i="1"/>
  <c r="AE188" i="1"/>
  <c r="AC188" i="1"/>
  <c r="AB188" i="1"/>
  <c r="AA188" i="1"/>
  <c r="Z188" i="1"/>
  <c r="Y188" i="1"/>
  <c r="X188" i="1"/>
  <c r="W188" i="1"/>
  <c r="V188" i="1"/>
  <c r="T188" i="1"/>
  <c r="S188" i="1"/>
  <c r="R188" i="1"/>
  <c r="Q188" i="1"/>
  <c r="O188" i="1"/>
  <c r="N188" i="1"/>
  <c r="M188" i="1"/>
  <c r="L188" i="1"/>
  <c r="K188" i="1"/>
  <c r="J188" i="1"/>
  <c r="H188" i="1"/>
  <c r="G188" i="1"/>
  <c r="CX187" i="1"/>
  <c r="CK187" i="1"/>
  <c r="CB187" i="1"/>
  <c r="BN187" i="1"/>
  <c r="BK187" i="1"/>
  <c r="BF187" i="1"/>
  <c r="BB187" i="1"/>
  <c r="AD187" i="1"/>
  <c r="U187" i="1"/>
  <c r="P187" i="1"/>
  <c r="I187" i="1"/>
  <c r="CX186" i="1"/>
  <c r="CK186" i="1"/>
  <c r="CB186" i="1"/>
  <c r="BN186" i="1"/>
  <c r="BK186" i="1"/>
  <c r="BF186" i="1"/>
  <c r="BB186" i="1"/>
  <c r="AD186" i="1"/>
  <c r="U186" i="1"/>
  <c r="P186" i="1"/>
  <c r="I186" i="1"/>
  <c r="CX185" i="1"/>
  <c r="CK185" i="1"/>
  <c r="CB185" i="1"/>
  <c r="BN185" i="1"/>
  <c r="BK185" i="1"/>
  <c r="BF185" i="1"/>
  <c r="BB185" i="1"/>
  <c r="AD185" i="1"/>
  <c r="U185" i="1"/>
  <c r="P185" i="1"/>
  <c r="I185" i="1"/>
  <c r="CZ184" i="1"/>
  <c r="CY184" i="1"/>
  <c r="CS184" i="1"/>
  <c r="CN184" i="1"/>
  <c r="CL184" i="1"/>
  <c r="CI184" i="1"/>
  <c r="CF184" i="1"/>
  <c r="CD184" i="1"/>
  <c r="CC184" i="1"/>
  <c r="BY184" i="1"/>
  <c r="BX184" i="1"/>
  <c r="BW184" i="1"/>
  <c r="BV184" i="1"/>
  <c r="BU184" i="1"/>
  <c r="BT184" i="1"/>
  <c r="BS184" i="1"/>
  <c r="BR184" i="1"/>
  <c r="BQ184" i="1"/>
  <c r="BP184" i="1"/>
  <c r="BO184" i="1"/>
  <c r="BL184" i="1"/>
  <c r="BI184" i="1"/>
  <c r="BH184" i="1"/>
  <c r="BG184" i="1"/>
  <c r="BE184" i="1"/>
  <c r="BD184" i="1"/>
  <c r="BC184" i="1"/>
  <c r="AZ184" i="1"/>
  <c r="AX184" i="1"/>
  <c r="AW184" i="1"/>
  <c r="AV184" i="1"/>
  <c r="AS184" i="1"/>
  <c r="AR184" i="1"/>
  <c r="AQ184" i="1"/>
  <c r="AO184" i="1"/>
  <c r="AN184" i="1"/>
  <c r="AM184" i="1"/>
  <c r="AL184" i="1"/>
  <c r="AK184" i="1"/>
  <c r="AJ184" i="1"/>
  <c r="AI184" i="1"/>
  <c r="AH184" i="1"/>
  <c r="AG184" i="1"/>
  <c r="AF184" i="1"/>
  <c r="AE184" i="1"/>
  <c r="AC184" i="1"/>
  <c r="AB184" i="1"/>
  <c r="AA184" i="1"/>
  <c r="Z184" i="1"/>
  <c r="Y184" i="1"/>
  <c r="X184" i="1"/>
  <c r="W184" i="1"/>
  <c r="V184" i="1"/>
  <c r="T184" i="1"/>
  <c r="S184" i="1"/>
  <c r="R184" i="1"/>
  <c r="Q184" i="1"/>
  <c r="O184" i="1"/>
  <c r="N184" i="1"/>
  <c r="M184" i="1"/>
  <c r="L184" i="1"/>
  <c r="K184" i="1"/>
  <c r="J184" i="1"/>
  <c r="CX183" i="1"/>
  <c r="CK183" i="1"/>
  <c r="CB183" i="1"/>
  <c r="BN183" i="1"/>
  <c r="BK183" i="1"/>
  <c r="BF183" i="1"/>
  <c r="BB183" i="1"/>
  <c r="AD183" i="1"/>
  <c r="U183" i="1"/>
  <c r="P183" i="1"/>
  <c r="I183" i="1"/>
  <c r="CX182" i="1"/>
  <c r="CK182" i="1"/>
  <c r="CB182" i="1"/>
  <c r="BN182" i="1"/>
  <c r="BK182" i="1"/>
  <c r="BF182" i="1"/>
  <c r="BB182" i="1"/>
  <c r="AD182" i="1"/>
  <c r="U182" i="1"/>
  <c r="P182" i="1"/>
  <c r="I182" i="1"/>
  <c r="CX180" i="1"/>
  <c r="CK180" i="1"/>
  <c r="CB180" i="1"/>
  <c r="BN180" i="1"/>
  <c r="BK180" i="1"/>
  <c r="BF180" i="1"/>
  <c r="BB180" i="1"/>
  <c r="AD180" i="1"/>
  <c r="U180" i="1"/>
  <c r="P180" i="1"/>
  <c r="I180" i="1"/>
  <c r="CZ179" i="1"/>
  <c r="CY179" i="1"/>
  <c r="CS179" i="1"/>
  <c r="CN179" i="1"/>
  <c r="CL179" i="1"/>
  <c r="CI179" i="1"/>
  <c r="CF179" i="1"/>
  <c r="CD179" i="1"/>
  <c r="CC179" i="1"/>
  <c r="BY179" i="1"/>
  <c r="BX179" i="1"/>
  <c r="BW179" i="1"/>
  <c r="BV179" i="1"/>
  <c r="BU179" i="1"/>
  <c r="BT179" i="1"/>
  <c r="BS179" i="1"/>
  <c r="BR179" i="1"/>
  <c r="BQ179" i="1"/>
  <c r="BP179" i="1"/>
  <c r="BO179" i="1"/>
  <c r="BL179" i="1"/>
  <c r="BI179" i="1"/>
  <c r="BH179" i="1"/>
  <c r="BG179" i="1"/>
  <c r="BE179" i="1"/>
  <c r="BD179" i="1"/>
  <c r="BC179" i="1"/>
  <c r="AZ179" i="1"/>
  <c r="AX179" i="1"/>
  <c r="AW179" i="1"/>
  <c r="AV179" i="1"/>
  <c r="AS179" i="1"/>
  <c r="AR179" i="1"/>
  <c r="AQ179" i="1"/>
  <c r="AO179" i="1"/>
  <c r="AN179" i="1"/>
  <c r="AM179" i="1"/>
  <c r="AL179" i="1"/>
  <c r="AK179" i="1"/>
  <c r="AJ179" i="1"/>
  <c r="AI179" i="1"/>
  <c r="AH179" i="1"/>
  <c r="AG179" i="1"/>
  <c r="AF179" i="1"/>
  <c r="AE179" i="1"/>
  <c r="AC179" i="1"/>
  <c r="AB179" i="1"/>
  <c r="AA179" i="1"/>
  <c r="Z179" i="1"/>
  <c r="Y179" i="1"/>
  <c r="X179" i="1"/>
  <c r="W179" i="1"/>
  <c r="V179" i="1"/>
  <c r="T179" i="1"/>
  <c r="S179" i="1"/>
  <c r="R179" i="1"/>
  <c r="Q179" i="1"/>
  <c r="O179" i="1"/>
  <c r="N179" i="1"/>
  <c r="M179" i="1"/>
  <c r="L179" i="1"/>
  <c r="K179" i="1"/>
  <c r="J179" i="1"/>
  <c r="H179" i="1"/>
  <c r="CX178" i="1"/>
  <c r="CK178" i="1"/>
  <c r="CB178" i="1"/>
  <c r="BN178" i="1"/>
  <c r="BK178" i="1"/>
  <c r="BF178" i="1"/>
  <c r="BB178" i="1"/>
  <c r="U178" i="1"/>
  <c r="P178" i="1"/>
  <c r="I178" i="1"/>
  <c r="CZ177" i="1"/>
  <c r="CY177" i="1"/>
  <c r="CS177" i="1"/>
  <c r="CN177" i="1"/>
  <c r="CL177" i="1"/>
  <c r="CI177" i="1"/>
  <c r="CF177" i="1"/>
  <c r="CD177" i="1"/>
  <c r="CC177" i="1"/>
  <c r="BY177" i="1"/>
  <c r="BX177" i="1"/>
  <c r="BW177" i="1"/>
  <c r="BV177" i="1"/>
  <c r="BU177" i="1"/>
  <c r="BT177" i="1"/>
  <c r="BS177" i="1"/>
  <c r="BR177" i="1"/>
  <c r="BQ177" i="1"/>
  <c r="BP177" i="1"/>
  <c r="BO177" i="1"/>
  <c r="BL177" i="1"/>
  <c r="BI177" i="1"/>
  <c r="BH177" i="1"/>
  <c r="BG177" i="1"/>
  <c r="BE177" i="1"/>
  <c r="BD177" i="1"/>
  <c r="BC177" i="1"/>
  <c r="AZ177" i="1"/>
  <c r="AX177" i="1"/>
  <c r="AW177" i="1"/>
  <c r="AV177" i="1"/>
  <c r="AS177" i="1"/>
  <c r="AR177" i="1"/>
  <c r="AQ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T177" i="1"/>
  <c r="S177" i="1"/>
  <c r="R177" i="1"/>
  <c r="Q177" i="1"/>
  <c r="O177" i="1"/>
  <c r="N177" i="1"/>
  <c r="M177" i="1"/>
  <c r="L177" i="1"/>
  <c r="K177" i="1"/>
  <c r="J177" i="1"/>
  <c r="H177" i="1"/>
  <c r="G177" i="1"/>
  <c r="CX176" i="1"/>
  <c r="CK176" i="1"/>
  <c r="CB176" i="1"/>
  <c r="BN176" i="1"/>
  <c r="BK176" i="1"/>
  <c r="BF176" i="1"/>
  <c r="BB176" i="1"/>
  <c r="AD176" i="1"/>
  <c r="U176" i="1"/>
  <c r="P176" i="1"/>
  <c r="I176" i="1"/>
  <c r="CX175" i="1"/>
  <c r="CK175" i="1"/>
  <c r="CB175" i="1"/>
  <c r="BN175" i="1"/>
  <c r="BK175" i="1"/>
  <c r="BF175" i="1"/>
  <c r="BB175" i="1"/>
  <c r="AD175" i="1"/>
  <c r="U175" i="1"/>
  <c r="P175" i="1"/>
  <c r="I175" i="1"/>
  <c r="CZ174" i="1"/>
  <c r="CY174" i="1"/>
  <c r="CS174" i="1"/>
  <c r="CN174" i="1"/>
  <c r="CL174" i="1"/>
  <c r="CI174" i="1"/>
  <c r="CF174" i="1"/>
  <c r="CD174" i="1"/>
  <c r="CC174" i="1"/>
  <c r="BY174" i="1"/>
  <c r="BX174" i="1"/>
  <c r="BW174" i="1"/>
  <c r="BV174" i="1"/>
  <c r="BU174" i="1"/>
  <c r="BT174" i="1"/>
  <c r="BS174" i="1"/>
  <c r="BR174" i="1"/>
  <c r="BQ174" i="1"/>
  <c r="BP174" i="1"/>
  <c r="BO174" i="1"/>
  <c r="BL174" i="1"/>
  <c r="BI174" i="1"/>
  <c r="BH174" i="1"/>
  <c r="BG174" i="1"/>
  <c r="BE174" i="1"/>
  <c r="BD174" i="1"/>
  <c r="BC174" i="1"/>
  <c r="AZ174" i="1"/>
  <c r="AX174" i="1"/>
  <c r="AW174" i="1"/>
  <c r="AV174" i="1"/>
  <c r="AU174" i="1"/>
  <c r="AT174" i="1"/>
  <c r="AS174" i="1"/>
  <c r="AR174" i="1"/>
  <c r="AQ174" i="1"/>
  <c r="AO174" i="1"/>
  <c r="AN174" i="1"/>
  <c r="AM174" i="1"/>
  <c r="AL174" i="1"/>
  <c r="AK174" i="1"/>
  <c r="AJ174" i="1"/>
  <c r="AI174" i="1"/>
  <c r="AH174" i="1"/>
  <c r="AG174" i="1"/>
  <c r="AF174" i="1"/>
  <c r="AE174" i="1"/>
  <c r="AC174" i="1"/>
  <c r="AB174" i="1"/>
  <c r="AA174" i="1"/>
  <c r="Z174" i="1"/>
  <c r="Y174" i="1"/>
  <c r="X174" i="1"/>
  <c r="W174" i="1"/>
  <c r="V174" i="1"/>
  <c r="T174" i="1"/>
  <c r="S174" i="1"/>
  <c r="R174" i="1"/>
  <c r="Q174" i="1"/>
  <c r="O174" i="1"/>
  <c r="N174" i="1"/>
  <c r="M174" i="1"/>
  <c r="L174" i="1"/>
  <c r="K174" i="1"/>
  <c r="J174" i="1"/>
  <c r="G174" i="1"/>
  <c r="CX173" i="1"/>
  <c r="CK173" i="1"/>
  <c r="CB173" i="1"/>
  <c r="BN173" i="1"/>
  <c r="BK173" i="1"/>
  <c r="BF173" i="1"/>
  <c r="BB173" i="1"/>
  <c r="AD173" i="1"/>
  <c r="U173" i="1"/>
  <c r="P173" i="1"/>
  <c r="I173" i="1"/>
  <c r="CX172" i="1"/>
  <c r="CK172" i="1"/>
  <c r="CB172" i="1"/>
  <c r="BN172" i="1"/>
  <c r="BK172" i="1"/>
  <c r="BF172" i="1"/>
  <c r="BB172" i="1"/>
  <c r="AD172" i="1"/>
  <c r="U172" i="1"/>
  <c r="P172" i="1"/>
  <c r="CZ171" i="1"/>
  <c r="CY171" i="1"/>
  <c r="CS171" i="1"/>
  <c r="CP171" i="1"/>
  <c r="CN171" i="1"/>
  <c r="CL171" i="1"/>
  <c r="CI171" i="1"/>
  <c r="CF171" i="1"/>
  <c r="CD171" i="1"/>
  <c r="CC171" i="1"/>
  <c r="BY171" i="1"/>
  <c r="BX171" i="1"/>
  <c r="BW171" i="1"/>
  <c r="BV171" i="1"/>
  <c r="BU171" i="1"/>
  <c r="BT171" i="1"/>
  <c r="BS171" i="1"/>
  <c r="BR171" i="1"/>
  <c r="BQ171" i="1"/>
  <c r="BP171" i="1"/>
  <c r="BO171" i="1"/>
  <c r="BL171" i="1"/>
  <c r="BI171" i="1"/>
  <c r="BH171" i="1"/>
  <c r="BG171" i="1"/>
  <c r="BE171" i="1"/>
  <c r="BD171" i="1"/>
  <c r="BC171" i="1"/>
  <c r="AZ171" i="1"/>
  <c r="AX171" i="1"/>
  <c r="AW171" i="1"/>
  <c r="AV171" i="1"/>
  <c r="AU171" i="1"/>
  <c r="AT171" i="1"/>
  <c r="AS171" i="1"/>
  <c r="AR171" i="1"/>
  <c r="AQ171" i="1"/>
  <c r="AO171" i="1"/>
  <c r="AN171" i="1"/>
  <c r="AM171" i="1"/>
  <c r="AL171" i="1"/>
  <c r="AK171" i="1"/>
  <c r="AJ171" i="1"/>
  <c r="AI171" i="1"/>
  <c r="AH171" i="1"/>
  <c r="AG171" i="1"/>
  <c r="AF171" i="1"/>
  <c r="AE171" i="1"/>
  <c r="AC171" i="1"/>
  <c r="AB171" i="1"/>
  <c r="AA171" i="1"/>
  <c r="Z171" i="1"/>
  <c r="Y171" i="1"/>
  <c r="X171" i="1"/>
  <c r="W171" i="1"/>
  <c r="V171" i="1"/>
  <c r="T171" i="1"/>
  <c r="S171" i="1"/>
  <c r="R171" i="1"/>
  <c r="Q171" i="1"/>
  <c r="N171" i="1"/>
  <c r="M171" i="1"/>
  <c r="L171" i="1"/>
  <c r="K171" i="1"/>
  <c r="J171" i="1"/>
  <c r="H171" i="1"/>
  <c r="G171" i="1"/>
  <c r="CX170" i="1"/>
  <c r="CK170" i="1"/>
  <c r="CB170" i="1"/>
  <c r="BN170" i="1"/>
  <c r="BK170" i="1"/>
  <c r="BF170" i="1"/>
  <c r="BB170" i="1"/>
  <c r="AD170" i="1"/>
  <c r="U170" i="1"/>
  <c r="P170" i="1"/>
  <c r="O169" i="1"/>
  <c r="L169" i="1"/>
  <c r="K169" i="1"/>
  <c r="CZ169" i="1"/>
  <c r="CY169" i="1"/>
  <c r="CS169" i="1"/>
  <c r="CN169" i="1"/>
  <c r="CL169" i="1"/>
  <c r="CI169" i="1"/>
  <c r="CF169" i="1"/>
  <c r="CC169" i="1"/>
  <c r="BY169" i="1"/>
  <c r="BX169" i="1"/>
  <c r="BW169" i="1"/>
  <c r="BV169" i="1"/>
  <c r="BU169" i="1"/>
  <c r="BT169" i="1"/>
  <c r="BS169" i="1"/>
  <c r="BR169" i="1"/>
  <c r="BQ169" i="1"/>
  <c r="BP169" i="1"/>
  <c r="BO169" i="1"/>
  <c r="BL169" i="1"/>
  <c r="BI169" i="1"/>
  <c r="BH169" i="1"/>
  <c r="BG169" i="1"/>
  <c r="BE169" i="1"/>
  <c r="BD169" i="1"/>
  <c r="BC169" i="1"/>
  <c r="AZ169" i="1"/>
  <c r="AX169" i="1"/>
  <c r="AW169" i="1"/>
  <c r="AV169" i="1"/>
  <c r="AU169" i="1"/>
  <c r="AT169" i="1"/>
  <c r="AS169" i="1"/>
  <c r="AR169" i="1"/>
  <c r="AQ169" i="1"/>
  <c r="AO169" i="1"/>
  <c r="AN169" i="1"/>
  <c r="AM169" i="1"/>
  <c r="AL169" i="1"/>
  <c r="AK169" i="1"/>
  <c r="AJ169" i="1"/>
  <c r="AI169" i="1"/>
  <c r="AG169" i="1"/>
  <c r="AF169" i="1"/>
  <c r="AE169" i="1"/>
  <c r="AC169" i="1"/>
  <c r="AB169" i="1"/>
  <c r="AA169" i="1"/>
  <c r="Z169" i="1"/>
  <c r="Y169" i="1"/>
  <c r="X169" i="1"/>
  <c r="W169" i="1"/>
  <c r="V169" i="1"/>
  <c r="T169" i="1"/>
  <c r="S169" i="1"/>
  <c r="R169" i="1"/>
  <c r="Q169" i="1"/>
  <c r="N169" i="1"/>
  <c r="M169" i="1"/>
  <c r="H169" i="1"/>
  <c r="G169" i="1"/>
  <c r="CX165" i="1"/>
  <c r="CB165" i="1"/>
  <c r="BN165" i="1"/>
  <c r="BK165" i="1"/>
  <c r="BF165" i="1"/>
  <c r="BB165" i="1"/>
  <c r="P165" i="1"/>
  <c r="CX164" i="1"/>
  <c r="CK164" i="1"/>
  <c r="CB164" i="1"/>
  <c r="BN164" i="1"/>
  <c r="BK164" i="1"/>
  <c r="BF164" i="1"/>
  <c r="BB164" i="1"/>
  <c r="AD164" i="1"/>
  <c r="U164" i="1"/>
  <c r="P164" i="1"/>
  <c r="I164" i="1"/>
  <c r="CZ163" i="1"/>
  <c r="CY163" i="1"/>
  <c r="CS163" i="1"/>
  <c r="CN163" i="1"/>
  <c r="CI163" i="1"/>
  <c r="CF163" i="1"/>
  <c r="CD163" i="1"/>
  <c r="CC163" i="1"/>
  <c r="BY163" i="1"/>
  <c r="BX163" i="1"/>
  <c r="BW163" i="1"/>
  <c r="BV163" i="1"/>
  <c r="BU163" i="1"/>
  <c r="BT163" i="1"/>
  <c r="BS163" i="1"/>
  <c r="BR163" i="1"/>
  <c r="BQ163" i="1"/>
  <c r="BP163" i="1"/>
  <c r="BO163" i="1"/>
  <c r="BL163" i="1"/>
  <c r="BI163" i="1"/>
  <c r="BH163" i="1"/>
  <c r="BG163" i="1"/>
  <c r="BE163" i="1"/>
  <c r="BD163" i="1"/>
  <c r="BC163" i="1"/>
  <c r="AZ163" i="1"/>
  <c r="AX163" i="1"/>
  <c r="AW163" i="1"/>
  <c r="AV163" i="1"/>
  <c r="AS163" i="1"/>
  <c r="AR163" i="1"/>
  <c r="AQ163" i="1"/>
  <c r="AO163" i="1"/>
  <c r="AN163" i="1"/>
  <c r="AL163" i="1"/>
  <c r="AK163" i="1"/>
  <c r="AJ163" i="1"/>
  <c r="AI163" i="1"/>
  <c r="AF163" i="1"/>
  <c r="AE163" i="1"/>
  <c r="AC163" i="1"/>
  <c r="AB163" i="1"/>
  <c r="AA163" i="1"/>
  <c r="Z163" i="1"/>
  <c r="Y163" i="1"/>
  <c r="X163" i="1"/>
  <c r="W163" i="1"/>
  <c r="V163" i="1"/>
  <c r="S163" i="1"/>
  <c r="R163" i="1"/>
  <c r="Q163" i="1"/>
  <c r="O163" i="1"/>
  <c r="M163" i="1"/>
  <c r="L163" i="1"/>
  <c r="K163" i="1"/>
  <c r="J163" i="1"/>
  <c r="CX162" i="1"/>
  <c r="CK162" i="1"/>
  <c r="CB162" i="1"/>
  <c r="BN162" i="1"/>
  <c r="BK162" i="1"/>
  <c r="BF162" i="1"/>
  <c r="BB162" i="1"/>
  <c r="U162" i="1"/>
  <c r="P162" i="1"/>
  <c r="I162" i="1"/>
  <c r="CZ160" i="1"/>
  <c r="CZ159" i="1" s="1"/>
  <c r="CY160" i="1"/>
  <c r="CS160" i="1"/>
  <c r="CN160" i="1"/>
  <c r="CN159" i="1" s="1"/>
  <c r="CL160" i="1"/>
  <c r="CI160" i="1"/>
  <c r="CF160" i="1"/>
  <c r="CC160" i="1"/>
  <c r="CC159" i="1" s="1"/>
  <c r="BY160" i="1"/>
  <c r="BY159" i="1" s="1"/>
  <c r="BX160" i="1"/>
  <c r="BW160" i="1"/>
  <c r="BV160" i="1"/>
  <c r="BV159" i="1" s="1"/>
  <c r="BU160" i="1"/>
  <c r="BU159" i="1" s="1"/>
  <c r="BT160" i="1"/>
  <c r="BS160" i="1"/>
  <c r="BR160" i="1"/>
  <c r="BR159" i="1" s="1"/>
  <c r="BQ160" i="1"/>
  <c r="BQ159" i="1" s="1"/>
  <c r="BP160" i="1"/>
  <c r="BO160" i="1"/>
  <c r="BL160" i="1"/>
  <c r="BL159" i="1" s="1"/>
  <c r="BI160" i="1"/>
  <c r="BI159" i="1" s="1"/>
  <c r="BH160" i="1"/>
  <c r="BG160" i="1"/>
  <c r="BE160" i="1"/>
  <c r="BE159" i="1" s="1"/>
  <c r="BD160" i="1"/>
  <c r="BD159" i="1" s="1"/>
  <c r="BC160" i="1"/>
  <c r="AX160" i="1"/>
  <c r="AW160" i="1"/>
  <c r="AV160" i="1"/>
  <c r="AS160" i="1"/>
  <c r="AQ160" i="1"/>
  <c r="AO160" i="1"/>
  <c r="AN160" i="1"/>
  <c r="AM160" i="1"/>
  <c r="AL160" i="1"/>
  <c r="AK160" i="1"/>
  <c r="AJ160" i="1"/>
  <c r="AI160" i="1"/>
  <c r="AH160" i="1"/>
  <c r="AG160" i="1"/>
  <c r="AF160" i="1"/>
  <c r="AE160" i="1"/>
  <c r="AC160" i="1"/>
  <c r="AB160" i="1"/>
  <c r="AA160" i="1"/>
  <c r="Z160" i="1"/>
  <c r="Y160" i="1"/>
  <c r="W160" i="1"/>
  <c r="W159" i="1" s="1"/>
  <c r="V160" i="1"/>
  <c r="V159" i="1" s="1"/>
  <c r="S160" i="1"/>
  <c r="Q160" i="1"/>
  <c r="M160" i="1"/>
  <c r="L160" i="1"/>
  <c r="K160" i="1"/>
  <c r="J160" i="1"/>
  <c r="CX158" i="1"/>
  <c r="CK158" i="1"/>
  <c r="CB158" i="1"/>
  <c r="BN158" i="1"/>
  <c r="BK158" i="1"/>
  <c r="BF158" i="1"/>
  <c r="BB158" i="1"/>
  <c r="AD158" i="1"/>
  <c r="U158" i="1"/>
  <c r="P158" i="1"/>
  <c r="I158" i="1"/>
  <c r="CX157" i="1"/>
  <c r="CK157" i="1"/>
  <c r="CB157" i="1"/>
  <c r="BN157" i="1"/>
  <c r="BK157" i="1"/>
  <c r="BF157" i="1"/>
  <c r="BB157" i="1"/>
  <c r="AD157" i="1"/>
  <c r="U157" i="1"/>
  <c r="P157" i="1"/>
  <c r="I157" i="1"/>
  <c r="CX156" i="1"/>
  <c r="CK156" i="1"/>
  <c r="CB156" i="1"/>
  <c r="BN156" i="1"/>
  <c r="BK156" i="1"/>
  <c r="BF156" i="1"/>
  <c r="BB156" i="1"/>
  <c r="AD156" i="1"/>
  <c r="U156" i="1"/>
  <c r="P156" i="1"/>
  <c r="I156" i="1"/>
  <c r="CX155" i="1"/>
  <c r="CK155" i="1"/>
  <c r="CB155" i="1"/>
  <c r="BN155" i="1"/>
  <c r="BK155" i="1"/>
  <c r="BF155" i="1"/>
  <c r="BB155" i="1"/>
  <c r="AD155" i="1"/>
  <c r="U155" i="1"/>
  <c r="P155" i="1"/>
  <c r="I155" i="1"/>
  <c r="CX154" i="1"/>
  <c r="CK154" i="1"/>
  <c r="BN154" i="1"/>
  <c r="BK154" i="1"/>
  <c r="BF154" i="1"/>
  <c r="BB154" i="1"/>
  <c r="U154" i="1"/>
  <c r="P154" i="1"/>
  <c r="CZ153" i="1"/>
  <c r="CY153" i="1"/>
  <c r="CS153" i="1"/>
  <c r="CN153" i="1"/>
  <c r="CL153" i="1"/>
  <c r="CI153" i="1"/>
  <c r="CF153" i="1"/>
  <c r="CC153" i="1"/>
  <c r="BY153" i="1"/>
  <c r="BX153" i="1"/>
  <c r="BW153" i="1"/>
  <c r="BV153" i="1"/>
  <c r="BU153" i="1"/>
  <c r="BT153" i="1"/>
  <c r="BS153" i="1"/>
  <c r="BR153" i="1"/>
  <c r="BQ153" i="1"/>
  <c r="BP153" i="1"/>
  <c r="BO153" i="1"/>
  <c r="BL153" i="1"/>
  <c r="BI153" i="1"/>
  <c r="BH153" i="1"/>
  <c r="BG153" i="1"/>
  <c r="BE153" i="1"/>
  <c r="BD153" i="1"/>
  <c r="BC153" i="1"/>
  <c r="AX153" i="1"/>
  <c r="AW153" i="1"/>
  <c r="AV153" i="1"/>
  <c r="AQ153" i="1"/>
  <c r="AO153" i="1"/>
  <c r="AN153" i="1"/>
  <c r="AM153" i="1"/>
  <c r="AL153" i="1"/>
  <c r="AK153" i="1"/>
  <c r="AJ153" i="1"/>
  <c r="AI153" i="1"/>
  <c r="AH153" i="1"/>
  <c r="AG153" i="1"/>
  <c r="AF153" i="1"/>
  <c r="AE153" i="1"/>
  <c r="AC153" i="1"/>
  <c r="AB153" i="1"/>
  <c r="AA153" i="1"/>
  <c r="Z153" i="1"/>
  <c r="Y153" i="1"/>
  <c r="X153" i="1"/>
  <c r="W153" i="1"/>
  <c r="V153" i="1"/>
  <c r="T153" i="1"/>
  <c r="S153" i="1"/>
  <c r="R153" i="1"/>
  <c r="Q153" i="1"/>
  <c r="M153" i="1"/>
  <c r="L153" i="1"/>
  <c r="K153" i="1"/>
  <c r="G153" i="1"/>
  <c r="CX152" i="1"/>
  <c r="CK152" i="1"/>
  <c r="CB152" i="1"/>
  <c r="BN152" i="1"/>
  <c r="BK152" i="1"/>
  <c r="BF152" i="1"/>
  <c r="BB152" i="1"/>
  <c r="AD152" i="1"/>
  <c r="U152" i="1"/>
  <c r="P152" i="1"/>
  <c r="I152" i="1"/>
  <c r="CX151" i="1"/>
  <c r="CK151" i="1"/>
  <c r="CB151" i="1"/>
  <c r="BN151" i="1"/>
  <c r="BK151" i="1"/>
  <c r="BF151" i="1"/>
  <c r="BB151" i="1"/>
  <c r="AD151" i="1"/>
  <c r="U151" i="1"/>
  <c r="P151" i="1"/>
  <c r="I151" i="1"/>
  <c r="CZ150" i="1"/>
  <c r="CY150" i="1"/>
  <c r="CS150" i="1"/>
  <c r="CN150" i="1"/>
  <c r="CL150" i="1"/>
  <c r="CI150" i="1"/>
  <c r="CF150" i="1"/>
  <c r="CD150" i="1"/>
  <c r="CC150" i="1"/>
  <c r="BY150" i="1"/>
  <c r="BX150" i="1"/>
  <c r="BW150" i="1"/>
  <c r="BV150" i="1"/>
  <c r="BU150" i="1"/>
  <c r="BT150" i="1"/>
  <c r="BS150" i="1"/>
  <c r="BR150" i="1"/>
  <c r="BQ150" i="1"/>
  <c r="BP150" i="1"/>
  <c r="BO150" i="1"/>
  <c r="BL150" i="1"/>
  <c r="BI150" i="1"/>
  <c r="BH150" i="1"/>
  <c r="BG150" i="1"/>
  <c r="BE150" i="1"/>
  <c r="BD150" i="1"/>
  <c r="BC150" i="1"/>
  <c r="AZ150" i="1"/>
  <c r="AX150" i="1"/>
  <c r="AW150" i="1"/>
  <c r="AV150" i="1"/>
  <c r="AS150" i="1"/>
  <c r="AR150" i="1"/>
  <c r="AQ150" i="1"/>
  <c r="AO150" i="1"/>
  <c r="AN150" i="1"/>
  <c r="AM150" i="1"/>
  <c r="AL150" i="1"/>
  <c r="AK150" i="1"/>
  <c r="AJ150" i="1"/>
  <c r="AI150" i="1"/>
  <c r="AH150" i="1"/>
  <c r="AG150" i="1"/>
  <c r="AF150" i="1"/>
  <c r="AE150" i="1"/>
  <c r="AC150" i="1"/>
  <c r="AB150" i="1"/>
  <c r="AA150" i="1"/>
  <c r="Z150" i="1"/>
  <c r="Y150" i="1"/>
  <c r="X150" i="1"/>
  <c r="W150" i="1"/>
  <c r="V150" i="1"/>
  <c r="T150" i="1"/>
  <c r="S150" i="1"/>
  <c r="R150" i="1"/>
  <c r="Q150" i="1"/>
  <c r="O150" i="1"/>
  <c r="N150" i="1"/>
  <c r="M150" i="1"/>
  <c r="L150" i="1"/>
  <c r="K150" i="1"/>
  <c r="J150" i="1"/>
  <c r="H150" i="1"/>
  <c r="G150" i="1"/>
  <c r="CX149" i="1"/>
  <c r="CK149" i="1"/>
  <c r="CB149" i="1"/>
  <c r="BN149" i="1"/>
  <c r="BK149" i="1"/>
  <c r="BF149" i="1"/>
  <c r="BB149" i="1"/>
  <c r="AD149" i="1"/>
  <c r="U149" i="1"/>
  <c r="P149" i="1"/>
  <c r="I149" i="1"/>
  <c r="CX148" i="1"/>
  <c r="CK148" i="1"/>
  <c r="CB148" i="1"/>
  <c r="BN148" i="1"/>
  <c r="BK148" i="1"/>
  <c r="BF148" i="1"/>
  <c r="BB148" i="1"/>
  <c r="AD148" i="1"/>
  <c r="U148" i="1"/>
  <c r="P148" i="1"/>
  <c r="I148" i="1"/>
  <c r="CX147" i="1"/>
  <c r="CK147" i="1"/>
  <c r="CB147" i="1"/>
  <c r="BN147" i="1"/>
  <c r="BK147" i="1"/>
  <c r="BF147" i="1"/>
  <c r="BB147" i="1"/>
  <c r="AD147" i="1"/>
  <c r="U147" i="1"/>
  <c r="P147" i="1"/>
  <c r="I147" i="1"/>
  <c r="CZ146" i="1"/>
  <c r="CY146" i="1"/>
  <c r="CS146" i="1"/>
  <c r="CN146" i="1"/>
  <c r="CL146" i="1"/>
  <c r="CI146" i="1"/>
  <c r="CF146" i="1"/>
  <c r="CD146" i="1"/>
  <c r="CC146" i="1"/>
  <c r="BY146" i="1"/>
  <c r="BX146" i="1"/>
  <c r="BW146" i="1"/>
  <c r="BV146" i="1"/>
  <c r="BU146" i="1"/>
  <c r="BT146" i="1"/>
  <c r="BS146" i="1"/>
  <c r="BR146" i="1"/>
  <c r="BQ146" i="1"/>
  <c r="BP146" i="1"/>
  <c r="BO146" i="1"/>
  <c r="BL146" i="1"/>
  <c r="BI146" i="1"/>
  <c r="BH146" i="1"/>
  <c r="BG146" i="1"/>
  <c r="BE146" i="1"/>
  <c r="BD146" i="1"/>
  <c r="BC146" i="1"/>
  <c r="AZ146" i="1"/>
  <c r="AX146" i="1"/>
  <c r="AW146" i="1"/>
  <c r="AV146" i="1"/>
  <c r="AS146" i="1"/>
  <c r="AR146" i="1"/>
  <c r="AQ146" i="1"/>
  <c r="AO146" i="1"/>
  <c r="AN146" i="1"/>
  <c r="AM146" i="1"/>
  <c r="AL146" i="1"/>
  <c r="AK146" i="1"/>
  <c r="AJ146" i="1"/>
  <c r="AI146" i="1"/>
  <c r="AH146" i="1"/>
  <c r="AG146" i="1"/>
  <c r="AF146" i="1"/>
  <c r="AE146" i="1"/>
  <c r="AC146" i="1"/>
  <c r="AB146" i="1"/>
  <c r="AA146" i="1"/>
  <c r="Z146" i="1"/>
  <c r="Y146" i="1"/>
  <c r="X146" i="1"/>
  <c r="W146" i="1"/>
  <c r="V146" i="1"/>
  <c r="T146" i="1"/>
  <c r="S146" i="1"/>
  <c r="R146" i="1"/>
  <c r="Q146" i="1"/>
  <c r="O146" i="1"/>
  <c r="N146" i="1"/>
  <c r="M146" i="1"/>
  <c r="L146" i="1"/>
  <c r="K146" i="1"/>
  <c r="J146" i="1"/>
  <c r="CX144" i="1"/>
  <c r="CK144" i="1"/>
  <c r="CB144" i="1"/>
  <c r="BN144" i="1"/>
  <c r="BK144" i="1"/>
  <c r="BF144" i="1"/>
  <c r="BB144" i="1"/>
  <c r="AD144" i="1"/>
  <c r="U144" i="1"/>
  <c r="P144" i="1"/>
  <c r="I144" i="1"/>
  <c r="CX143" i="1"/>
  <c r="CK143" i="1"/>
  <c r="CB143" i="1"/>
  <c r="BN143" i="1"/>
  <c r="BK143" i="1"/>
  <c r="BF143" i="1"/>
  <c r="BB143" i="1"/>
  <c r="AD143" i="1"/>
  <c r="U143" i="1"/>
  <c r="P143" i="1"/>
  <c r="I143" i="1"/>
  <c r="CX142" i="1"/>
  <c r="CK142" i="1"/>
  <c r="CB142" i="1"/>
  <c r="BN142" i="1"/>
  <c r="BK142" i="1"/>
  <c r="BF142" i="1"/>
  <c r="BB142" i="1"/>
  <c r="AD142" i="1"/>
  <c r="U142" i="1"/>
  <c r="P142" i="1"/>
  <c r="I142" i="1"/>
  <c r="CZ141" i="1"/>
  <c r="CY141" i="1"/>
  <c r="CS141" i="1"/>
  <c r="CN141" i="1"/>
  <c r="CL141" i="1"/>
  <c r="CI141" i="1"/>
  <c r="CF141" i="1"/>
  <c r="CD141" i="1"/>
  <c r="CC141" i="1"/>
  <c r="BY141" i="1"/>
  <c r="BX141" i="1"/>
  <c r="BW141" i="1"/>
  <c r="BV141" i="1"/>
  <c r="BU141" i="1"/>
  <c r="BT141" i="1"/>
  <c r="BS141" i="1"/>
  <c r="BR141" i="1"/>
  <c r="BQ141" i="1"/>
  <c r="BP141" i="1"/>
  <c r="BO141" i="1"/>
  <c r="BL141" i="1"/>
  <c r="BI141" i="1"/>
  <c r="BH141" i="1"/>
  <c r="BG141" i="1"/>
  <c r="BE141" i="1"/>
  <c r="BD141" i="1"/>
  <c r="BC141" i="1"/>
  <c r="AZ141" i="1"/>
  <c r="AX141" i="1"/>
  <c r="AW141" i="1"/>
  <c r="AV141" i="1"/>
  <c r="AS141" i="1"/>
  <c r="AR141" i="1"/>
  <c r="AQ141" i="1"/>
  <c r="AO141" i="1"/>
  <c r="AN141" i="1"/>
  <c r="AM141" i="1"/>
  <c r="AL141" i="1"/>
  <c r="AK141" i="1"/>
  <c r="AJ141" i="1"/>
  <c r="AI141" i="1"/>
  <c r="AH141" i="1"/>
  <c r="AG141" i="1"/>
  <c r="AF141" i="1"/>
  <c r="AE141" i="1"/>
  <c r="AC141" i="1"/>
  <c r="AB141" i="1"/>
  <c r="AA141" i="1"/>
  <c r="Z141" i="1"/>
  <c r="Y141" i="1"/>
  <c r="X141" i="1"/>
  <c r="W141" i="1"/>
  <c r="V141" i="1"/>
  <c r="T141" i="1"/>
  <c r="S141" i="1"/>
  <c r="R141" i="1"/>
  <c r="Q141" i="1"/>
  <c r="O141" i="1"/>
  <c r="N141" i="1"/>
  <c r="M141" i="1"/>
  <c r="L141" i="1"/>
  <c r="K141" i="1"/>
  <c r="J141" i="1"/>
  <c r="H141" i="1"/>
  <c r="G141" i="1"/>
  <c r="CX140" i="1"/>
  <c r="CK140" i="1"/>
  <c r="CB140" i="1"/>
  <c r="BN140" i="1"/>
  <c r="BK140" i="1"/>
  <c r="BF140" i="1"/>
  <c r="BB140" i="1"/>
  <c r="AD140" i="1"/>
  <c r="U140" i="1"/>
  <c r="P140" i="1"/>
  <c r="I140" i="1"/>
  <c r="CZ139" i="1"/>
  <c r="CY139" i="1"/>
  <c r="CS139" i="1"/>
  <c r="CN139" i="1"/>
  <c r="CL139" i="1"/>
  <c r="CI139" i="1"/>
  <c r="CF139" i="1"/>
  <c r="CD139" i="1"/>
  <c r="CC139" i="1"/>
  <c r="BY139" i="1"/>
  <c r="BX139" i="1"/>
  <c r="BW139" i="1"/>
  <c r="BV139" i="1"/>
  <c r="BU139" i="1"/>
  <c r="BT139" i="1"/>
  <c r="BS139" i="1"/>
  <c r="BR139" i="1"/>
  <c r="BQ139" i="1"/>
  <c r="BP139" i="1"/>
  <c r="BO139" i="1"/>
  <c r="BL139" i="1"/>
  <c r="BI139" i="1"/>
  <c r="BH139" i="1"/>
  <c r="BG139" i="1"/>
  <c r="BE139" i="1"/>
  <c r="BD139" i="1"/>
  <c r="BC139" i="1"/>
  <c r="AZ139" i="1"/>
  <c r="AX139" i="1"/>
  <c r="AW139" i="1"/>
  <c r="AV139" i="1"/>
  <c r="AS139" i="1"/>
  <c r="AR139" i="1"/>
  <c r="AQ139" i="1"/>
  <c r="AO139" i="1"/>
  <c r="AN139" i="1"/>
  <c r="AM139" i="1"/>
  <c r="AL139" i="1"/>
  <c r="AK139" i="1"/>
  <c r="AJ139" i="1"/>
  <c r="AI139" i="1"/>
  <c r="AH139" i="1"/>
  <c r="AG139" i="1"/>
  <c r="AF139" i="1"/>
  <c r="AE139" i="1"/>
  <c r="AC139" i="1"/>
  <c r="AB139" i="1"/>
  <c r="AA139" i="1"/>
  <c r="Z139" i="1"/>
  <c r="Y139" i="1"/>
  <c r="X139" i="1"/>
  <c r="W139" i="1"/>
  <c r="V139" i="1"/>
  <c r="T139" i="1"/>
  <c r="S139" i="1"/>
  <c r="R139" i="1"/>
  <c r="Q139" i="1"/>
  <c r="O139" i="1"/>
  <c r="N139" i="1"/>
  <c r="M139" i="1"/>
  <c r="L139" i="1"/>
  <c r="K139" i="1"/>
  <c r="J139" i="1"/>
  <c r="G139" i="1"/>
  <c r="CX138" i="1"/>
  <c r="CK138" i="1"/>
  <c r="CB138" i="1"/>
  <c r="BN138" i="1"/>
  <c r="BK138" i="1"/>
  <c r="BF138" i="1"/>
  <c r="BB138" i="1"/>
  <c r="AD138" i="1"/>
  <c r="U138" i="1"/>
  <c r="P138" i="1"/>
  <c r="I138" i="1"/>
  <c r="CZ137" i="1"/>
  <c r="CY137" i="1"/>
  <c r="CS137" i="1"/>
  <c r="CN137" i="1"/>
  <c r="CL137" i="1"/>
  <c r="CI137" i="1"/>
  <c r="CF137" i="1"/>
  <c r="CD137" i="1"/>
  <c r="CC137" i="1"/>
  <c r="BY137" i="1"/>
  <c r="BX137" i="1"/>
  <c r="BW137" i="1"/>
  <c r="BV137" i="1"/>
  <c r="BU137" i="1"/>
  <c r="BT137" i="1"/>
  <c r="BS137" i="1"/>
  <c r="BR137" i="1"/>
  <c r="BQ137" i="1"/>
  <c r="BP137" i="1"/>
  <c r="BO137" i="1"/>
  <c r="BL137" i="1"/>
  <c r="BI137" i="1"/>
  <c r="BH137" i="1"/>
  <c r="BG137" i="1"/>
  <c r="BE137" i="1"/>
  <c r="BD137" i="1"/>
  <c r="BC137" i="1"/>
  <c r="AZ137" i="1"/>
  <c r="AX137" i="1"/>
  <c r="AW137" i="1"/>
  <c r="AV137" i="1"/>
  <c r="AS137" i="1"/>
  <c r="AR137" i="1"/>
  <c r="AQ137" i="1"/>
  <c r="AO137" i="1"/>
  <c r="AN137" i="1"/>
  <c r="AM137" i="1"/>
  <c r="AL137" i="1"/>
  <c r="AK137" i="1"/>
  <c r="AJ137" i="1"/>
  <c r="AI137" i="1"/>
  <c r="AH137" i="1"/>
  <c r="AG137" i="1"/>
  <c r="AF137" i="1"/>
  <c r="AE137" i="1"/>
  <c r="AC137" i="1"/>
  <c r="AB137" i="1"/>
  <c r="AA137" i="1"/>
  <c r="Z137" i="1"/>
  <c r="Y137" i="1"/>
  <c r="X137" i="1"/>
  <c r="W137" i="1"/>
  <c r="V137" i="1"/>
  <c r="T137" i="1"/>
  <c r="S137" i="1"/>
  <c r="R137" i="1"/>
  <c r="Q137" i="1"/>
  <c r="O137" i="1"/>
  <c r="N137" i="1"/>
  <c r="M137" i="1"/>
  <c r="L137" i="1"/>
  <c r="K137" i="1"/>
  <c r="J137" i="1"/>
  <c r="CX136" i="1"/>
  <c r="CK136" i="1"/>
  <c r="CB136" i="1"/>
  <c r="BN136" i="1"/>
  <c r="BK136" i="1"/>
  <c r="BF136" i="1"/>
  <c r="BB136" i="1"/>
  <c r="U136" i="1"/>
  <c r="P136" i="1"/>
  <c r="I136" i="1"/>
  <c r="H133" i="1"/>
  <c r="G133" i="1"/>
  <c r="CX135" i="1"/>
  <c r="CK135" i="1"/>
  <c r="CB135" i="1"/>
  <c r="BN135" i="1"/>
  <c r="BK135" i="1"/>
  <c r="BF135" i="1"/>
  <c r="BB135" i="1"/>
  <c r="AD135" i="1"/>
  <c r="U135" i="1"/>
  <c r="P135" i="1"/>
  <c r="I135" i="1"/>
  <c r="CX134" i="1"/>
  <c r="CK134" i="1"/>
  <c r="CB134" i="1"/>
  <c r="BN134" i="1"/>
  <c r="BK134" i="1"/>
  <c r="BF134" i="1"/>
  <c r="BB134" i="1"/>
  <c r="AD134" i="1"/>
  <c r="U134" i="1"/>
  <c r="P134" i="1"/>
  <c r="I134" i="1"/>
  <c r="CZ133" i="1"/>
  <c r="CY133" i="1"/>
  <c r="CS133" i="1"/>
  <c r="CN133" i="1"/>
  <c r="CL133" i="1"/>
  <c r="CI133" i="1"/>
  <c r="CF133" i="1"/>
  <c r="CC133" i="1"/>
  <c r="BY133" i="1"/>
  <c r="BX133" i="1"/>
  <c r="BW133" i="1"/>
  <c r="BV133" i="1"/>
  <c r="BU133" i="1"/>
  <c r="BT133" i="1"/>
  <c r="BS133" i="1"/>
  <c r="BR133" i="1"/>
  <c r="BQ133" i="1"/>
  <c r="BP133" i="1"/>
  <c r="BO133" i="1"/>
  <c r="BL133" i="1"/>
  <c r="BI133" i="1"/>
  <c r="BH133" i="1"/>
  <c r="BG133" i="1"/>
  <c r="BE133" i="1"/>
  <c r="BD133" i="1"/>
  <c r="BC133" i="1"/>
  <c r="AZ133" i="1"/>
  <c r="AX133" i="1"/>
  <c r="AW133" i="1"/>
  <c r="AV133" i="1"/>
  <c r="AR133" i="1"/>
  <c r="AQ133" i="1"/>
  <c r="AO133" i="1"/>
  <c r="AN133" i="1"/>
  <c r="AM133" i="1"/>
  <c r="AL133" i="1"/>
  <c r="AK133" i="1"/>
  <c r="AJ133" i="1"/>
  <c r="AI133" i="1"/>
  <c r="AH133" i="1"/>
  <c r="AG133" i="1"/>
  <c r="AF133" i="1"/>
  <c r="AE133" i="1"/>
  <c r="AC133" i="1"/>
  <c r="AB133" i="1"/>
  <c r="AA133" i="1"/>
  <c r="Z133" i="1"/>
  <c r="Y133" i="1"/>
  <c r="X133" i="1"/>
  <c r="W133" i="1"/>
  <c r="V133" i="1"/>
  <c r="T133" i="1"/>
  <c r="S133" i="1"/>
  <c r="R133" i="1"/>
  <c r="Q133" i="1"/>
  <c r="O133" i="1"/>
  <c r="N133" i="1"/>
  <c r="M133" i="1"/>
  <c r="L133" i="1"/>
  <c r="K133" i="1"/>
  <c r="J133" i="1"/>
  <c r="CX132" i="1"/>
  <c r="CK132" i="1"/>
  <c r="CB132" i="1"/>
  <c r="BN132" i="1"/>
  <c r="BK132" i="1"/>
  <c r="BF132" i="1"/>
  <c r="BB132" i="1"/>
  <c r="AD132" i="1"/>
  <c r="U132" i="1"/>
  <c r="P132" i="1"/>
  <c r="I132" i="1"/>
  <c r="CX131" i="1"/>
  <c r="CK131" i="1"/>
  <c r="BN131" i="1"/>
  <c r="BK131" i="1"/>
  <c r="BF131" i="1"/>
  <c r="BB131" i="1"/>
  <c r="U131" i="1"/>
  <c r="P131" i="1"/>
  <c r="I131" i="1"/>
  <c r="CX130" i="1"/>
  <c r="CK130" i="1"/>
  <c r="CB130" i="1"/>
  <c r="BN130" i="1"/>
  <c r="BK130" i="1"/>
  <c r="BF130" i="1"/>
  <c r="BB130" i="1"/>
  <c r="AD130" i="1"/>
  <c r="U130" i="1"/>
  <c r="P130" i="1"/>
  <c r="I130" i="1"/>
  <c r="CZ129" i="1"/>
  <c r="CY129" i="1"/>
  <c r="CS129" i="1"/>
  <c r="CN129" i="1"/>
  <c r="CL129" i="1"/>
  <c r="CI129" i="1"/>
  <c r="CF129" i="1"/>
  <c r="CC129" i="1"/>
  <c r="BY129" i="1"/>
  <c r="BX129" i="1"/>
  <c r="BW129" i="1"/>
  <c r="BV129" i="1"/>
  <c r="BU129" i="1"/>
  <c r="BT129" i="1"/>
  <c r="BS129" i="1"/>
  <c r="BR129" i="1"/>
  <c r="BQ129" i="1"/>
  <c r="BP129" i="1"/>
  <c r="BO129" i="1"/>
  <c r="BL129" i="1"/>
  <c r="BI129" i="1"/>
  <c r="BH129" i="1"/>
  <c r="BG129" i="1"/>
  <c r="BE129" i="1"/>
  <c r="BD129" i="1"/>
  <c r="BC129" i="1"/>
  <c r="AZ129" i="1"/>
  <c r="AX129" i="1"/>
  <c r="AW129" i="1"/>
  <c r="AV129" i="1"/>
  <c r="AS129" i="1"/>
  <c r="AR129" i="1"/>
  <c r="AQ129" i="1"/>
  <c r="AO129" i="1"/>
  <c r="AN129" i="1"/>
  <c r="AM129" i="1"/>
  <c r="AK129" i="1"/>
  <c r="AG129" i="1"/>
  <c r="AF129" i="1"/>
  <c r="AE129" i="1"/>
  <c r="AC129" i="1"/>
  <c r="AB129" i="1"/>
  <c r="AA129" i="1"/>
  <c r="Z129" i="1"/>
  <c r="Y129" i="1"/>
  <c r="X129" i="1"/>
  <c r="W129" i="1"/>
  <c r="V129" i="1"/>
  <c r="T129" i="1"/>
  <c r="S129" i="1"/>
  <c r="R129" i="1"/>
  <c r="Q129" i="1"/>
  <c r="N129" i="1"/>
  <c r="M129" i="1"/>
  <c r="L129" i="1"/>
  <c r="K129" i="1"/>
  <c r="J129" i="1"/>
  <c r="H129" i="1"/>
  <c r="CX128" i="1"/>
  <c r="CK128" i="1"/>
  <c r="CB128" i="1"/>
  <c r="BN128" i="1"/>
  <c r="BK128" i="1"/>
  <c r="BF128" i="1"/>
  <c r="BB128" i="1"/>
  <c r="AD128" i="1"/>
  <c r="U128" i="1"/>
  <c r="F128" i="1" s="1"/>
  <c r="P128" i="1"/>
  <c r="I128" i="1"/>
  <c r="CX127" i="1"/>
  <c r="CK127" i="1"/>
  <c r="CB127" i="1"/>
  <c r="BN127" i="1"/>
  <c r="BK127" i="1"/>
  <c r="BF127" i="1"/>
  <c r="BB127" i="1"/>
  <c r="AD127" i="1"/>
  <c r="U127" i="1"/>
  <c r="P127" i="1"/>
  <c r="I127" i="1"/>
  <c r="CX126" i="1"/>
  <c r="CK126" i="1"/>
  <c r="CB126" i="1"/>
  <c r="BN126" i="1"/>
  <c r="BK126" i="1"/>
  <c r="BF126" i="1"/>
  <c r="BB126" i="1"/>
  <c r="AD126" i="1"/>
  <c r="U126" i="1"/>
  <c r="P126" i="1"/>
  <c r="I126" i="1"/>
  <c r="CZ125" i="1"/>
  <c r="CY125" i="1"/>
  <c r="CS125" i="1"/>
  <c r="CN125" i="1"/>
  <c r="CL125" i="1"/>
  <c r="CI125" i="1"/>
  <c r="CF125" i="1"/>
  <c r="CD125" i="1"/>
  <c r="CC125" i="1"/>
  <c r="BY125" i="1"/>
  <c r="BX125" i="1"/>
  <c r="BW125" i="1"/>
  <c r="BV125" i="1"/>
  <c r="BU125" i="1"/>
  <c r="BT125" i="1"/>
  <c r="BS125" i="1"/>
  <c r="BR125" i="1"/>
  <c r="BQ125" i="1"/>
  <c r="BP125" i="1"/>
  <c r="BO125" i="1"/>
  <c r="BL125" i="1"/>
  <c r="BI125" i="1"/>
  <c r="BH125" i="1"/>
  <c r="BG125" i="1"/>
  <c r="BE125" i="1"/>
  <c r="BD125" i="1"/>
  <c r="BC125" i="1"/>
  <c r="AZ125" i="1"/>
  <c r="AX125" i="1"/>
  <c r="AW125" i="1"/>
  <c r="AV125" i="1"/>
  <c r="AS125" i="1"/>
  <c r="AR125" i="1"/>
  <c r="AQ125" i="1"/>
  <c r="AO125" i="1"/>
  <c r="AN125" i="1"/>
  <c r="AM125" i="1"/>
  <c r="AL125" i="1"/>
  <c r="AK125" i="1"/>
  <c r="AJ125" i="1"/>
  <c r="AI125" i="1"/>
  <c r="AH125" i="1"/>
  <c r="AG125" i="1"/>
  <c r="AF125" i="1"/>
  <c r="AE125" i="1"/>
  <c r="AC125" i="1"/>
  <c r="AB125" i="1"/>
  <c r="AA125" i="1"/>
  <c r="Z125" i="1"/>
  <c r="Y125" i="1"/>
  <c r="X125" i="1"/>
  <c r="W125" i="1"/>
  <c r="V125" i="1"/>
  <c r="T125" i="1"/>
  <c r="S125" i="1"/>
  <c r="R125" i="1"/>
  <c r="Q125" i="1"/>
  <c r="O125" i="1"/>
  <c r="N125" i="1"/>
  <c r="M125" i="1"/>
  <c r="L125" i="1"/>
  <c r="K125" i="1"/>
  <c r="J125" i="1"/>
  <c r="CX123" i="1"/>
  <c r="CK123" i="1"/>
  <c r="CB123" i="1"/>
  <c r="BN123" i="1"/>
  <c r="BK123" i="1"/>
  <c r="BF123" i="1"/>
  <c r="BB123" i="1"/>
  <c r="U123" i="1"/>
  <c r="P123" i="1"/>
  <c r="I123" i="1"/>
  <c r="CX114" i="1"/>
  <c r="CK114" i="1"/>
  <c r="CB114" i="1"/>
  <c r="BN114" i="1"/>
  <c r="BK114" i="1"/>
  <c r="BF114" i="1"/>
  <c r="BB114" i="1"/>
  <c r="AD114" i="1"/>
  <c r="U114" i="1"/>
  <c r="P114" i="1"/>
  <c r="I114" i="1"/>
  <c r="CX111" i="1"/>
  <c r="CK111" i="1"/>
  <c r="CB111" i="1"/>
  <c r="BN111" i="1"/>
  <c r="BK111" i="1"/>
  <c r="BF111" i="1"/>
  <c r="BB111" i="1"/>
  <c r="AD111" i="1"/>
  <c r="U111" i="1"/>
  <c r="P111" i="1"/>
  <c r="I111" i="1"/>
  <c r="CZ110" i="1"/>
  <c r="CZ105" i="1" s="1"/>
  <c r="CY110" i="1"/>
  <c r="CY105" i="1" s="1"/>
  <c r="CS110" i="1"/>
  <c r="CS105" i="1" s="1"/>
  <c r="CN110" i="1"/>
  <c r="CN105" i="1" s="1"/>
  <c r="CL110" i="1"/>
  <c r="CL105" i="1" s="1"/>
  <c r="CI110" i="1"/>
  <c r="CI105" i="1" s="1"/>
  <c r="CF110" i="1"/>
  <c r="CF105" i="1" s="1"/>
  <c r="CD110" i="1"/>
  <c r="CD105" i="1" s="1"/>
  <c r="CC110" i="1"/>
  <c r="CC105" i="1" s="1"/>
  <c r="BY110" i="1"/>
  <c r="BY105" i="1" s="1"/>
  <c r="BX110" i="1"/>
  <c r="BX105" i="1" s="1"/>
  <c r="BW110" i="1"/>
  <c r="BW105" i="1" s="1"/>
  <c r="BV110" i="1"/>
  <c r="BV105" i="1" s="1"/>
  <c r="BU110" i="1"/>
  <c r="BU105" i="1" s="1"/>
  <c r="BT110" i="1"/>
  <c r="BT105" i="1" s="1"/>
  <c r="BS110" i="1"/>
  <c r="BS105" i="1" s="1"/>
  <c r="BR110" i="1"/>
  <c r="BR105" i="1" s="1"/>
  <c r="BQ110" i="1"/>
  <c r="BQ105" i="1" s="1"/>
  <c r="BP110" i="1"/>
  <c r="BP105" i="1" s="1"/>
  <c r="BO110" i="1"/>
  <c r="BO105" i="1" s="1"/>
  <c r="BL110" i="1"/>
  <c r="BL105" i="1" s="1"/>
  <c r="BI110" i="1"/>
  <c r="BI105" i="1" s="1"/>
  <c r="BH110" i="1"/>
  <c r="BH105" i="1" s="1"/>
  <c r="BG110" i="1"/>
  <c r="BG105" i="1" s="1"/>
  <c r="BE110" i="1"/>
  <c r="BE105" i="1" s="1"/>
  <c r="BD110" i="1"/>
  <c r="BD105" i="1" s="1"/>
  <c r="BC110" i="1"/>
  <c r="BC105" i="1" s="1"/>
  <c r="AZ110" i="1"/>
  <c r="AZ105" i="1" s="1"/>
  <c r="AX110" i="1"/>
  <c r="AX105" i="1" s="1"/>
  <c r="AW110" i="1"/>
  <c r="AW105" i="1" s="1"/>
  <c r="AV110" i="1"/>
  <c r="AV105" i="1" s="1"/>
  <c r="AS110" i="1"/>
  <c r="AS105" i="1" s="1"/>
  <c r="AR110" i="1"/>
  <c r="AR105" i="1" s="1"/>
  <c r="AQ110" i="1"/>
  <c r="AQ105" i="1" s="1"/>
  <c r="AO110" i="1"/>
  <c r="AO105" i="1" s="1"/>
  <c r="AN110" i="1"/>
  <c r="AN105" i="1" s="1"/>
  <c r="AM110" i="1"/>
  <c r="AM105" i="1" s="1"/>
  <c r="AL110" i="1"/>
  <c r="AL105" i="1" s="1"/>
  <c r="AK110" i="1"/>
  <c r="AK105" i="1" s="1"/>
  <c r="AJ110" i="1"/>
  <c r="AJ105" i="1" s="1"/>
  <c r="AI110" i="1"/>
  <c r="AI105" i="1" s="1"/>
  <c r="AH110" i="1"/>
  <c r="AH105" i="1" s="1"/>
  <c r="AG110" i="1"/>
  <c r="AG105" i="1" s="1"/>
  <c r="AF110" i="1"/>
  <c r="AF105" i="1" s="1"/>
  <c r="AE110" i="1"/>
  <c r="AE105" i="1" s="1"/>
  <c r="AC110" i="1"/>
  <c r="AC105" i="1" s="1"/>
  <c r="AB110" i="1"/>
  <c r="AB105" i="1" s="1"/>
  <c r="AA110" i="1"/>
  <c r="AA105" i="1" s="1"/>
  <c r="Z110" i="1"/>
  <c r="Z105" i="1" s="1"/>
  <c r="Y110" i="1"/>
  <c r="Y105" i="1" s="1"/>
  <c r="X110" i="1"/>
  <c r="X105" i="1" s="1"/>
  <c r="W110" i="1"/>
  <c r="W105" i="1" s="1"/>
  <c r="V110" i="1"/>
  <c r="V105" i="1" s="1"/>
  <c r="T110" i="1"/>
  <c r="T105" i="1" s="1"/>
  <c r="S110" i="1"/>
  <c r="S105" i="1" s="1"/>
  <c r="R110" i="1"/>
  <c r="R105" i="1" s="1"/>
  <c r="Q110" i="1"/>
  <c r="Q105" i="1" s="1"/>
  <c r="O110" i="1"/>
  <c r="O105" i="1" s="1"/>
  <c r="N110" i="1"/>
  <c r="N105" i="1" s="1"/>
  <c r="M110" i="1"/>
  <c r="M105" i="1" s="1"/>
  <c r="L110" i="1"/>
  <c r="L105" i="1" s="1"/>
  <c r="K110" i="1"/>
  <c r="K105" i="1" s="1"/>
  <c r="J110" i="1"/>
  <c r="J105" i="1" s="1"/>
  <c r="G110" i="1"/>
  <c r="G105" i="1" s="1"/>
  <c r="CX104" i="1"/>
  <c r="CK104" i="1"/>
  <c r="CB104" i="1"/>
  <c r="BN104" i="1"/>
  <c r="BK104" i="1"/>
  <c r="BF104" i="1"/>
  <c r="BB104" i="1"/>
  <c r="AD104" i="1"/>
  <c r="U104" i="1"/>
  <c r="P104" i="1"/>
  <c r="I104" i="1"/>
  <c r="CZ103" i="1"/>
  <c r="CY103" i="1"/>
  <c r="CS103" i="1"/>
  <c r="CN103" i="1"/>
  <c r="CL103" i="1"/>
  <c r="CI103" i="1"/>
  <c r="CF103" i="1"/>
  <c r="CD103" i="1"/>
  <c r="CC103" i="1"/>
  <c r="BY103" i="1"/>
  <c r="BX103" i="1"/>
  <c r="BW103" i="1"/>
  <c r="BV103" i="1"/>
  <c r="BU103" i="1"/>
  <c r="BT103" i="1"/>
  <c r="BS103" i="1"/>
  <c r="BR103" i="1"/>
  <c r="BQ103" i="1"/>
  <c r="BP103" i="1"/>
  <c r="BO103" i="1"/>
  <c r="BL103" i="1"/>
  <c r="BI103" i="1"/>
  <c r="BH103" i="1"/>
  <c r="BG103" i="1"/>
  <c r="BE103" i="1"/>
  <c r="BD103" i="1"/>
  <c r="BC103" i="1"/>
  <c r="AZ103" i="1"/>
  <c r="AX103" i="1"/>
  <c r="AW103" i="1"/>
  <c r="AV103" i="1"/>
  <c r="AS103" i="1"/>
  <c r="AR103" i="1"/>
  <c r="AQ103" i="1"/>
  <c r="AO103" i="1"/>
  <c r="AN103" i="1"/>
  <c r="AM103" i="1"/>
  <c r="AL103" i="1"/>
  <c r="AK103" i="1"/>
  <c r="AJ103" i="1"/>
  <c r="AI103" i="1"/>
  <c r="AH103" i="1"/>
  <c r="AG103" i="1"/>
  <c r="AF103" i="1"/>
  <c r="AE103" i="1"/>
  <c r="AC103" i="1"/>
  <c r="AB103" i="1"/>
  <c r="AA103" i="1"/>
  <c r="Z103" i="1"/>
  <c r="Y103" i="1"/>
  <c r="X103" i="1"/>
  <c r="W103" i="1"/>
  <c r="V103" i="1"/>
  <c r="T103" i="1"/>
  <c r="S103" i="1"/>
  <c r="R103" i="1"/>
  <c r="Q103" i="1"/>
  <c r="O103" i="1"/>
  <c r="N103" i="1"/>
  <c r="M103" i="1"/>
  <c r="L103" i="1"/>
  <c r="K103" i="1"/>
  <c r="J103" i="1"/>
  <c r="CX101" i="1"/>
  <c r="CK101" i="1"/>
  <c r="CB101" i="1"/>
  <c r="BN101" i="1"/>
  <c r="BK101" i="1"/>
  <c r="BF101" i="1"/>
  <c r="BB101" i="1"/>
  <c r="AD101" i="1"/>
  <c r="U101" i="1"/>
  <c r="P101" i="1"/>
  <c r="I101" i="1"/>
  <c r="CZ100" i="1"/>
  <c r="CY100" i="1"/>
  <c r="CS100" i="1"/>
  <c r="CN100" i="1"/>
  <c r="CL100" i="1"/>
  <c r="CI100" i="1"/>
  <c r="CF100" i="1"/>
  <c r="CD100" i="1"/>
  <c r="CC100" i="1"/>
  <c r="BY100" i="1"/>
  <c r="BX100" i="1"/>
  <c r="BW100" i="1"/>
  <c r="BV100" i="1"/>
  <c r="BU100" i="1"/>
  <c r="BT100" i="1"/>
  <c r="BS100" i="1"/>
  <c r="BR100" i="1"/>
  <c r="BQ100" i="1"/>
  <c r="BP100" i="1"/>
  <c r="BO100" i="1"/>
  <c r="BL100" i="1"/>
  <c r="BI100" i="1"/>
  <c r="BH100" i="1"/>
  <c r="BG100" i="1"/>
  <c r="BE100" i="1"/>
  <c r="BD100" i="1"/>
  <c r="BC100" i="1"/>
  <c r="AZ100" i="1"/>
  <c r="AX100" i="1"/>
  <c r="AW100" i="1"/>
  <c r="AV100" i="1"/>
  <c r="AS100" i="1"/>
  <c r="AR100" i="1"/>
  <c r="AQ100" i="1"/>
  <c r="AO100" i="1"/>
  <c r="AN100" i="1"/>
  <c r="AM100" i="1"/>
  <c r="AL100" i="1"/>
  <c r="AK100" i="1"/>
  <c r="AJ100" i="1"/>
  <c r="AI100" i="1"/>
  <c r="AH100" i="1"/>
  <c r="AG100" i="1"/>
  <c r="AF100" i="1"/>
  <c r="AE100" i="1"/>
  <c r="AC100" i="1"/>
  <c r="AB100" i="1"/>
  <c r="AA100" i="1"/>
  <c r="Z100" i="1"/>
  <c r="Y100" i="1"/>
  <c r="X100" i="1"/>
  <c r="W100" i="1"/>
  <c r="V100" i="1"/>
  <c r="T100" i="1"/>
  <c r="S100" i="1"/>
  <c r="R100" i="1"/>
  <c r="Q100" i="1"/>
  <c r="O100" i="1"/>
  <c r="N100" i="1"/>
  <c r="M100" i="1"/>
  <c r="L100" i="1"/>
  <c r="K100" i="1"/>
  <c r="J100" i="1"/>
  <c r="H100" i="1"/>
  <c r="G100" i="1"/>
  <c r="CX96" i="1"/>
  <c r="CK96" i="1"/>
  <c r="CB96" i="1"/>
  <c r="BN96" i="1"/>
  <c r="BK96" i="1"/>
  <c r="BF96" i="1"/>
  <c r="BB96" i="1"/>
  <c r="AD96" i="1"/>
  <c r="U96" i="1"/>
  <c r="P96" i="1"/>
  <c r="I96" i="1"/>
  <c r="CX95" i="1"/>
  <c r="CK95" i="1"/>
  <c r="CB95" i="1"/>
  <c r="BN95" i="1"/>
  <c r="BK95" i="1"/>
  <c r="BF95" i="1"/>
  <c r="BB95" i="1"/>
  <c r="AD95" i="1"/>
  <c r="U95" i="1"/>
  <c r="P95" i="1"/>
  <c r="I95" i="1"/>
  <c r="CX93" i="1"/>
  <c r="CK93" i="1"/>
  <c r="CB93" i="1"/>
  <c r="BN93" i="1"/>
  <c r="BK93" i="1"/>
  <c r="BF93" i="1"/>
  <c r="BB93" i="1"/>
  <c r="AD93" i="1"/>
  <c r="U93" i="1"/>
  <c r="P93" i="1"/>
  <c r="I93" i="1"/>
  <c r="CX92" i="1"/>
  <c r="CK92" i="1"/>
  <c r="CB92" i="1"/>
  <c r="BN92" i="1"/>
  <c r="BK92" i="1"/>
  <c r="BF92" i="1"/>
  <c r="BB92" i="1"/>
  <c r="AD92" i="1"/>
  <c r="U92" i="1"/>
  <c r="P92" i="1"/>
  <c r="I92" i="1"/>
  <c r="CX91" i="1"/>
  <c r="CK91" i="1"/>
  <c r="CB91" i="1"/>
  <c r="BN91" i="1"/>
  <c r="BK91" i="1"/>
  <c r="BF91" i="1"/>
  <c r="BB91" i="1"/>
  <c r="AD91" i="1"/>
  <c r="U91" i="1"/>
  <c r="P91" i="1"/>
  <c r="I91" i="1"/>
  <c r="CX88" i="1"/>
  <c r="CK88" i="1"/>
  <c r="CB88" i="1"/>
  <c r="BN88" i="1"/>
  <c r="BK88" i="1"/>
  <c r="BF88" i="1"/>
  <c r="BB88" i="1"/>
  <c r="AD88" i="1"/>
  <c r="CX87" i="1"/>
  <c r="CK87" i="1"/>
  <c r="CB87" i="1"/>
  <c r="BN87" i="1"/>
  <c r="BK87" i="1"/>
  <c r="BF87" i="1"/>
  <c r="BB87" i="1"/>
  <c r="AD87" i="1"/>
  <c r="U87" i="1"/>
  <c r="P87" i="1"/>
  <c r="I87" i="1"/>
  <c r="CZ86" i="1"/>
  <c r="CY86" i="1"/>
  <c r="CS86" i="1"/>
  <c r="CN86" i="1"/>
  <c r="CL86" i="1"/>
  <c r="CI86" i="1"/>
  <c r="CF86" i="1"/>
  <c r="CD86" i="1"/>
  <c r="CC86" i="1"/>
  <c r="BY86" i="1"/>
  <c r="BX86" i="1"/>
  <c r="BW86" i="1"/>
  <c r="BV86" i="1"/>
  <c r="BU86" i="1"/>
  <c r="BT86" i="1"/>
  <c r="BS86" i="1"/>
  <c r="BR86" i="1"/>
  <c r="BQ86" i="1"/>
  <c r="BP86" i="1"/>
  <c r="BO86" i="1"/>
  <c r="BL86" i="1"/>
  <c r="BI86" i="1"/>
  <c r="BH86" i="1"/>
  <c r="BG86" i="1"/>
  <c r="BE86" i="1"/>
  <c r="BD86" i="1"/>
  <c r="BC86" i="1"/>
  <c r="AZ86" i="1"/>
  <c r="AX86" i="1"/>
  <c r="AW86" i="1"/>
  <c r="AV86" i="1"/>
  <c r="AS86" i="1"/>
  <c r="AR86" i="1"/>
  <c r="AQ86" i="1"/>
  <c r="AO86" i="1"/>
  <c r="AN86" i="1"/>
  <c r="AM86" i="1"/>
  <c r="AL86" i="1"/>
  <c r="AK86" i="1"/>
  <c r="AJ86" i="1"/>
  <c r="AI86" i="1"/>
  <c r="AH86" i="1"/>
  <c r="AG86" i="1"/>
  <c r="AF86" i="1"/>
  <c r="AE86" i="1"/>
  <c r="AC86" i="1"/>
  <c r="AB86" i="1"/>
  <c r="AA86" i="1"/>
  <c r="Z86" i="1"/>
  <c r="Y86" i="1"/>
  <c r="X86" i="1"/>
  <c r="W86" i="1"/>
  <c r="V86" i="1"/>
  <c r="T86" i="1"/>
  <c r="S86" i="1"/>
  <c r="R86" i="1"/>
  <c r="Q86" i="1"/>
  <c r="O86" i="1"/>
  <c r="N86" i="1"/>
  <c r="M86" i="1"/>
  <c r="L86" i="1"/>
  <c r="K86" i="1"/>
  <c r="J86" i="1"/>
  <c r="G86" i="1"/>
  <c r="CX84" i="1"/>
  <c r="CK84" i="1"/>
  <c r="CB84" i="1"/>
  <c r="BN84" i="1"/>
  <c r="BK84" i="1"/>
  <c r="BF84" i="1"/>
  <c r="BB84" i="1"/>
  <c r="AD84" i="1"/>
  <c r="U84" i="1"/>
  <c r="P84" i="1"/>
  <c r="I84" i="1"/>
  <c r="CZ83" i="1"/>
  <c r="CY83" i="1"/>
  <c r="CS83" i="1"/>
  <c r="CN83" i="1"/>
  <c r="CL83" i="1"/>
  <c r="CI83" i="1"/>
  <c r="CF83" i="1"/>
  <c r="CD83" i="1"/>
  <c r="CC83" i="1"/>
  <c r="BY83" i="1"/>
  <c r="BX83" i="1"/>
  <c r="BW83" i="1"/>
  <c r="BV83" i="1"/>
  <c r="BU83" i="1"/>
  <c r="BT83" i="1"/>
  <c r="BS83" i="1"/>
  <c r="BR83" i="1"/>
  <c r="BQ83" i="1"/>
  <c r="BP83" i="1"/>
  <c r="BO83" i="1"/>
  <c r="BL83" i="1"/>
  <c r="BI83" i="1"/>
  <c r="BH83" i="1"/>
  <c r="BG83" i="1"/>
  <c r="BE83" i="1"/>
  <c r="BD83" i="1"/>
  <c r="BC83" i="1"/>
  <c r="AZ83" i="1"/>
  <c r="AX83" i="1"/>
  <c r="AW83" i="1"/>
  <c r="AV83" i="1"/>
  <c r="AS83" i="1"/>
  <c r="AR83" i="1"/>
  <c r="AQ83" i="1"/>
  <c r="AO83" i="1"/>
  <c r="AN83" i="1"/>
  <c r="AM83" i="1"/>
  <c r="AL83" i="1"/>
  <c r="AK83" i="1"/>
  <c r="AJ83" i="1"/>
  <c r="AI83" i="1"/>
  <c r="AH83" i="1"/>
  <c r="AG83" i="1"/>
  <c r="AF83" i="1"/>
  <c r="AE83" i="1"/>
  <c r="AC83" i="1"/>
  <c r="AB83" i="1"/>
  <c r="AA83" i="1"/>
  <c r="Z83" i="1"/>
  <c r="Y83" i="1"/>
  <c r="X83" i="1"/>
  <c r="W83" i="1"/>
  <c r="V83" i="1"/>
  <c r="T83" i="1"/>
  <c r="S83" i="1"/>
  <c r="R83" i="1"/>
  <c r="Q83" i="1"/>
  <c r="O83" i="1"/>
  <c r="N83" i="1"/>
  <c r="M83" i="1"/>
  <c r="L83" i="1"/>
  <c r="K83" i="1"/>
  <c r="J83" i="1"/>
  <c r="CX82" i="1"/>
  <c r="CK82" i="1"/>
  <c r="CB82" i="1"/>
  <c r="BN82" i="1"/>
  <c r="BK82" i="1"/>
  <c r="BF82" i="1"/>
  <c r="BB82" i="1"/>
  <c r="AD82" i="1"/>
  <c r="U82" i="1"/>
  <c r="P82" i="1"/>
  <c r="I82" i="1"/>
  <c r="CZ81" i="1"/>
  <c r="CY81" i="1"/>
  <c r="CS81" i="1"/>
  <c r="CN81" i="1"/>
  <c r="CL81" i="1"/>
  <c r="CI81" i="1"/>
  <c r="CF81" i="1"/>
  <c r="CD81" i="1"/>
  <c r="CC81" i="1"/>
  <c r="BY81" i="1"/>
  <c r="BX81" i="1"/>
  <c r="BW81" i="1"/>
  <c r="BV81" i="1"/>
  <c r="BU81" i="1"/>
  <c r="BT81" i="1"/>
  <c r="BS81" i="1"/>
  <c r="BR81" i="1"/>
  <c r="BQ81" i="1"/>
  <c r="BP81" i="1"/>
  <c r="BO81" i="1"/>
  <c r="BL81" i="1"/>
  <c r="BI81" i="1"/>
  <c r="BH81" i="1"/>
  <c r="BG81" i="1"/>
  <c r="BE81" i="1"/>
  <c r="BD81" i="1"/>
  <c r="BC81" i="1"/>
  <c r="AZ81" i="1"/>
  <c r="AX81" i="1"/>
  <c r="AW81" i="1"/>
  <c r="AV81" i="1"/>
  <c r="AS81" i="1"/>
  <c r="AR81" i="1"/>
  <c r="AQ81" i="1"/>
  <c r="AO81" i="1"/>
  <c r="AN81" i="1"/>
  <c r="AM81" i="1"/>
  <c r="AL81" i="1"/>
  <c r="AK81" i="1"/>
  <c r="AJ81" i="1"/>
  <c r="AI81" i="1"/>
  <c r="AH81" i="1"/>
  <c r="AG81" i="1"/>
  <c r="AF81" i="1"/>
  <c r="AE81" i="1"/>
  <c r="AC81" i="1"/>
  <c r="AB81" i="1"/>
  <c r="AA81" i="1"/>
  <c r="Z81" i="1"/>
  <c r="Y81" i="1"/>
  <c r="X81" i="1"/>
  <c r="W81" i="1"/>
  <c r="V81" i="1"/>
  <c r="T81" i="1"/>
  <c r="S81" i="1"/>
  <c r="R81" i="1"/>
  <c r="Q81" i="1"/>
  <c r="O81" i="1"/>
  <c r="N81" i="1"/>
  <c r="M81" i="1"/>
  <c r="L81" i="1"/>
  <c r="K81" i="1"/>
  <c r="J81" i="1"/>
  <c r="G81" i="1"/>
  <c r="CX80" i="1"/>
  <c r="CK80" i="1"/>
  <c r="CB80" i="1"/>
  <c r="BN80" i="1"/>
  <c r="BK80" i="1"/>
  <c r="BF80" i="1"/>
  <c r="BB80" i="1"/>
  <c r="AD80" i="1"/>
  <c r="U80" i="1"/>
  <c r="P80" i="1"/>
  <c r="CZ79" i="1"/>
  <c r="CY79" i="1"/>
  <c r="CS79" i="1"/>
  <c r="CN79" i="1"/>
  <c r="CL79" i="1"/>
  <c r="CI79" i="1"/>
  <c r="CF79" i="1"/>
  <c r="CD79" i="1"/>
  <c r="CC79" i="1"/>
  <c r="BY79" i="1"/>
  <c r="BX79" i="1"/>
  <c r="BW79" i="1"/>
  <c r="BV79" i="1"/>
  <c r="BU79" i="1"/>
  <c r="BT79" i="1"/>
  <c r="BS79" i="1"/>
  <c r="BR79" i="1"/>
  <c r="BQ79" i="1"/>
  <c r="BP79" i="1"/>
  <c r="BO79" i="1"/>
  <c r="BL79" i="1"/>
  <c r="BI79" i="1"/>
  <c r="BH79" i="1"/>
  <c r="BG79" i="1"/>
  <c r="BE79" i="1"/>
  <c r="BD79" i="1"/>
  <c r="BC79" i="1"/>
  <c r="AZ79" i="1"/>
  <c r="AX79" i="1"/>
  <c r="AW79" i="1"/>
  <c r="AV79" i="1"/>
  <c r="AS79" i="1"/>
  <c r="AR79" i="1"/>
  <c r="AQ79" i="1"/>
  <c r="AO79" i="1"/>
  <c r="AN79" i="1"/>
  <c r="AM79" i="1"/>
  <c r="AL79" i="1"/>
  <c r="AK79" i="1"/>
  <c r="AJ79" i="1"/>
  <c r="AI79" i="1"/>
  <c r="AH79" i="1"/>
  <c r="AG79" i="1"/>
  <c r="AF79" i="1"/>
  <c r="AE79" i="1"/>
  <c r="AC79" i="1"/>
  <c r="AB79" i="1"/>
  <c r="AA79" i="1"/>
  <c r="Z79" i="1"/>
  <c r="Y79" i="1"/>
  <c r="X79" i="1"/>
  <c r="W79" i="1"/>
  <c r="V79" i="1"/>
  <c r="T79" i="1"/>
  <c r="S79" i="1"/>
  <c r="R79" i="1"/>
  <c r="Q79" i="1"/>
  <c r="M79" i="1"/>
  <c r="L79" i="1"/>
  <c r="J79" i="1"/>
  <c r="CX78" i="1"/>
  <c r="CK78" i="1"/>
  <c r="BN78" i="1"/>
  <c r="BK78" i="1"/>
  <c r="BF78" i="1"/>
  <c r="BB78" i="1"/>
  <c r="AD78" i="1"/>
  <c r="U78" i="1"/>
  <c r="P78" i="1"/>
  <c r="I78" i="1"/>
  <c r="CZ77" i="1"/>
  <c r="CY77" i="1"/>
  <c r="CS77" i="1"/>
  <c r="CN77" i="1"/>
  <c r="CL77" i="1"/>
  <c r="CI77" i="1"/>
  <c r="CF77" i="1"/>
  <c r="CC77" i="1"/>
  <c r="BY77" i="1"/>
  <c r="BX77" i="1"/>
  <c r="BW77" i="1"/>
  <c r="BV77" i="1"/>
  <c r="BU77" i="1"/>
  <c r="BT77" i="1"/>
  <c r="BS77" i="1"/>
  <c r="BR77" i="1"/>
  <c r="BQ77" i="1"/>
  <c r="BP77" i="1"/>
  <c r="BO77" i="1"/>
  <c r="BL77" i="1"/>
  <c r="BI77" i="1"/>
  <c r="BH77" i="1"/>
  <c r="BG77" i="1"/>
  <c r="BE77" i="1"/>
  <c r="BD77" i="1"/>
  <c r="BC77" i="1"/>
  <c r="AC77" i="1"/>
  <c r="AB77" i="1"/>
  <c r="AA77" i="1"/>
  <c r="Z77" i="1"/>
  <c r="Y77" i="1"/>
  <c r="X77" i="1"/>
  <c r="W77" i="1"/>
  <c r="V77" i="1"/>
  <c r="T77" i="1"/>
  <c r="S77" i="1"/>
  <c r="R77" i="1"/>
  <c r="Q77" i="1"/>
  <c r="O77" i="1"/>
  <c r="N77" i="1"/>
  <c r="M77" i="1"/>
  <c r="L77" i="1"/>
  <c r="K77" i="1"/>
  <c r="J77" i="1"/>
  <c r="H77" i="1"/>
  <c r="G77" i="1"/>
  <c r="CX76" i="1"/>
  <c r="CK76" i="1"/>
  <c r="CB76" i="1"/>
  <c r="BN76" i="1"/>
  <c r="BK76" i="1"/>
  <c r="BF76" i="1"/>
  <c r="BB76" i="1"/>
  <c r="AD76" i="1"/>
  <c r="U76" i="1"/>
  <c r="P76" i="1"/>
  <c r="I76" i="1"/>
  <c r="CZ75" i="1"/>
  <c r="CY75" i="1"/>
  <c r="CS75" i="1"/>
  <c r="CN75" i="1"/>
  <c r="CL75" i="1"/>
  <c r="CI75" i="1"/>
  <c r="CF75" i="1"/>
  <c r="CD75" i="1"/>
  <c r="CC75" i="1"/>
  <c r="BY75" i="1"/>
  <c r="BX75" i="1"/>
  <c r="BW75" i="1"/>
  <c r="BV75" i="1"/>
  <c r="BU75" i="1"/>
  <c r="BT75" i="1"/>
  <c r="BS75" i="1"/>
  <c r="BR75" i="1"/>
  <c r="BQ75" i="1"/>
  <c r="BP75" i="1"/>
  <c r="BO75" i="1"/>
  <c r="BL75" i="1"/>
  <c r="BI75" i="1"/>
  <c r="BH75" i="1"/>
  <c r="BG75" i="1"/>
  <c r="BE75" i="1"/>
  <c r="BD75" i="1"/>
  <c r="BC75" i="1"/>
  <c r="AZ75" i="1"/>
  <c r="AX75" i="1"/>
  <c r="AW75" i="1"/>
  <c r="AV75" i="1"/>
  <c r="AS75" i="1"/>
  <c r="AR75" i="1"/>
  <c r="AQ75" i="1"/>
  <c r="AO75" i="1"/>
  <c r="AN75" i="1"/>
  <c r="AM75" i="1"/>
  <c r="AL75" i="1"/>
  <c r="AK75" i="1"/>
  <c r="AJ75" i="1"/>
  <c r="AI75" i="1"/>
  <c r="AH75" i="1"/>
  <c r="AG75" i="1"/>
  <c r="AF75" i="1"/>
  <c r="AE75" i="1"/>
  <c r="T75" i="1"/>
  <c r="S75" i="1"/>
  <c r="R75" i="1"/>
  <c r="Q75" i="1"/>
  <c r="O75" i="1"/>
  <c r="N75" i="1"/>
  <c r="M75" i="1"/>
  <c r="L75" i="1"/>
  <c r="K75" i="1"/>
  <c r="J75" i="1"/>
  <c r="G75" i="1"/>
  <c r="CX74" i="1"/>
  <c r="CK74" i="1"/>
  <c r="CB74" i="1"/>
  <c r="BN74" i="1"/>
  <c r="BK74" i="1"/>
  <c r="BF74" i="1"/>
  <c r="BB74" i="1"/>
  <c r="AD74" i="1"/>
  <c r="U74" i="1"/>
  <c r="P74" i="1"/>
  <c r="I74" i="1"/>
  <c r="CZ73" i="1"/>
  <c r="CY73" i="1"/>
  <c r="CS73" i="1"/>
  <c r="CN73" i="1"/>
  <c r="CL73" i="1"/>
  <c r="CI73" i="1"/>
  <c r="CF73" i="1"/>
  <c r="CD73" i="1"/>
  <c r="CC73" i="1"/>
  <c r="BY73" i="1"/>
  <c r="BX73" i="1"/>
  <c r="BW73" i="1"/>
  <c r="BV73" i="1"/>
  <c r="BU73" i="1"/>
  <c r="BT73" i="1"/>
  <c r="BS73" i="1"/>
  <c r="BR73" i="1"/>
  <c r="BQ73" i="1"/>
  <c r="BP73" i="1"/>
  <c r="BO73" i="1"/>
  <c r="BL73" i="1"/>
  <c r="BI73" i="1"/>
  <c r="BH73" i="1"/>
  <c r="BG73" i="1"/>
  <c r="BE73" i="1"/>
  <c r="BD73" i="1"/>
  <c r="BC73" i="1"/>
  <c r="AZ73" i="1"/>
  <c r="AX73" i="1"/>
  <c r="AW73" i="1"/>
  <c r="AV73" i="1"/>
  <c r="AS73" i="1"/>
  <c r="AR73" i="1"/>
  <c r="AQ73" i="1"/>
  <c r="AO73" i="1"/>
  <c r="AN73" i="1"/>
  <c r="AM73" i="1"/>
  <c r="AL73" i="1"/>
  <c r="AK73" i="1"/>
  <c r="AJ73" i="1"/>
  <c r="AI73" i="1"/>
  <c r="AH73" i="1"/>
  <c r="AG73" i="1"/>
  <c r="AF73" i="1"/>
  <c r="AE73" i="1"/>
  <c r="T73" i="1"/>
  <c r="S73" i="1"/>
  <c r="R73" i="1"/>
  <c r="Q73" i="1"/>
  <c r="O73" i="1"/>
  <c r="N73" i="1"/>
  <c r="M73" i="1"/>
  <c r="L73" i="1"/>
  <c r="K73" i="1"/>
  <c r="J73" i="1"/>
  <c r="CX72" i="1"/>
  <c r="CK72" i="1"/>
  <c r="CB72" i="1"/>
  <c r="BN72" i="1"/>
  <c r="BK72" i="1"/>
  <c r="BF72" i="1"/>
  <c r="BB72" i="1"/>
  <c r="AD72" i="1"/>
  <c r="U72" i="1"/>
  <c r="P72" i="1"/>
  <c r="I72" i="1"/>
  <c r="CX71" i="1"/>
  <c r="CK71" i="1"/>
  <c r="CB71" i="1"/>
  <c r="BN71" i="1"/>
  <c r="BK71" i="1"/>
  <c r="BF71" i="1"/>
  <c r="BB71" i="1"/>
  <c r="AD71" i="1"/>
  <c r="U71" i="1"/>
  <c r="P71" i="1"/>
  <c r="I71" i="1"/>
  <c r="CZ70" i="1"/>
  <c r="CY70" i="1"/>
  <c r="CS70" i="1"/>
  <c r="CN70" i="1"/>
  <c r="CL70" i="1"/>
  <c r="CI70" i="1"/>
  <c r="CF70" i="1"/>
  <c r="CD70" i="1"/>
  <c r="CC70" i="1"/>
  <c r="BY70" i="1"/>
  <c r="BX70" i="1"/>
  <c r="BW70" i="1"/>
  <c r="BV70" i="1"/>
  <c r="BU70" i="1"/>
  <c r="BT70" i="1"/>
  <c r="BS70" i="1"/>
  <c r="BR70" i="1"/>
  <c r="BQ70" i="1"/>
  <c r="BP70" i="1"/>
  <c r="BO70" i="1"/>
  <c r="BL70" i="1"/>
  <c r="BI70" i="1"/>
  <c r="BH70" i="1"/>
  <c r="BG70" i="1"/>
  <c r="BE70" i="1"/>
  <c r="BD70" i="1"/>
  <c r="BC70" i="1"/>
  <c r="AZ70" i="1"/>
  <c r="AX70" i="1"/>
  <c r="AW70" i="1"/>
  <c r="AV70" i="1"/>
  <c r="AS70" i="1"/>
  <c r="AR70" i="1"/>
  <c r="AQ70" i="1"/>
  <c r="AO70" i="1"/>
  <c r="AN70" i="1"/>
  <c r="AM70" i="1"/>
  <c r="AL70" i="1"/>
  <c r="AK70" i="1"/>
  <c r="AJ70" i="1"/>
  <c r="AI70" i="1"/>
  <c r="AH70" i="1"/>
  <c r="AG70" i="1"/>
  <c r="AF70" i="1"/>
  <c r="AE70" i="1"/>
  <c r="AC70" i="1"/>
  <c r="AB70" i="1"/>
  <c r="AA70" i="1"/>
  <c r="Z70" i="1"/>
  <c r="Y70" i="1"/>
  <c r="X70" i="1"/>
  <c r="W70" i="1"/>
  <c r="V70" i="1"/>
  <c r="T70" i="1"/>
  <c r="S70" i="1"/>
  <c r="R70" i="1"/>
  <c r="Q70" i="1"/>
  <c r="O70" i="1"/>
  <c r="N70" i="1"/>
  <c r="M70" i="1"/>
  <c r="L70" i="1"/>
  <c r="K70" i="1"/>
  <c r="J70" i="1"/>
  <c r="G70" i="1"/>
  <c r="CX69" i="1"/>
  <c r="CK69" i="1"/>
  <c r="CB69" i="1"/>
  <c r="BN69" i="1"/>
  <c r="BK69" i="1"/>
  <c r="BF69" i="1"/>
  <c r="BB69" i="1"/>
  <c r="P69" i="1"/>
  <c r="I69" i="1"/>
  <c r="CZ68" i="1"/>
  <c r="CY68" i="1"/>
  <c r="CS68" i="1"/>
  <c r="CN68" i="1"/>
  <c r="CL68" i="1"/>
  <c r="CI68" i="1"/>
  <c r="CF68" i="1"/>
  <c r="CD68" i="1"/>
  <c r="CC68" i="1"/>
  <c r="BY68" i="1"/>
  <c r="BX68" i="1"/>
  <c r="BW68" i="1"/>
  <c r="BV68" i="1"/>
  <c r="BU68" i="1"/>
  <c r="BT68" i="1"/>
  <c r="BS68" i="1"/>
  <c r="BR68" i="1"/>
  <c r="BQ68" i="1"/>
  <c r="BP68" i="1"/>
  <c r="BO68" i="1"/>
  <c r="BL68" i="1"/>
  <c r="BI68" i="1"/>
  <c r="BH68" i="1"/>
  <c r="BG68" i="1"/>
  <c r="BE68" i="1"/>
  <c r="BD68" i="1"/>
  <c r="BC68" i="1"/>
  <c r="AZ68" i="1"/>
  <c r="AX68" i="1"/>
  <c r="AW68" i="1"/>
  <c r="AV68" i="1"/>
  <c r="AS68" i="1"/>
  <c r="AR68" i="1"/>
  <c r="AO68" i="1"/>
  <c r="AN68" i="1"/>
  <c r="AM68" i="1"/>
  <c r="AL68" i="1"/>
  <c r="AK68" i="1"/>
  <c r="AJ68" i="1"/>
  <c r="AI68" i="1"/>
  <c r="AH68" i="1"/>
  <c r="AG68" i="1"/>
  <c r="AF68" i="1"/>
  <c r="AE68" i="1"/>
  <c r="AC68" i="1"/>
  <c r="AB68" i="1"/>
  <c r="Z68" i="1"/>
  <c r="Y68" i="1"/>
  <c r="X68" i="1"/>
  <c r="W68" i="1"/>
  <c r="V68" i="1"/>
  <c r="T68" i="1"/>
  <c r="S68" i="1"/>
  <c r="R68" i="1"/>
  <c r="Q68" i="1"/>
  <c r="O68" i="1"/>
  <c r="N68" i="1"/>
  <c r="M68" i="1"/>
  <c r="L68" i="1"/>
  <c r="J68" i="1"/>
  <c r="G68" i="1"/>
  <c r="CX66" i="1"/>
  <c r="CK66" i="1"/>
  <c r="CB66" i="1"/>
  <c r="BN66" i="1"/>
  <c r="BK66" i="1"/>
  <c r="BF66" i="1"/>
  <c r="BB66" i="1"/>
  <c r="AD66" i="1"/>
  <c r="U66" i="1"/>
  <c r="P66" i="1"/>
  <c r="CZ65" i="1"/>
  <c r="CY65" i="1"/>
  <c r="CS65" i="1"/>
  <c r="CN65" i="1"/>
  <c r="CL65" i="1"/>
  <c r="CI65" i="1"/>
  <c r="CF65" i="1"/>
  <c r="CD65" i="1"/>
  <c r="CC65" i="1"/>
  <c r="BY65" i="1"/>
  <c r="BX65" i="1"/>
  <c r="BW65" i="1"/>
  <c r="BV65" i="1"/>
  <c r="BU65" i="1"/>
  <c r="BT65" i="1"/>
  <c r="BS65" i="1"/>
  <c r="BR65" i="1"/>
  <c r="BQ65" i="1"/>
  <c r="BP65" i="1"/>
  <c r="BO65" i="1"/>
  <c r="BL65" i="1"/>
  <c r="BI65" i="1"/>
  <c r="BH65" i="1"/>
  <c r="BG65" i="1"/>
  <c r="BE65" i="1"/>
  <c r="BD65" i="1"/>
  <c r="BC65" i="1"/>
  <c r="AZ65" i="1"/>
  <c r="AX65" i="1"/>
  <c r="AW65" i="1"/>
  <c r="AV65" i="1"/>
  <c r="AS65" i="1"/>
  <c r="AR65" i="1"/>
  <c r="AQ65" i="1"/>
  <c r="AO65" i="1"/>
  <c r="AN65" i="1"/>
  <c r="AM65" i="1"/>
  <c r="AL65" i="1"/>
  <c r="AK65" i="1"/>
  <c r="AJ65" i="1"/>
  <c r="AI65" i="1"/>
  <c r="AH65" i="1"/>
  <c r="AG65" i="1"/>
  <c r="AF65" i="1"/>
  <c r="AE65" i="1"/>
  <c r="AC65" i="1"/>
  <c r="AB65" i="1"/>
  <c r="AA65" i="1"/>
  <c r="Z65" i="1"/>
  <c r="Y65" i="1"/>
  <c r="X65" i="1"/>
  <c r="W65" i="1"/>
  <c r="V65" i="1"/>
  <c r="T65" i="1"/>
  <c r="S65" i="1"/>
  <c r="R65" i="1"/>
  <c r="Q65" i="1"/>
  <c r="O65" i="1"/>
  <c r="N65" i="1"/>
  <c r="M65" i="1"/>
  <c r="L65" i="1"/>
  <c r="K65" i="1"/>
  <c r="J65" i="1"/>
  <c r="CX64" i="1"/>
  <c r="CK64" i="1"/>
  <c r="CB64" i="1"/>
  <c r="BK64" i="1"/>
  <c r="BF64" i="1"/>
  <c r="BB64" i="1"/>
  <c r="AD64" i="1"/>
  <c r="U64" i="1"/>
  <c r="P64" i="1"/>
  <c r="CZ63" i="1"/>
  <c r="CY63" i="1"/>
  <c r="CS63" i="1"/>
  <c r="CN63" i="1"/>
  <c r="CL63" i="1"/>
  <c r="CI63" i="1"/>
  <c r="CF63" i="1"/>
  <c r="CD63" i="1"/>
  <c r="CC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L63" i="1"/>
  <c r="BI63" i="1"/>
  <c r="BH63" i="1"/>
  <c r="BG63" i="1"/>
  <c r="BE63" i="1"/>
  <c r="BD63" i="1"/>
  <c r="BC63" i="1"/>
  <c r="AZ63" i="1"/>
  <c r="AX63" i="1"/>
  <c r="AW63" i="1"/>
  <c r="AV63" i="1"/>
  <c r="AS63" i="1"/>
  <c r="AR63" i="1"/>
  <c r="AQ63" i="1"/>
  <c r="AO63" i="1"/>
  <c r="AN63" i="1"/>
  <c r="AM63" i="1"/>
  <c r="AL63" i="1"/>
  <c r="AK63" i="1"/>
  <c r="AJ63" i="1"/>
  <c r="AI63" i="1"/>
  <c r="AH63" i="1"/>
  <c r="AG63" i="1"/>
  <c r="AF63" i="1"/>
  <c r="AE63" i="1"/>
  <c r="AC63" i="1"/>
  <c r="AB63" i="1"/>
  <c r="AA63" i="1"/>
  <c r="Z63" i="1"/>
  <c r="Y63" i="1"/>
  <c r="X63" i="1"/>
  <c r="W63" i="1"/>
  <c r="V63" i="1"/>
  <c r="T63" i="1"/>
  <c r="S63" i="1"/>
  <c r="R63" i="1"/>
  <c r="Q63" i="1"/>
  <c r="O63" i="1"/>
  <c r="N63" i="1"/>
  <c r="M63" i="1"/>
  <c r="L63" i="1"/>
  <c r="K63" i="1"/>
  <c r="J63" i="1"/>
  <c r="H63" i="1"/>
  <c r="CX61" i="1"/>
  <c r="CK61" i="1"/>
  <c r="CB61" i="1"/>
  <c r="BN61" i="1"/>
  <c r="BK61" i="1"/>
  <c r="BF61" i="1"/>
  <c r="BB61" i="1"/>
  <c r="AD61" i="1"/>
  <c r="U61" i="1"/>
  <c r="P61" i="1"/>
  <c r="I61" i="1"/>
  <c r="CZ60" i="1"/>
  <c r="CY60" i="1"/>
  <c r="CS60" i="1"/>
  <c r="CN60" i="1"/>
  <c r="CL60" i="1"/>
  <c r="CI60" i="1"/>
  <c r="CF60" i="1"/>
  <c r="CD60" i="1"/>
  <c r="CC60" i="1"/>
  <c r="BY60" i="1"/>
  <c r="BX60" i="1"/>
  <c r="BW60" i="1"/>
  <c r="BV60" i="1"/>
  <c r="BU60" i="1"/>
  <c r="BT60" i="1"/>
  <c r="BS60" i="1"/>
  <c r="BR60" i="1"/>
  <c r="BQ60" i="1"/>
  <c r="BP60" i="1"/>
  <c r="BO60" i="1"/>
  <c r="BL60" i="1"/>
  <c r="BI60" i="1"/>
  <c r="BH60" i="1"/>
  <c r="BG60" i="1"/>
  <c r="BE60" i="1"/>
  <c r="BD60" i="1"/>
  <c r="BC60" i="1"/>
  <c r="AZ60" i="1"/>
  <c r="AX60" i="1"/>
  <c r="AW60" i="1"/>
  <c r="AV60" i="1"/>
  <c r="AS60" i="1"/>
  <c r="AR60" i="1"/>
  <c r="AQ60" i="1"/>
  <c r="AO60" i="1"/>
  <c r="AN60" i="1"/>
  <c r="AM60" i="1"/>
  <c r="AL60" i="1"/>
  <c r="AK60" i="1"/>
  <c r="AJ60" i="1"/>
  <c r="AI60" i="1"/>
  <c r="AH60" i="1"/>
  <c r="AG60" i="1"/>
  <c r="AF60" i="1"/>
  <c r="AE60" i="1"/>
  <c r="AC60" i="1"/>
  <c r="AB60" i="1"/>
  <c r="AA60" i="1"/>
  <c r="Z60" i="1"/>
  <c r="Y60" i="1"/>
  <c r="X60" i="1"/>
  <c r="W60" i="1"/>
  <c r="V60" i="1"/>
  <c r="T60" i="1"/>
  <c r="S60" i="1"/>
  <c r="R60" i="1"/>
  <c r="Q60" i="1"/>
  <c r="O60" i="1"/>
  <c r="N60" i="1"/>
  <c r="M60" i="1"/>
  <c r="L60" i="1"/>
  <c r="K60" i="1"/>
  <c r="J60" i="1"/>
  <c r="CX58" i="1"/>
  <c r="CK58" i="1"/>
  <c r="CB58" i="1"/>
  <c r="BN58" i="1"/>
  <c r="BK58" i="1"/>
  <c r="BF58" i="1"/>
  <c r="BB58" i="1"/>
  <c r="AD58" i="1"/>
  <c r="U58" i="1"/>
  <c r="P58" i="1"/>
  <c r="I58" i="1"/>
  <c r="CZ57" i="1"/>
  <c r="CY57" i="1"/>
  <c r="CS57" i="1"/>
  <c r="CN57" i="1"/>
  <c r="CL57" i="1"/>
  <c r="CI57" i="1"/>
  <c r="CF57" i="1"/>
  <c r="CD57" i="1"/>
  <c r="CC57" i="1"/>
  <c r="BY57" i="1"/>
  <c r="BX57" i="1"/>
  <c r="BW57" i="1"/>
  <c r="BV57" i="1"/>
  <c r="BU57" i="1"/>
  <c r="BT57" i="1"/>
  <c r="BS57" i="1"/>
  <c r="BR57" i="1"/>
  <c r="BQ57" i="1"/>
  <c r="BP57" i="1"/>
  <c r="BO57" i="1"/>
  <c r="BL57" i="1"/>
  <c r="BI57" i="1"/>
  <c r="BH57" i="1"/>
  <c r="BG57" i="1"/>
  <c r="BE57" i="1"/>
  <c r="BD57" i="1"/>
  <c r="BC57" i="1"/>
  <c r="AZ57" i="1"/>
  <c r="AX57" i="1"/>
  <c r="AW57" i="1"/>
  <c r="AV57" i="1"/>
  <c r="AU57" i="1"/>
  <c r="AT57" i="1"/>
  <c r="AS57" i="1"/>
  <c r="AR57" i="1"/>
  <c r="AQ57" i="1"/>
  <c r="AO57" i="1"/>
  <c r="AN57" i="1"/>
  <c r="AM57" i="1"/>
  <c r="AL57" i="1"/>
  <c r="AK57" i="1"/>
  <c r="AJ57" i="1"/>
  <c r="AI57" i="1"/>
  <c r="AH57" i="1"/>
  <c r="AG57" i="1"/>
  <c r="AF57" i="1"/>
  <c r="AE57" i="1"/>
  <c r="AC57" i="1"/>
  <c r="AB57" i="1"/>
  <c r="AA57" i="1"/>
  <c r="Z57" i="1"/>
  <c r="Y57" i="1"/>
  <c r="X57" i="1"/>
  <c r="W57" i="1"/>
  <c r="V57" i="1"/>
  <c r="T57" i="1"/>
  <c r="S57" i="1"/>
  <c r="R57" i="1"/>
  <c r="Q57" i="1"/>
  <c r="O57" i="1"/>
  <c r="N57" i="1"/>
  <c r="M57" i="1"/>
  <c r="L57" i="1"/>
  <c r="K57" i="1"/>
  <c r="J57" i="1"/>
  <c r="H57" i="1"/>
  <c r="G57" i="1"/>
  <c r="CX56" i="1"/>
  <c r="CK56" i="1"/>
  <c r="CB56" i="1"/>
  <c r="BN56" i="1"/>
  <c r="BK56" i="1"/>
  <c r="BF56" i="1"/>
  <c r="BB56" i="1"/>
  <c r="AD56" i="1"/>
  <c r="U56" i="1"/>
  <c r="P56" i="1"/>
  <c r="I56" i="1"/>
  <c r="CZ55" i="1"/>
  <c r="CY55" i="1"/>
  <c r="CS55" i="1"/>
  <c r="CN55" i="1"/>
  <c r="CL55" i="1"/>
  <c r="CI55" i="1"/>
  <c r="CF55" i="1"/>
  <c r="CD55" i="1"/>
  <c r="CC55" i="1"/>
  <c r="BY55" i="1"/>
  <c r="BX55" i="1"/>
  <c r="BW55" i="1"/>
  <c r="BV55" i="1"/>
  <c r="BU55" i="1"/>
  <c r="BT55" i="1"/>
  <c r="BS55" i="1"/>
  <c r="BR55" i="1"/>
  <c r="BQ55" i="1"/>
  <c r="BP55" i="1"/>
  <c r="BO55" i="1"/>
  <c r="BL55" i="1"/>
  <c r="BI55" i="1"/>
  <c r="BH55" i="1"/>
  <c r="BG55" i="1"/>
  <c r="BE55" i="1"/>
  <c r="BD55" i="1"/>
  <c r="BC55" i="1"/>
  <c r="AZ55" i="1"/>
  <c r="AX55" i="1"/>
  <c r="AW55" i="1"/>
  <c r="AV55" i="1"/>
  <c r="AS55" i="1"/>
  <c r="AR55" i="1"/>
  <c r="AQ55" i="1"/>
  <c r="AO55" i="1"/>
  <c r="AN55" i="1"/>
  <c r="AM55" i="1"/>
  <c r="AL55" i="1"/>
  <c r="AK55" i="1"/>
  <c r="AJ55" i="1"/>
  <c r="AI55" i="1"/>
  <c r="AH55" i="1"/>
  <c r="AG55" i="1"/>
  <c r="AF55" i="1"/>
  <c r="AE55" i="1"/>
  <c r="AC55" i="1"/>
  <c r="AB55" i="1"/>
  <c r="AA55" i="1"/>
  <c r="Z55" i="1"/>
  <c r="Y55" i="1"/>
  <c r="X55" i="1"/>
  <c r="W55" i="1"/>
  <c r="V55" i="1"/>
  <c r="T55" i="1"/>
  <c r="S55" i="1"/>
  <c r="R55" i="1"/>
  <c r="Q55" i="1"/>
  <c r="O55" i="1"/>
  <c r="N55" i="1"/>
  <c r="M55" i="1"/>
  <c r="L55" i="1"/>
  <c r="K55" i="1"/>
  <c r="J55" i="1"/>
  <c r="H55" i="1"/>
  <c r="CX54" i="1"/>
  <c r="CK54" i="1"/>
  <c r="CB54" i="1"/>
  <c r="BK54" i="1"/>
  <c r="BF54" i="1"/>
  <c r="BB54" i="1"/>
  <c r="AD54" i="1"/>
  <c r="U54" i="1"/>
  <c r="P54" i="1"/>
  <c r="I54" i="1"/>
  <c r="CZ53" i="1"/>
  <c r="CY53" i="1"/>
  <c r="CS53" i="1"/>
  <c r="CN53" i="1"/>
  <c r="CL53" i="1"/>
  <c r="CI53" i="1"/>
  <c r="CF53" i="1"/>
  <c r="CD53" i="1"/>
  <c r="CC53" i="1"/>
  <c r="BY53" i="1"/>
  <c r="BX53" i="1"/>
  <c r="BW53" i="1"/>
  <c r="BV53" i="1"/>
  <c r="BU53" i="1"/>
  <c r="BT53" i="1"/>
  <c r="BS53" i="1"/>
  <c r="BR53" i="1"/>
  <c r="BQ53" i="1"/>
  <c r="BP53" i="1"/>
  <c r="BO53" i="1"/>
  <c r="BL53" i="1"/>
  <c r="BI53" i="1"/>
  <c r="BH53" i="1"/>
  <c r="BG53" i="1"/>
  <c r="BE53" i="1"/>
  <c r="BD53" i="1"/>
  <c r="BC53" i="1"/>
  <c r="AZ53" i="1"/>
  <c r="AX53" i="1"/>
  <c r="AW53" i="1"/>
  <c r="AV53" i="1"/>
  <c r="AS53" i="1"/>
  <c r="AR53" i="1"/>
  <c r="AQ53" i="1"/>
  <c r="AO53" i="1"/>
  <c r="AN53" i="1"/>
  <c r="AM53" i="1"/>
  <c r="AL53" i="1"/>
  <c r="AK53" i="1"/>
  <c r="AJ53" i="1"/>
  <c r="AI53" i="1"/>
  <c r="AH53" i="1"/>
  <c r="AG53" i="1"/>
  <c r="AF53" i="1"/>
  <c r="AE53" i="1"/>
  <c r="AC53" i="1"/>
  <c r="AB53" i="1"/>
  <c r="AA53" i="1"/>
  <c r="Z53" i="1"/>
  <c r="Y53" i="1"/>
  <c r="X53" i="1"/>
  <c r="W53" i="1"/>
  <c r="V53" i="1"/>
  <c r="T53" i="1"/>
  <c r="S53" i="1"/>
  <c r="R53" i="1"/>
  <c r="Q53" i="1"/>
  <c r="CX52" i="1"/>
  <c r="CK52" i="1"/>
  <c r="CB52" i="1"/>
  <c r="BN52" i="1"/>
  <c r="BK52" i="1"/>
  <c r="BF52" i="1"/>
  <c r="BB52" i="1"/>
  <c r="AD52" i="1"/>
  <c r="U52" i="1"/>
  <c r="P52" i="1"/>
  <c r="I52" i="1"/>
  <c r="CZ51" i="1"/>
  <c r="CY51" i="1"/>
  <c r="CS51" i="1"/>
  <c r="CN51" i="1"/>
  <c r="CL51" i="1"/>
  <c r="CI51" i="1"/>
  <c r="CF51" i="1"/>
  <c r="CD51" i="1"/>
  <c r="CC51" i="1"/>
  <c r="BY51" i="1"/>
  <c r="BX51" i="1"/>
  <c r="BW51" i="1"/>
  <c r="BV51" i="1"/>
  <c r="BU51" i="1"/>
  <c r="BT51" i="1"/>
  <c r="BS51" i="1"/>
  <c r="BR51" i="1"/>
  <c r="BQ51" i="1"/>
  <c r="BP51" i="1"/>
  <c r="BO51" i="1"/>
  <c r="BL51" i="1"/>
  <c r="BI51" i="1"/>
  <c r="BH51" i="1"/>
  <c r="BG51" i="1"/>
  <c r="BE51" i="1"/>
  <c r="BD51" i="1"/>
  <c r="BC51" i="1"/>
  <c r="AZ51" i="1"/>
  <c r="AX51" i="1"/>
  <c r="AW51" i="1"/>
  <c r="AV51" i="1"/>
  <c r="AS51" i="1"/>
  <c r="AR51" i="1"/>
  <c r="AQ51" i="1"/>
  <c r="AO51" i="1"/>
  <c r="AN51" i="1"/>
  <c r="AM51" i="1"/>
  <c r="AL51" i="1"/>
  <c r="AK51" i="1"/>
  <c r="AJ51" i="1"/>
  <c r="AI51" i="1"/>
  <c r="AH51" i="1"/>
  <c r="AG51" i="1"/>
  <c r="AF51" i="1"/>
  <c r="AE51" i="1"/>
  <c r="AC51" i="1"/>
  <c r="AB51" i="1"/>
  <c r="AA51" i="1"/>
  <c r="Z51" i="1"/>
  <c r="Y51" i="1"/>
  <c r="X51" i="1"/>
  <c r="W51" i="1"/>
  <c r="V51" i="1"/>
  <c r="T51" i="1"/>
  <c r="S51" i="1"/>
  <c r="R51" i="1"/>
  <c r="Q51" i="1"/>
  <c r="O51" i="1"/>
  <c r="N51" i="1"/>
  <c r="M51" i="1"/>
  <c r="L51" i="1"/>
  <c r="K51" i="1"/>
  <c r="J51" i="1"/>
  <c r="G51" i="1"/>
  <c r="CX50" i="1"/>
  <c r="CK50" i="1"/>
  <c r="CB50" i="1"/>
  <c r="BN50" i="1"/>
  <c r="BK50" i="1"/>
  <c r="BF50" i="1"/>
  <c r="BB50" i="1"/>
  <c r="AD50" i="1"/>
  <c r="U50" i="1"/>
  <c r="P50" i="1"/>
  <c r="I50" i="1"/>
  <c r="CZ49" i="1"/>
  <c r="CY49" i="1"/>
  <c r="CS49" i="1"/>
  <c r="CN49" i="1"/>
  <c r="CL49" i="1"/>
  <c r="CI49" i="1"/>
  <c r="CF49" i="1"/>
  <c r="CD49" i="1"/>
  <c r="CC49" i="1"/>
  <c r="BY49" i="1"/>
  <c r="BX49" i="1"/>
  <c r="BW49" i="1"/>
  <c r="BV49" i="1"/>
  <c r="BU49" i="1"/>
  <c r="BT49" i="1"/>
  <c r="BS49" i="1"/>
  <c r="BR49" i="1"/>
  <c r="BQ49" i="1"/>
  <c r="BP49" i="1"/>
  <c r="BO49" i="1"/>
  <c r="BL49" i="1"/>
  <c r="BI49" i="1"/>
  <c r="BH49" i="1"/>
  <c r="BG49" i="1"/>
  <c r="BE49" i="1"/>
  <c r="BD49" i="1"/>
  <c r="BC49" i="1"/>
  <c r="AZ49" i="1"/>
  <c r="AX49" i="1"/>
  <c r="AW49" i="1"/>
  <c r="AV49" i="1"/>
  <c r="AS49" i="1"/>
  <c r="AR49" i="1"/>
  <c r="AQ49" i="1"/>
  <c r="AO49" i="1"/>
  <c r="AN49" i="1"/>
  <c r="AM49" i="1"/>
  <c r="AL49" i="1"/>
  <c r="AK49" i="1"/>
  <c r="AJ49" i="1"/>
  <c r="AI49" i="1"/>
  <c r="AH49" i="1"/>
  <c r="AG49" i="1"/>
  <c r="AF49" i="1"/>
  <c r="AE49" i="1"/>
  <c r="AC49" i="1"/>
  <c r="AB49" i="1"/>
  <c r="AA49" i="1"/>
  <c r="Z49" i="1"/>
  <c r="Y49" i="1"/>
  <c r="X49" i="1"/>
  <c r="W49" i="1"/>
  <c r="V49" i="1"/>
  <c r="T49" i="1"/>
  <c r="S49" i="1"/>
  <c r="R49" i="1"/>
  <c r="Q49" i="1"/>
  <c r="O49" i="1"/>
  <c r="N49" i="1"/>
  <c r="M49" i="1"/>
  <c r="L49" i="1"/>
  <c r="K49" i="1"/>
  <c r="J49" i="1"/>
  <c r="CX47" i="1"/>
  <c r="CK47" i="1"/>
  <c r="CB47" i="1"/>
  <c r="BN47" i="1"/>
  <c r="BK47" i="1"/>
  <c r="BF47" i="1"/>
  <c r="BB47" i="1"/>
  <c r="AD47" i="1"/>
  <c r="U47" i="1"/>
  <c r="P47" i="1"/>
  <c r="I47" i="1"/>
  <c r="CZ46" i="1"/>
  <c r="CY46" i="1"/>
  <c r="CS46" i="1"/>
  <c r="CN46" i="1"/>
  <c r="CL46" i="1"/>
  <c r="CI46" i="1"/>
  <c r="CF46" i="1"/>
  <c r="CD46" i="1"/>
  <c r="CC46" i="1"/>
  <c r="BY46" i="1"/>
  <c r="BX46" i="1"/>
  <c r="BW46" i="1"/>
  <c r="BV46" i="1"/>
  <c r="BU46" i="1"/>
  <c r="BT46" i="1"/>
  <c r="BS46" i="1"/>
  <c r="BR46" i="1"/>
  <c r="BQ46" i="1"/>
  <c r="BP46" i="1"/>
  <c r="BO46" i="1"/>
  <c r="BL46" i="1"/>
  <c r="BI46" i="1"/>
  <c r="BH46" i="1"/>
  <c r="BG46" i="1"/>
  <c r="BE46" i="1"/>
  <c r="BD46" i="1"/>
  <c r="BC46" i="1"/>
  <c r="AW46" i="1"/>
  <c r="AV46" i="1"/>
  <c r="AS46" i="1"/>
  <c r="AR46" i="1"/>
  <c r="AQ46" i="1"/>
  <c r="AO46" i="1"/>
  <c r="AN46" i="1"/>
  <c r="AM46" i="1"/>
  <c r="AL46" i="1"/>
  <c r="AK46" i="1"/>
  <c r="AJ46" i="1"/>
  <c r="AI46" i="1"/>
  <c r="AH46" i="1"/>
  <c r="AG46" i="1"/>
  <c r="AF46" i="1"/>
  <c r="AE46" i="1"/>
  <c r="AC46" i="1"/>
  <c r="AB46" i="1"/>
  <c r="AA46" i="1"/>
  <c r="Z46" i="1"/>
  <c r="Y46" i="1"/>
  <c r="X46" i="1"/>
  <c r="W46" i="1"/>
  <c r="V46" i="1"/>
  <c r="T46" i="1"/>
  <c r="S46" i="1"/>
  <c r="R46" i="1"/>
  <c r="Q46" i="1"/>
  <c r="O46" i="1"/>
  <c r="N46" i="1"/>
  <c r="M46" i="1"/>
  <c r="L46" i="1"/>
  <c r="K46" i="1"/>
  <c r="J46" i="1"/>
  <c r="CX43" i="1"/>
  <c r="CK43" i="1"/>
  <c r="CB43" i="1"/>
  <c r="BN43" i="1"/>
  <c r="BK43" i="1"/>
  <c r="BF43" i="1"/>
  <c r="BB43" i="1"/>
  <c r="Z39" i="1"/>
  <c r="P43" i="1"/>
  <c r="I43" i="1"/>
  <c r="N39" i="1"/>
  <c r="CX42" i="1"/>
  <c r="CK42" i="1"/>
  <c r="CB42" i="1"/>
  <c r="BN42" i="1"/>
  <c r="BK42" i="1"/>
  <c r="BF42" i="1"/>
  <c r="BB42" i="1"/>
  <c r="AD42" i="1"/>
  <c r="U42" i="1"/>
  <c r="P42" i="1"/>
  <c r="CX41" i="1"/>
  <c r="CK41" i="1"/>
  <c r="CB41" i="1"/>
  <c r="BN41" i="1"/>
  <c r="BK41" i="1"/>
  <c r="BF41" i="1"/>
  <c r="BB41" i="1"/>
  <c r="AD41" i="1"/>
  <c r="U41" i="1"/>
  <c r="P41" i="1"/>
  <c r="I41" i="1"/>
  <c r="R39" i="1"/>
  <c r="CX40" i="1"/>
  <c r="CK40" i="1"/>
  <c r="CB40" i="1"/>
  <c r="BN40" i="1"/>
  <c r="BK40" i="1"/>
  <c r="BF40" i="1"/>
  <c r="BB40" i="1"/>
  <c r="AD40" i="1"/>
  <c r="U40" i="1"/>
  <c r="P40" i="1"/>
  <c r="I40" i="1"/>
  <c r="CZ39" i="1"/>
  <c r="CY39" i="1"/>
  <c r="CS39" i="1"/>
  <c r="CN39" i="1"/>
  <c r="CL39" i="1"/>
  <c r="CI39" i="1"/>
  <c r="CF39" i="1"/>
  <c r="CD39" i="1"/>
  <c r="CC39" i="1"/>
  <c r="BY39" i="1"/>
  <c r="BX39" i="1"/>
  <c r="BW39" i="1"/>
  <c r="BV39" i="1"/>
  <c r="BU39" i="1"/>
  <c r="BT39" i="1"/>
  <c r="BS39" i="1"/>
  <c r="BR39" i="1"/>
  <c r="BQ39" i="1"/>
  <c r="BP39" i="1"/>
  <c r="BO39" i="1"/>
  <c r="BL39" i="1"/>
  <c r="BI39" i="1"/>
  <c r="BH39" i="1"/>
  <c r="BG39" i="1"/>
  <c r="BE39" i="1"/>
  <c r="BD39" i="1"/>
  <c r="BC39" i="1"/>
  <c r="AX39" i="1"/>
  <c r="AW39" i="1"/>
  <c r="AV39" i="1"/>
  <c r="AS39" i="1"/>
  <c r="AR39" i="1"/>
  <c r="AQ39" i="1"/>
  <c r="AO39" i="1"/>
  <c r="AN39" i="1"/>
  <c r="AM39" i="1"/>
  <c r="AL39" i="1"/>
  <c r="AK39" i="1"/>
  <c r="AJ39" i="1"/>
  <c r="AI39" i="1"/>
  <c r="AH39" i="1"/>
  <c r="AG39" i="1"/>
  <c r="AF39" i="1"/>
  <c r="AE39" i="1"/>
  <c r="AC39" i="1"/>
  <c r="AB39" i="1"/>
  <c r="AA39" i="1"/>
  <c r="Y39" i="1"/>
  <c r="X39" i="1"/>
  <c r="W39" i="1"/>
  <c r="V39" i="1"/>
  <c r="T39" i="1"/>
  <c r="S39" i="1"/>
  <c r="Q39" i="1"/>
  <c r="M39" i="1"/>
  <c r="L39" i="1"/>
  <c r="J39" i="1"/>
  <c r="CX38" i="1"/>
  <c r="CK38" i="1"/>
  <c r="CB38" i="1"/>
  <c r="BN38" i="1"/>
  <c r="BK38" i="1"/>
  <c r="BF38" i="1"/>
  <c r="BB38" i="1"/>
  <c r="AD38" i="1"/>
  <c r="U38" i="1"/>
  <c r="P38" i="1"/>
  <c r="I38" i="1"/>
  <c r="CZ37" i="1"/>
  <c r="CY37" i="1"/>
  <c r="CS37" i="1"/>
  <c r="CN37" i="1"/>
  <c r="CL37" i="1"/>
  <c r="CI37" i="1"/>
  <c r="CF37" i="1"/>
  <c r="CD37" i="1"/>
  <c r="CC37" i="1"/>
  <c r="BY37" i="1"/>
  <c r="BX37" i="1"/>
  <c r="BW37" i="1"/>
  <c r="BV37" i="1"/>
  <c r="BU37" i="1"/>
  <c r="BT37" i="1"/>
  <c r="BS37" i="1"/>
  <c r="BR37" i="1"/>
  <c r="BQ37" i="1"/>
  <c r="BP37" i="1"/>
  <c r="BO37" i="1"/>
  <c r="BL37" i="1"/>
  <c r="BI37" i="1"/>
  <c r="BH37" i="1"/>
  <c r="BG37" i="1"/>
  <c r="BE37" i="1"/>
  <c r="BD37" i="1"/>
  <c r="BC37" i="1"/>
  <c r="AZ37" i="1"/>
  <c r="AX37" i="1"/>
  <c r="AW37" i="1"/>
  <c r="AV37" i="1"/>
  <c r="AS37" i="1"/>
  <c r="AR37" i="1"/>
  <c r="AQ37" i="1"/>
  <c r="AO37" i="1"/>
  <c r="AN37" i="1"/>
  <c r="AM37" i="1"/>
  <c r="AL37" i="1"/>
  <c r="AK37" i="1"/>
  <c r="AJ37" i="1"/>
  <c r="AI37" i="1"/>
  <c r="AH37" i="1"/>
  <c r="AG37" i="1"/>
  <c r="AF37" i="1"/>
  <c r="AE37" i="1"/>
  <c r="AC37" i="1"/>
  <c r="AB37" i="1"/>
  <c r="AA37" i="1"/>
  <c r="Z37" i="1"/>
  <c r="Y37" i="1"/>
  <c r="X37" i="1"/>
  <c r="W37" i="1"/>
  <c r="V37" i="1"/>
  <c r="T37" i="1"/>
  <c r="S37" i="1"/>
  <c r="R37" i="1"/>
  <c r="Q37" i="1"/>
  <c r="O37" i="1"/>
  <c r="N37" i="1"/>
  <c r="M37" i="1"/>
  <c r="L37" i="1"/>
  <c r="K37" i="1"/>
  <c r="J37" i="1"/>
  <c r="H37" i="1"/>
  <c r="CX36" i="1"/>
  <c r="CK36" i="1"/>
  <c r="CB36" i="1"/>
  <c r="BK36" i="1"/>
  <c r="BF36" i="1"/>
  <c r="BB36" i="1"/>
  <c r="P36" i="1"/>
  <c r="I36" i="1"/>
  <c r="CX35" i="1"/>
  <c r="CK35" i="1"/>
  <c r="CB35" i="1"/>
  <c r="BN35" i="1"/>
  <c r="BK35" i="1"/>
  <c r="BF35" i="1"/>
  <c r="BB35" i="1"/>
  <c r="AD35" i="1"/>
  <c r="U35" i="1"/>
  <c r="P35" i="1"/>
  <c r="I35" i="1"/>
  <c r="CX34" i="1"/>
  <c r="CK34" i="1"/>
  <c r="BN34" i="1"/>
  <c r="BK34" i="1"/>
  <c r="BF34" i="1"/>
  <c r="BB34" i="1"/>
  <c r="U34" i="1"/>
  <c r="P34" i="1"/>
  <c r="CX33" i="1"/>
  <c r="CK33" i="1"/>
  <c r="CB33" i="1"/>
  <c r="BN33" i="1"/>
  <c r="BK33" i="1"/>
  <c r="BF33" i="1"/>
  <c r="BB33" i="1"/>
  <c r="AD33" i="1"/>
  <c r="U33" i="1"/>
  <c r="P33" i="1"/>
  <c r="I33" i="1"/>
  <c r="CX32" i="1"/>
  <c r="CK32" i="1"/>
  <c r="CB32" i="1"/>
  <c r="BN32" i="1"/>
  <c r="BK32" i="1"/>
  <c r="BF32" i="1"/>
  <c r="BB32" i="1"/>
  <c r="AD32" i="1"/>
  <c r="U32" i="1"/>
  <c r="P32" i="1"/>
  <c r="I32" i="1"/>
  <c r="CX31" i="1"/>
  <c r="CK31" i="1"/>
  <c r="CB31" i="1"/>
  <c r="BN31" i="1"/>
  <c r="BK31" i="1"/>
  <c r="BF31" i="1"/>
  <c r="BB31" i="1"/>
  <c r="AD31" i="1"/>
  <c r="U31" i="1"/>
  <c r="P31" i="1"/>
  <c r="I31" i="1"/>
  <c r="CX30" i="1"/>
  <c r="CK30" i="1"/>
  <c r="BN30" i="1"/>
  <c r="BK30" i="1"/>
  <c r="BF30" i="1"/>
  <c r="BB30" i="1"/>
  <c r="AD30" i="1"/>
  <c r="Z23" i="1"/>
  <c r="P30" i="1"/>
  <c r="CX29" i="1"/>
  <c r="CK29" i="1"/>
  <c r="CB29" i="1"/>
  <c r="BN29" i="1"/>
  <c r="BK29" i="1"/>
  <c r="BF29" i="1"/>
  <c r="BB29" i="1"/>
  <c r="AD29" i="1"/>
  <c r="U29" i="1"/>
  <c r="P29" i="1"/>
  <c r="I29" i="1"/>
  <c r="CX28" i="1"/>
  <c r="CK28" i="1"/>
  <c r="CB28" i="1"/>
  <c r="BN28" i="1"/>
  <c r="BK28" i="1"/>
  <c r="BF28" i="1"/>
  <c r="BB28" i="1"/>
  <c r="AD28" i="1"/>
  <c r="U28" i="1"/>
  <c r="P28" i="1"/>
  <c r="I28" i="1"/>
  <c r="CX27" i="1"/>
  <c r="CK27" i="1"/>
  <c r="CB27" i="1"/>
  <c r="BN27" i="1"/>
  <c r="BK27" i="1"/>
  <c r="BF27" i="1"/>
  <c r="BB27" i="1"/>
  <c r="AD27" i="1"/>
  <c r="U27" i="1"/>
  <c r="P27" i="1"/>
  <c r="I27" i="1"/>
  <c r="CX26" i="1"/>
  <c r="CK26" i="1"/>
  <c r="CB26" i="1"/>
  <c r="BN26" i="1"/>
  <c r="BK26" i="1"/>
  <c r="BF26" i="1"/>
  <c r="BB26" i="1"/>
  <c r="AD26" i="1"/>
  <c r="U26" i="1"/>
  <c r="P26" i="1"/>
  <c r="I26" i="1"/>
  <c r="CX25" i="1"/>
  <c r="CK25" i="1"/>
  <c r="CB25" i="1"/>
  <c r="BN25" i="1"/>
  <c r="BK25" i="1"/>
  <c r="BF25" i="1"/>
  <c r="BB25" i="1"/>
  <c r="AD25" i="1"/>
  <c r="U25" i="1"/>
  <c r="P25" i="1"/>
  <c r="CX24" i="1"/>
  <c r="CK24" i="1"/>
  <c r="CB24" i="1"/>
  <c r="BN24" i="1"/>
  <c r="BK24" i="1"/>
  <c r="BF24" i="1"/>
  <c r="BB24" i="1"/>
  <c r="AD24" i="1"/>
  <c r="U24" i="1"/>
  <c r="P24" i="1"/>
  <c r="I24" i="1"/>
  <c r="CZ23" i="1"/>
  <c r="CY23" i="1"/>
  <c r="CS23" i="1"/>
  <c r="CN23" i="1"/>
  <c r="CL23" i="1"/>
  <c r="CI23" i="1"/>
  <c r="CF23" i="1"/>
  <c r="CC23" i="1"/>
  <c r="BY23" i="1"/>
  <c r="BW23" i="1"/>
  <c r="BV23" i="1"/>
  <c r="BU23" i="1"/>
  <c r="BT23" i="1"/>
  <c r="BS23" i="1"/>
  <c r="BR23" i="1"/>
  <c r="BQ23" i="1"/>
  <c r="BP23" i="1"/>
  <c r="BO23" i="1"/>
  <c r="BL23" i="1"/>
  <c r="BI23" i="1"/>
  <c r="BH23" i="1"/>
  <c r="BG23" i="1"/>
  <c r="BE23" i="1"/>
  <c r="BD23" i="1"/>
  <c r="BC23" i="1"/>
  <c r="AX23" i="1"/>
  <c r="AW23" i="1"/>
  <c r="AV23" i="1"/>
  <c r="AS23" i="1"/>
  <c r="AR23" i="1"/>
  <c r="AQ23" i="1"/>
  <c r="AN23" i="1"/>
  <c r="AM23" i="1"/>
  <c r="AK23" i="1"/>
  <c r="AI23" i="1"/>
  <c r="AF23" i="1"/>
  <c r="AE23" i="1"/>
  <c r="AC23" i="1"/>
  <c r="AB23" i="1"/>
  <c r="AA23" i="1"/>
  <c r="X23" i="1"/>
  <c r="V23" i="1"/>
  <c r="T23" i="1"/>
  <c r="S23" i="1"/>
  <c r="Q23" i="1"/>
  <c r="M23" i="1"/>
  <c r="L23" i="1"/>
  <c r="K23" i="1"/>
  <c r="J23" i="1"/>
  <c r="CX22" i="1"/>
  <c r="CK22" i="1"/>
  <c r="CB22" i="1"/>
  <c r="BN22" i="1"/>
  <c r="BK22" i="1"/>
  <c r="BF22" i="1"/>
  <c r="BB22" i="1"/>
  <c r="AD22" i="1"/>
  <c r="U22" i="1"/>
  <c r="F22" i="1" s="1"/>
  <c r="P22" i="1"/>
  <c r="I22" i="1"/>
  <c r="CX21" i="1"/>
  <c r="CK21" i="1"/>
  <c r="CB21" i="1"/>
  <c r="BN21" i="1"/>
  <c r="BK21" i="1"/>
  <c r="BF21" i="1"/>
  <c r="BB21" i="1"/>
  <c r="U21" i="1"/>
  <c r="F21" i="1" s="1"/>
  <c r="P21" i="1"/>
  <c r="I21" i="1"/>
  <c r="CX20" i="1"/>
  <c r="CK20" i="1"/>
  <c r="CB20" i="1"/>
  <c r="BX19" i="1"/>
  <c r="BK20" i="1"/>
  <c r="BF20" i="1"/>
  <c r="BB20" i="1"/>
  <c r="AD20" i="1"/>
  <c r="W19" i="1"/>
  <c r="P20" i="1"/>
  <c r="I20" i="1"/>
  <c r="CZ19" i="1"/>
  <c r="CY19" i="1"/>
  <c r="CS19" i="1"/>
  <c r="CN19" i="1"/>
  <c r="CL19" i="1"/>
  <c r="CI19" i="1"/>
  <c r="CF19" i="1"/>
  <c r="CD19" i="1"/>
  <c r="CC19" i="1"/>
  <c r="BY19" i="1"/>
  <c r="BW19" i="1"/>
  <c r="BV19" i="1"/>
  <c r="BU19" i="1"/>
  <c r="BT19" i="1"/>
  <c r="BS19" i="1"/>
  <c r="BR19" i="1"/>
  <c r="BQ19" i="1"/>
  <c r="BP19" i="1"/>
  <c r="BO19" i="1"/>
  <c r="BL19" i="1"/>
  <c r="BI19" i="1"/>
  <c r="BH19" i="1"/>
  <c r="BG19" i="1"/>
  <c r="BE19" i="1"/>
  <c r="BD19" i="1"/>
  <c r="BC19" i="1"/>
  <c r="AW19" i="1"/>
  <c r="AV19" i="1"/>
  <c r="AS19" i="1"/>
  <c r="AR19" i="1"/>
  <c r="AQ19" i="1"/>
  <c r="AO19" i="1"/>
  <c r="AN19" i="1"/>
  <c r="AM19" i="1"/>
  <c r="AL19" i="1"/>
  <c r="AK19" i="1"/>
  <c r="AJ19" i="1"/>
  <c r="AI19" i="1"/>
  <c r="AH19" i="1"/>
  <c r="AF19" i="1"/>
  <c r="AE19" i="1"/>
  <c r="AC19" i="1"/>
  <c r="AB19" i="1"/>
  <c r="AA19" i="1"/>
  <c r="Z19" i="1"/>
  <c r="Y19" i="1"/>
  <c r="X19" i="1"/>
  <c r="V19" i="1"/>
  <c r="T19" i="1"/>
  <c r="S19" i="1"/>
  <c r="R19" i="1"/>
  <c r="Q19" i="1"/>
  <c r="O19" i="1"/>
  <c r="N19" i="1"/>
  <c r="M19" i="1"/>
  <c r="L19" i="1"/>
  <c r="K19" i="1"/>
  <c r="J19" i="1"/>
  <c r="G19" i="1"/>
  <c r="CX18" i="1"/>
  <c r="CK18" i="1"/>
  <c r="CB18" i="1"/>
  <c r="BN18" i="1"/>
  <c r="BK18" i="1"/>
  <c r="BF18" i="1"/>
  <c r="BB18" i="1"/>
  <c r="AD18" i="1"/>
  <c r="U18" i="1"/>
  <c r="P18" i="1"/>
  <c r="I18" i="1"/>
  <c r="CZ17" i="1"/>
  <c r="CY17" i="1"/>
  <c r="CS17" i="1"/>
  <c r="CN17" i="1"/>
  <c r="CL17" i="1"/>
  <c r="CI17" i="1"/>
  <c r="CF17" i="1"/>
  <c r="CD17" i="1"/>
  <c r="CC17" i="1"/>
  <c r="BY17" i="1"/>
  <c r="BX17" i="1"/>
  <c r="BW17" i="1"/>
  <c r="BV17" i="1"/>
  <c r="BU17" i="1"/>
  <c r="BT17" i="1"/>
  <c r="BS17" i="1"/>
  <c r="BR17" i="1"/>
  <c r="BQ17" i="1"/>
  <c r="BP17" i="1"/>
  <c r="BO17" i="1"/>
  <c r="BL17" i="1"/>
  <c r="BI17" i="1"/>
  <c r="BH17" i="1"/>
  <c r="BG17" i="1"/>
  <c r="BE17" i="1"/>
  <c r="BD17" i="1"/>
  <c r="BC17" i="1"/>
  <c r="AZ17" i="1"/>
  <c r="AX17" i="1"/>
  <c r="AW17" i="1"/>
  <c r="AV17" i="1"/>
  <c r="AS17" i="1"/>
  <c r="AR17" i="1"/>
  <c r="AQ17" i="1"/>
  <c r="AO17" i="1"/>
  <c r="AN17" i="1"/>
  <c r="AM17" i="1"/>
  <c r="AL17" i="1"/>
  <c r="AK17" i="1"/>
  <c r="AJ17" i="1"/>
  <c r="AI17" i="1"/>
  <c r="AH17" i="1"/>
  <c r="AG17" i="1"/>
  <c r="AF17" i="1"/>
  <c r="AE17" i="1"/>
  <c r="AC17" i="1"/>
  <c r="AB17" i="1"/>
  <c r="AA17" i="1"/>
  <c r="Z17" i="1"/>
  <c r="Y17" i="1"/>
  <c r="X17" i="1"/>
  <c r="W17" i="1"/>
  <c r="V17" i="1"/>
  <c r="T17" i="1"/>
  <c r="S17" i="1"/>
  <c r="R17" i="1"/>
  <c r="Q17" i="1"/>
  <c r="O17" i="1"/>
  <c r="N17" i="1"/>
  <c r="M17" i="1"/>
  <c r="L17" i="1"/>
  <c r="K17" i="1"/>
  <c r="J17" i="1"/>
  <c r="K68" i="1"/>
  <c r="CZ245" i="1"/>
  <c r="CZ231" i="1" s="1"/>
  <c r="AD314" i="1"/>
  <c r="AH169" i="1"/>
  <c r="AV313" i="1"/>
  <c r="O129" i="1"/>
  <c r="AD165" i="1"/>
  <c r="CB314" i="1"/>
  <c r="CD313" i="1"/>
  <c r="G23" i="1"/>
  <c r="CD169" i="1"/>
  <c r="CD133" i="1"/>
  <c r="I170" i="1"/>
  <c r="J169" i="1"/>
  <c r="AD230" i="1"/>
  <c r="AD228" i="1" s="1"/>
  <c r="BH308" i="1"/>
  <c r="F255" i="1" l="1"/>
  <c r="F87" i="1"/>
  <c r="F95" i="1"/>
  <c r="F89" i="1" s="1"/>
  <c r="AD89" i="1"/>
  <c r="BG159" i="1"/>
  <c r="BO159" i="1"/>
  <c r="BS159" i="1"/>
  <c r="BW159" i="1"/>
  <c r="CS159" i="1"/>
  <c r="S159" i="1"/>
  <c r="BC159" i="1"/>
  <c r="BH159" i="1"/>
  <c r="BP159" i="1"/>
  <c r="BT159" i="1"/>
  <c r="BX159" i="1"/>
  <c r="CY159" i="1"/>
  <c r="M159" i="1"/>
  <c r="AN159" i="1"/>
  <c r="J159" i="1"/>
  <c r="AO159" i="1"/>
  <c r="Z159" i="1"/>
  <c r="CF159" i="1"/>
  <c r="BA242" i="1"/>
  <c r="Q159" i="1"/>
  <c r="Y159" i="1"/>
  <c r="AC159" i="1"/>
  <c r="AK159" i="1"/>
  <c r="AW159" i="1"/>
  <c r="K159" i="1"/>
  <c r="AA159" i="1"/>
  <c r="AE159" i="1"/>
  <c r="AI159" i="1"/>
  <c r="AS159" i="1"/>
  <c r="CI159" i="1"/>
  <c r="AQ159" i="1"/>
  <c r="AJ159" i="1"/>
  <c r="AV159" i="1"/>
  <c r="AL159" i="1"/>
  <c r="AX159" i="1"/>
  <c r="L159" i="1"/>
  <c r="AB159" i="1"/>
  <c r="AF159" i="1"/>
  <c r="N290" i="1"/>
  <c r="CX321" i="1"/>
  <c r="BA40" i="1"/>
  <c r="BA41" i="1"/>
  <c r="BA42" i="1"/>
  <c r="BA54" i="1"/>
  <c r="BA58" i="1"/>
  <c r="BC59" i="1"/>
  <c r="BE59" i="1"/>
  <c r="BH59" i="1"/>
  <c r="BL59" i="1"/>
  <c r="BP59" i="1"/>
  <c r="BR59" i="1"/>
  <c r="BT59" i="1"/>
  <c r="BV59" i="1"/>
  <c r="BX59" i="1"/>
  <c r="CC59" i="1"/>
  <c r="CF59" i="1"/>
  <c r="CL59" i="1"/>
  <c r="CS59" i="1"/>
  <c r="CZ59" i="1"/>
  <c r="BA47" i="1"/>
  <c r="BA43" i="1"/>
  <c r="BA50" i="1"/>
  <c r="BA52" i="1"/>
  <c r="BA56" i="1"/>
  <c r="BD59" i="1"/>
  <c r="BG59" i="1"/>
  <c r="BI59" i="1"/>
  <c r="BO59" i="1"/>
  <c r="BQ59" i="1"/>
  <c r="BS59" i="1"/>
  <c r="BU59" i="1"/>
  <c r="BW59" i="1"/>
  <c r="BY59" i="1"/>
  <c r="CI59" i="1"/>
  <c r="CN59" i="1"/>
  <c r="CY59" i="1"/>
  <c r="BA61" i="1"/>
  <c r="CD59" i="1"/>
  <c r="AF59" i="1"/>
  <c r="AH59" i="1"/>
  <c r="AJ59" i="1"/>
  <c r="AL59" i="1"/>
  <c r="AN59" i="1"/>
  <c r="AQ59" i="1"/>
  <c r="AS59" i="1"/>
  <c r="AW59" i="1"/>
  <c r="AZ59" i="1"/>
  <c r="AE59" i="1"/>
  <c r="AG59" i="1"/>
  <c r="AI59" i="1"/>
  <c r="AK59" i="1"/>
  <c r="AM59" i="1"/>
  <c r="AO59" i="1"/>
  <c r="AR59" i="1"/>
  <c r="AV59" i="1"/>
  <c r="AX59" i="1"/>
  <c r="W59" i="1"/>
  <c r="Y59" i="1"/>
  <c r="AA59" i="1"/>
  <c r="AC59" i="1"/>
  <c r="V59" i="1"/>
  <c r="X59" i="1"/>
  <c r="Z59" i="1"/>
  <c r="AB59" i="1"/>
  <c r="R59" i="1"/>
  <c r="T59" i="1"/>
  <c r="Q59" i="1"/>
  <c r="S59" i="1"/>
  <c r="J59" i="1"/>
  <c r="L59" i="1"/>
  <c r="N59" i="1"/>
  <c r="K59" i="1"/>
  <c r="M59" i="1"/>
  <c r="O59" i="1"/>
  <c r="U106" i="1"/>
  <c r="BB106" i="1"/>
  <c r="BN106" i="1"/>
  <c r="CE106" i="1"/>
  <c r="U118" i="1"/>
  <c r="BB118" i="1"/>
  <c r="CK118" i="1"/>
  <c r="AD106" i="1"/>
  <c r="CK106" i="1"/>
  <c r="AD118" i="1"/>
  <c r="BF118" i="1"/>
  <c r="BN118" i="1"/>
  <c r="CE118" i="1"/>
  <c r="I106" i="1"/>
  <c r="CX106" i="1"/>
  <c r="I118" i="1"/>
  <c r="BK118" i="1"/>
  <c r="CB118" i="1"/>
  <c r="P106" i="1"/>
  <c r="BK106" i="1"/>
  <c r="CB106" i="1"/>
  <c r="P118" i="1"/>
  <c r="CX118" i="1"/>
  <c r="AD306" i="1"/>
  <c r="AD294" i="1" s="1"/>
  <c r="CX313" i="1"/>
  <c r="CK184" i="1"/>
  <c r="BN216" i="1"/>
  <c r="BN215" i="1" s="1"/>
  <c r="I314" i="1"/>
  <c r="BF308" i="1"/>
  <c r="AN16" i="1"/>
  <c r="AQ16" i="1"/>
  <c r="AW16" i="1"/>
  <c r="AV16" i="1"/>
  <c r="AR16" i="1"/>
  <c r="AS16" i="1"/>
  <c r="CW248" i="1"/>
  <c r="CW264" i="1"/>
  <c r="I270" i="1"/>
  <c r="CK288" i="1"/>
  <c r="BB313" i="1"/>
  <c r="CW322" i="1"/>
  <c r="J313" i="1"/>
  <c r="CW320" i="1"/>
  <c r="I321" i="1"/>
  <c r="I286" i="1"/>
  <c r="CW309" i="1"/>
  <c r="U321" i="1"/>
  <c r="AD315" i="1"/>
  <c r="U291" i="1"/>
  <c r="CK286" i="1"/>
  <c r="CW256" i="1"/>
  <c r="AD270" i="1"/>
  <c r="BA257" i="1"/>
  <c r="AO290" i="1"/>
  <c r="BW221" i="1"/>
  <c r="AV290" i="1"/>
  <c r="BN288" i="1"/>
  <c r="CW292" i="1"/>
  <c r="CX226" i="1"/>
  <c r="CB317" i="1"/>
  <c r="BA259" i="1"/>
  <c r="CW242" i="1"/>
  <c r="BU215" i="1"/>
  <c r="CW311" i="1"/>
  <c r="CW310" i="1" s="1"/>
  <c r="P226" i="1"/>
  <c r="AU293" i="1"/>
  <c r="CE270" i="1"/>
  <c r="BN270" i="1"/>
  <c r="CW223" i="1"/>
  <c r="CA320" i="1"/>
  <c r="CK317" i="1"/>
  <c r="CW273" i="1"/>
  <c r="U194" i="1"/>
  <c r="U319" i="1"/>
  <c r="CE226" i="1"/>
  <c r="BK321" i="1"/>
  <c r="CW233" i="1"/>
  <c r="BA292" i="1"/>
  <c r="BA246" i="1"/>
  <c r="CW227" i="1"/>
  <c r="CB204" i="1"/>
  <c r="BN222" i="1"/>
  <c r="CA278" i="1"/>
  <c r="I192" i="1"/>
  <c r="CB315" i="1"/>
  <c r="CB321" i="1"/>
  <c r="BA249" i="1"/>
  <c r="BK308" i="1"/>
  <c r="T290" i="1"/>
  <c r="BF286" i="1"/>
  <c r="CW278" i="1"/>
  <c r="CW243" i="1"/>
  <c r="CD221" i="1"/>
  <c r="AZ221" i="1"/>
  <c r="CW214" i="1"/>
  <c r="CK315" i="1"/>
  <c r="AD291" i="1"/>
  <c r="BS290" i="1"/>
  <c r="CW230" i="1"/>
  <c r="CW228" i="1" s="1"/>
  <c r="BN226" i="1"/>
  <c r="AI221" i="1"/>
  <c r="BB192" i="1"/>
  <c r="CB146" i="1"/>
  <c r="U171" i="1"/>
  <c r="I179" i="1"/>
  <c r="P188" i="1"/>
  <c r="BA200" i="1"/>
  <c r="BK174" i="1"/>
  <c r="CW155" i="1"/>
  <c r="BB288" i="1"/>
  <c r="CA233" i="1"/>
  <c r="BA267" i="1"/>
  <c r="BK245" i="1"/>
  <c r="BK231" i="1" s="1"/>
  <c r="CW197" i="1"/>
  <c r="CI290" i="1"/>
  <c r="AD308" i="1"/>
  <c r="CW267" i="1"/>
  <c r="CW260" i="1"/>
  <c r="CW252" i="1"/>
  <c r="BX67" i="1"/>
  <c r="CX179" i="1"/>
  <c r="CA193" i="1"/>
  <c r="CX194" i="1"/>
  <c r="BF196" i="1"/>
  <c r="AA68" i="1"/>
  <c r="AR153" i="1"/>
  <c r="CA227" i="1"/>
  <c r="W23" i="1"/>
  <c r="R23" i="1"/>
  <c r="U161" i="1"/>
  <c r="AJ23" i="1"/>
  <c r="AQ68" i="1"/>
  <c r="CD77" i="1"/>
  <c r="AS133" i="1"/>
  <c r="CD153" i="1"/>
  <c r="O171" i="1"/>
  <c r="G60" i="1"/>
  <c r="G63" i="1"/>
  <c r="H65" i="1"/>
  <c r="H73" i="1"/>
  <c r="H79" i="1"/>
  <c r="H86" i="1"/>
  <c r="H110" i="1"/>
  <c r="H105" i="1" s="1"/>
  <c r="H125" i="1"/>
  <c r="T160" i="1"/>
  <c r="R160" i="1"/>
  <c r="R159" i="1" s="1"/>
  <c r="I165" i="1"/>
  <c r="AD123" i="1"/>
  <c r="AZ160" i="1"/>
  <c r="AZ159" i="1" s="1"/>
  <c r="AM163" i="1"/>
  <c r="AM159" i="1" s="1"/>
  <c r="U165" i="1"/>
  <c r="BN153" i="1"/>
  <c r="CW189" i="1"/>
  <c r="CE194" i="1"/>
  <c r="CA199" i="1"/>
  <c r="CA209" i="1"/>
  <c r="BA212" i="1"/>
  <c r="BK204" i="1"/>
  <c r="BK222" i="1"/>
  <c r="CA242" i="1"/>
  <c r="CW246" i="1"/>
  <c r="CW247" i="1"/>
  <c r="CW249" i="1"/>
  <c r="CA251" i="1"/>
  <c r="CW251" i="1"/>
  <c r="CA253" i="1"/>
  <c r="CW253" i="1"/>
  <c r="CA255" i="1"/>
  <c r="CW255" i="1"/>
  <c r="CW257" i="1"/>
  <c r="BA258" i="1"/>
  <c r="CA258" i="1"/>
  <c r="CW259" i="1"/>
  <c r="BA260" i="1"/>
  <c r="CW261" i="1"/>
  <c r="CW263" i="1"/>
  <c r="CA264" i="1"/>
  <c r="CW265" i="1"/>
  <c r="BA266" i="1"/>
  <c r="CW269" i="1"/>
  <c r="U270" i="1"/>
  <c r="BB270" i="1"/>
  <c r="BK270" i="1"/>
  <c r="CB270" i="1"/>
  <c r="CK270" i="1"/>
  <c r="CA274" i="1"/>
  <c r="BA277" i="1"/>
  <c r="BA279" i="1"/>
  <c r="CA281" i="1"/>
  <c r="BB286" i="1"/>
  <c r="BK286" i="1"/>
  <c r="CA287" i="1"/>
  <c r="CB286" i="1"/>
  <c r="I288" i="1"/>
  <c r="BA289" i="1"/>
  <c r="BK288" i="1"/>
  <c r="AF290" i="1"/>
  <c r="BV290" i="1"/>
  <c r="CF290" i="1"/>
  <c r="CY290" i="1"/>
  <c r="I291" i="1"/>
  <c r="BB291" i="1"/>
  <c r="BK291" i="1"/>
  <c r="BA306" i="1"/>
  <c r="BA294" i="1" s="1"/>
  <c r="P308" i="1"/>
  <c r="CE308" i="1"/>
  <c r="CX308" i="1"/>
  <c r="CW314" i="1"/>
  <c r="P315" i="1"/>
  <c r="BN315" i="1"/>
  <c r="BN319" i="1"/>
  <c r="BN321" i="1"/>
  <c r="CA117" i="1"/>
  <c r="CW161" i="1"/>
  <c r="BA213" i="1"/>
  <c r="BA314" i="1"/>
  <c r="BS293" i="1"/>
  <c r="BF245" i="1"/>
  <c r="BF231" i="1" s="1"/>
  <c r="CX190" i="1"/>
  <c r="BA281" i="1"/>
  <c r="CA246" i="1"/>
  <c r="BA230" i="1"/>
  <c r="BA228" i="1" s="1"/>
  <c r="BA322" i="1"/>
  <c r="CB288" i="1"/>
  <c r="BA280" i="1"/>
  <c r="BA263" i="1"/>
  <c r="CA252" i="1"/>
  <c r="Q293" i="1"/>
  <c r="CA170" i="1"/>
  <c r="BA278" i="1"/>
  <c r="BA255" i="1"/>
  <c r="CA289" i="1"/>
  <c r="BA320" i="1"/>
  <c r="BA268" i="1"/>
  <c r="BF319" i="1"/>
  <c r="CW316" i="1"/>
  <c r="BK313" i="1"/>
  <c r="BX290" i="1"/>
  <c r="U288" i="1"/>
  <c r="CK222" i="1"/>
  <c r="CW213" i="1"/>
  <c r="BF321" i="1"/>
  <c r="BF317" i="1"/>
  <c r="CC290" i="1"/>
  <c r="U286" i="1"/>
  <c r="CW266" i="1"/>
  <c r="CW262" i="1"/>
  <c r="CW258" i="1"/>
  <c r="CW254" i="1"/>
  <c r="CW250" i="1"/>
  <c r="BB146" i="1"/>
  <c r="P133" i="1"/>
  <c r="BB153" i="1"/>
  <c r="CW134" i="1"/>
  <c r="CW126" i="1"/>
  <c r="CB171" i="1"/>
  <c r="BK153" i="1"/>
  <c r="CK171" i="1"/>
  <c r="BB169" i="1"/>
  <c r="BK171" i="1"/>
  <c r="U177" i="1"/>
  <c r="BK169" i="1"/>
  <c r="P44" i="1"/>
  <c r="BF44" i="1"/>
  <c r="CE44" i="1"/>
  <c r="I65" i="1"/>
  <c r="BF70" i="1"/>
  <c r="AD171" i="1"/>
  <c r="BA172" i="1"/>
  <c r="CW172" i="1"/>
  <c r="U174" i="1"/>
  <c r="BB174" i="1"/>
  <c r="CB174" i="1"/>
  <c r="CK174" i="1"/>
  <c r="BD168" i="1"/>
  <c r="BA178" i="1"/>
  <c r="AD179" i="1"/>
  <c r="BN179" i="1"/>
  <c r="CW180" i="1"/>
  <c r="CW182" i="1"/>
  <c r="AK181" i="1"/>
  <c r="CA185" i="1"/>
  <c r="CW185" i="1"/>
  <c r="I188" i="1"/>
  <c r="CE188" i="1"/>
  <c r="P192" i="1"/>
  <c r="AD192" i="1"/>
  <c r="BF192" i="1"/>
  <c r="BN192" i="1"/>
  <c r="CE192" i="1"/>
  <c r="CW193" i="1"/>
  <c r="P194" i="1"/>
  <c r="AD194" i="1"/>
  <c r="BN194" i="1"/>
  <c r="CW195" i="1"/>
  <c r="BA197" i="1"/>
  <c r="BA198" i="1"/>
  <c r="CA198" i="1"/>
  <c r="CK196" i="1"/>
  <c r="CW200" i="1"/>
  <c r="CW201" i="1"/>
  <c r="BA202" i="1"/>
  <c r="CW203" i="1"/>
  <c r="BF204" i="1"/>
  <c r="CA205" i="1"/>
  <c r="CX204" i="1"/>
  <c r="CW209" i="1"/>
  <c r="CA210" i="1"/>
  <c r="CA211" i="1"/>
  <c r="CA214" i="1"/>
  <c r="J215" i="1"/>
  <c r="AJ215" i="1"/>
  <c r="BC215" i="1"/>
  <c r="CF215" i="1"/>
  <c r="BB216" i="1"/>
  <c r="CK216" i="1"/>
  <c r="N221" i="1"/>
  <c r="AL221" i="1"/>
  <c r="AX221" i="1"/>
  <c r="CC221" i="1"/>
  <c r="CY221" i="1"/>
  <c r="I222" i="1"/>
  <c r="BA223" i="1"/>
  <c r="CB222" i="1"/>
  <c r="CA224" i="1"/>
  <c r="BA227" i="1"/>
  <c r="BK226" i="1"/>
  <c r="CB226" i="1"/>
  <c r="CA230" i="1"/>
  <c r="CA228" i="1" s="1"/>
  <c r="BA233" i="1"/>
  <c r="BA240" i="1"/>
  <c r="CA240" i="1"/>
  <c r="CW240" i="1"/>
  <c r="BA243" i="1"/>
  <c r="CA243" i="1"/>
  <c r="CK291" i="1"/>
  <c r="CE321" i="1"/>
  <c r="AD313" i="1"/>
  <c r="I37" i="1"/>
  <c r="AD44" i="1"/>
  <c r="BN44" i="1"/>
  <c r="CX44" i="1"/>
  <c r="CX46" i="1"/>
  <c r="CX49" i="1"/>
  <c r="CB51" i="1"/>
  <c r="CB53" i="1"/>
  <c r="CB65" i="1"/>
  <c r="P70" i="1"/>
  <c r="CX73" i="1"/>
  <c r="BB79" i="1"/>
  <c r="CB79" i="1"/>
  <c r="BF81" i="1"/>
  <c r="BN81" i="1"/>
  <c r="CX81" i="1"/>
  <c r="CS99" i="1"/>
  <c r="CW101" i="1"/>
  <c r="W102" i="1"/>
  <c r="AM102" i="1"/>
  <c r="BU102" i="1"/>
  <c r="BY102" i="1"/>
  <c r="CD102" i="1"/>
  <c r="CE103" i="1"/>
  <c r="I110" i="1"/>
  <c r="I105" i="1" s="1"/>
  <c r="BB110" i="1"/>
  <c r="CK110" i="1"/>
  <c r="U125" i="1"/>
  <c r="BB125" i="1"/>
  <c r="CB125" i="1"/>
  <c r="CW130" i="1"/>
  <c r="BB133" i="1"/>
  <c r="BK133" i="1"/>
  <c r="CK137" i="1"/>
  <c r="CE139" i="1"/>
  <c r="P141" i="1"/>
  <c r="BF141" i="1"/>
  <c r="BN141" i="1"/>
  <c r="CE141" i="1"/>
  <c r="CX141" i="1"/>
  <c r="BF146" i="1"/>
  <c r="CX146" i="1"/>
  <c r="P150" i="1"/>
  <c r="AD150" i="1"/>
  <c r="CW151" i="1"/>
  <c r="P153" i="1"/>
  <c r="BF153" i="1"/>
  <c r="CE153" i="1"/>
  <c r="CX153" i="1"/>
  <c r="CW158" i="1"/>
  <c r="CW162" i="1"/>
  <c r="BN163" i="1"/>
  <c r="AW168" i="1"/>
  <c r="P169" i="1"/>
  <c r="BF169" i="1"/>
  <c r="BN169" i="1"/>
  <c r="CW170" i="1"/>
  <c r="CE163" i="1"/>
  <c r="CK86" i="1"/>
  <c r="CX17" i="1"/>
  <c r="CX37" i="1"/>
  <c r="I44" i="1"/>
  <c r="U44" i="1"/>
  <c r="BB44" i="1"/>
  <c r="BK44" i="1"/>
  <c r="CB44" i="1"/>
  <c r="CK44" i="1"/>
  <c r="CB46" i="1"/>
  <c r="I49" i="1"/>
  <c r="CX51" i="1"/>
  <c r="CW54" i="1"/>
  <c r="I55" i="1"/>
  <c r="I57" i="1"/>
  <c r="I60" i="1"/>
  <c r="AN62" i="1"/>
  <c r="CX65" i="1"/>
  <c r="BB70" i="1"/>
  <c r="CK70" i="1"/>
  <c r="CW76" i="1"/>
  <c r="BB77" i="1"/>
  <c r="CX79" i="1"/>
  <c r="CB81" i="1"/>
  <c r="BK83" i="1"/>
  <c r="AD86" i="1"/>
  <c r="G99" i="1"/>
  <c r="AJ99" i="1"/>
  <c r="AN99" i="1"/>
  <c r="I100" i="1"/>
  <c r="CL102" i="1"/>
  <c r="CY102" i="1"/>
  <c r="I103" i="1"/>
  <c r="U103" i="1"/>
  <c r="BK103" i="1"/>
  <c r="CB103" i="1"/>
  <c r="CK103" i="1"/>
  <c r="CE110" i="1"/>
  <c r="CW111" i="1"/>
  <c r="CW114" i="1"/>
  <c r="BK116" i="1"/>
  <c r="BF122" i="1"/>
  <c r="BN122" i="1"/>
  <c r="CE122" i="1"/>
  <c r="CX122" i="1"/>
  <c r="BN125" i="1"/>
  <c r="BF133" i="1"/>
  <c r="CX137" i="1"/>
  <c r="CK139" i="1"/>
  <c r="CB141" i="1"/>
  <c r="U146" i="1"/>
  <c r="CK146" i="1"/>
  <c r="BB171" i="1"/>
  <c r="CW176" i="1"/>
  <c r="I177" i="1"/>
  <c r="BF177" i="1"/>
  <c r="CE177" i="1"/>
  <c r="CX177" i="1"/>
  <c r="CB179" i="1"/>
  <c r="I184" i="1"/>
  <c r="U184" i="1"/>
  <c r="BB184" i="1"/>
  <c r="BK184" i="1"/>
  <c r="CB184" i="1"/>
  <c r="BF188" i="1"/>
  <c r="I190" i="1"/>
  <c r="BB190" i="1"/>
  <c r="CB190" i="1"/>
  <c r="CK192" i="1"/>
  <c r="CB194" i="1"/>
  <c r="BB245" i="1"/>
  <c r="BB231" i="1" s="1"/>
  <c r="BA247" i="1"/>
  <c r="CA247" i="1"/>
  <c r="BA248" i="1"/>
  <c r="BA250" i="1"/>
  <c r="BA251" i="1"/>
  <c r="BA252" i="1"/>
  <c r="BA253" i="1"/>
  <c r="BA254" i="1"/>
  <c r="BA256" i="1"/>
  <c r="CA257" i="1"/>
  <c r="CA260" i="1"/>
  <c r="BA261" i="1"/>
  <c r="CA261" i="1"/>
  <c r="BA262" i="1"/>
  <c r="CA263" i="1"/>
  <c r="BA264" i="1"/>
  <c r="CA265" i="1"/>
  <c r="CA266" i="1"/>
  <c r="CA267" i="1"/>
  <c r="BA269" i="1"/>
  <c r="BN245" i="1"/>
  <c r="BN231" i="1" s="1"/>
  <c r="P270" i="1"/>
  <c r="BF270" i="1"/>
  <c r="CX270" i="1"/>
  <c r="BA273" i="1"/>
  <c r="CA273" i="1"/>
  <c r="BA274" i="1"/>
  <c r="CW274" i="1"/>
  <c r="BA276" i="1"/>
  <c r="CA276" i="1"/>
  <c r="CW276" i="1"/>
  <c r="CA277" i="1"/>
  <c r="CW277" i="1"/>
  <c r="CA279" i="1"/>
  <c r="CW279" i="1"/>
  <c r="CA280" i="1"/>
  <c r="CW280" i="1"/>
  <c r="CW281" i="1"/>
  <c r="BA285" i="1"/>
  <c r="CA285" i="1"/>
  <c r="CW285" i="1"/>
  <c r="AD286" i="1"/>
  <c r="BA287" i="1"/>
  <c r="BN286" i="1"/>
  <c r="CW287" i="1"/>
  <c r="P288" i="1"/>
  <c r="AD288" i="1"/>
  <c r="BF288" i="1"/>
  <c r="CE288" i="1"/>
  <c r="CW289" i="1"/>
  <c r="H290" i="1"/>
  <c r="K290" i="1"/>
  <c r="M290" i="1"/>
  <c r="O290" i="1"/>
  <c r="R290" i="1"/>
  <c r="W290" i="1"/>
  <c r="Y290" i="1"/>
  <c r="AA290" i="1"/>
  <c r="AC290" i="1"/>
  <c r="AE290" i="1"/>
  <c r="AG290" i="1"/>
  <c r="AI290" i="1"/>
  <c r="AK290" i="1"/>
  <c r="AM290" i="1"/>
  <c r="AR290" i="1"/>
  <c r="AT290" i="1"/>
  <c r="AZ290" i="1"/>
  <c r="BD290" i="1"/>
  <c r="BG290" i="1"/>
  <c r="BH290" i="1"/>
  <c r="BO290" i="1"/>
  <c r="BQ290" i="1"/>
  <c r="BU290" i="1"/>
  <c r="BW290" i="1"/>
  <c r="BY290" i="1"/>
  <c r="CN290" i="1"/>
  <c r="CS290" i="1"/>
  <c r="CZ290" i="1"/>
  <c r="P291" i="1"/>
  <c r="BF291" i="1"/>
  <c r="BN291" i="1"/>
  <c r="CE291" i="1"/>
  <c r="CX291" i="1"/>
  <c r="CW306" i="1"/>
  <c r="CW294" i="1" s="1"/>
  <c r="Y293" i="1"/>
  <c r="AE293" i="1"/>
  <c r="I308" i="1"/>
  <c r="U308" i="1"/>
  <c r="BB308" i="1"/>
  <c r="CB308" i="1"/>
  <c r="CK308" i="1"/>
  <c r="CA311" i="1"/>
  <c r="CA310" i="1" s="1"/>
  <c r="P313" i="1"/>
  <c r="BF313" i="1"/>
  <c r="I315" i="1"/>
  <c r="U315" i="1"/>
  <c r="BB315" i="1"/>
  <c r="CA316" i="1"/>
  <c r="I317" i="1"/>
  <c r="U317" i="1"/>
  <c r="BB317" i="1"/>
  <c r="BK317" i="1"/>
  <c r="CA318" i="1"/>
  <c r="AL293" i="1"/>
  <c r="I319" i="1"/>
  <c r="BK319" i="1"/>
  <c r="CB319" i="1"/>
  <c r="CK319" i="1"/>
  <c r="BO293" i="1"/>
  <c r="BW293" i="1"/>
  <c r="BB321" i="1"/>
  <c r="CA322" i="1"/>
  <c r="CK321" i="1"/>
  <c r="CW117" i="1"/>
  <c r="BA161" i="1"/>
  <c r="I204" i="1"/>
  <c r="CA213" i="1"/>
  <c r="CK204" i="1"/>
  <c r="CE245" i="1"/>
  <c r="CE231" i="1" s="1"/>
  <c r="CW268" i="1"/>
  <c r="G85" i="1"/>
  <c r="T85" i="1"/>
  <c r="CK133" i="1"/>
  <c r="O160" i="1"/>
  <c r="O159" i="1" s="1"/>
  <c r="F310" i="1"/>
  <c r="BB222" i="1"/>
  <c r="CX245" i="1"/>
  <c r="CX231" i="1" s="1"/>
  <c r="CX192" i="1"/>
  <c r="CX169" i="1"/>
  <c r="CX286" i="1"/>
  <c r="BB177" i="1"/>
  <c r="CA309" i="1"/>
  <c r="CB196" i="1"/>
  <c r="BA205" i="1"/>
  <c r="BA311" i="1"/>
  <c r="BA310" i="1" s="1"/>
  <c r="N23" i="1"/>
  <c r="AD36" i="1"/>
  <c r="Z85" i="1"/>
  <c r="BP85" i="1"/>
  <c r="BR85" i="1"/>
  <c r="I116" i="1"/>
  <c r="U116" i="1"/>
  <c r="BN116" i="1"/>
  <c r="CX116" i="1"/>
  <c r="AE112" i="1"/>
  <c r="BD112" i="1"/>
  <c r="BW112" i="1"/>
  <c r="CD112" i="1"/>
  <c r="CN112" i="1"/>
  <c r="CZ112" i="1"/>
  <c r="P122" i="1"/>
  <c r="L112" i="1"/>
  <c r="AH112" i="1"/>
  <c r="BP112" i="1"/>
  <c r="BB122" i="1"/>
  <c r="BK122" i="1"/>
  <c r="CK122" i="1"/>
  <c r="P129" i="1"/>
  <c r="BA148" i="1"/>
  <c r="BA152" i="1"/>
  <c r="BB226" i="1"/>
  <c r="P184" i="1"/>
  <c r="CW82" i="1"/>
  <c r="CX75" i="1"/>
  <c r="I154" i="1"/>
  <c r="CA155" i="1"/>
  <c r="BA158" i="1"/>
  <c r="BN160" i="1"/>
  <c r="CA162" i="1"/>
  <c r="AI168" i="1"/>
  <c r="CN168" i="1"/>
  <c r="BA176" i="1"/>
  <c r="AN168" i="1"/>
  <c r="CA183" i="1"/>
  <c r="CA186" i="1"/>
  <c r="CA189" i="1"/>
  <c r="BO62" i="1"/>
  <c r="BR124" i="1"/>
  <c r="BA127" i="1"/>
  <c r="BA132" i="1"/>
  <c r="CA144" i="1"/>
  <c r="CA152" i="1"/>
  <c r="CW142" i="1"/>
  <c r="CW178" i="1"/>
  <c r="I172" i="1"/>
  <c r="CX150" i="1"/>
  <c r="H196" i="1"/>
  <c r="BU145" i="1"/>
  <c r="BA151" i="1"/>
  <c r="CY62" i="1"/>
  <c r="CD62" i="1"/>
  <c r="CA72" i="1"/>
  <c r="BA88" i="1"/>
  <c r="E88" i="1" s="1"/>
  <c r="CA88" i="1"/>
  <c r="AF124" i="1"/>
  <c r="BL124" i="1"/>
  <c r="BA130" i="1"/>
  <c r="BK163" i="1"/>
  <c r="BU168" i="1"/>
  <c r="Y62" i="1"/>
  <c r="CW74" i="1"/>
  <c r="BF150" i="1"/>
  <c r="CE39" i="1"/>
  <c r="BS62" i="1"/>
  <c r="BW62" i="1"/>
  <c r="BY62" i="1"/>
  <c r="BA76" i="1"/>
  <c r="CA80" i="1"/>
  <c r="CA92" i="1"/>
  <c r="CA95" i="1"/>
  <c r="BA114" i="1"/>
  <c r="CA114" i="1"/>
  <c r="CY124" i="1"/>
  <c r="BA128" i="1"/>
  <c r="CA135" i="1"/>
  <c r="CA140" i="1"/>
  <c r="BX145" i="1"/>
  <c r="BA157" i="1"/>
  <c r="BA186" i="1"/>
  <c r="AL181" i="1"/>
  <c r="CB63" i="1"/>
  <c r="CA64" i="1"/>
  <c r="BF100" i="1"/>
  <c r="BA101" i="1"/>
  <c r="CE150" i="1"/>
  <c r="CA151" i="1"/>
  <c r="CW47" i="1"/>
  <c r="BB103" i="1"/>
  <c r="CA61" i="1"/>
  <c r="X293" i="1"/>
  <c r="BE293" i="1"/>
  <c r="BQ293" i="1"/>
  <c r="BU293" i="1"/>
  <c r="BY293" i="1"/>
  <c r="CF293" i="1"/>
  <c r="U133" i="1"/>
  <c r="BA183" i="1"/>
  <c r="I196" i="1"/>
  <c r="CD48" i="1"/>
  <c r="Z62" i="1"/>
  <c r="AJ62" i="1"/>
  <c r="BI62" i="1"/>
  <c r="CA84" i="1"/>
  <c r="BQ85" i="1"/>
  <c r="AH85" i="1"/>
  <c r="AW85" i="1"/>
  <c r="AG124" i="1"/>
  <c r="BA126" i="1"/>
  <c r="AD131" i="1"/>
  <c r="CF124" i="1"/>
  <c r="M145" i="1"/>
  <c r="AK145" i="1"/>
  <c r="AL168" i="1"/>
  <c r="AS168" i="1"/>
  <c r="BC168" i="1"/>
  <c r="BP168" i="1"/>
  <c r="AF168" i="1"/>
  <c r="BY168" i="1"/>
  <c r="CY168" i="1"/>
  <c r="BP181" i="1"/>
  <c r="K181" i="1"/>
  <c r="BG181" i="1"/>
  <c r="CZ181" i="1"/>
  <c r="AM293" i="1"/>
  <c r="BP293" i="1"/>
  <c r="V112" i="1"/>
  <c r="AW112" i="1"/>
  <c r="BO112" i="1"/>
  <c r="W67" i="1"/>
  <c r="T48" i="1"/>
  <c r="CB60" i="1"/>
  <c r="CX53" i="1"/>
  <c r="N62" i="1"/>
  <c r="S62" i="1"/>
  <c r="BO67" i="1"/>
  <c r="I68" i="1"/>
  <c r="U70" i="1"/>
  <c r="CA74" i="1"/>
  <c r="I77" i="1"/>
  <c r="I81" i="1"/>
  <c r="AK85" i="1"/>
  <c r="BS85" i="1"/>
  <c r="BY85" i="1"/>
  <c r="CL85" i="1"/>
  <c r="L85" i="1"/>
  <c r="V85" i="1"/>
  <c r="AL85" i="1"/>
  <c r="AS85" i="1"/>
  <c r="BC85" i="1"/>
  <c r="BL85" i="1"/>
  <c r="BV85" i="1"/>
  <c r="W99" i="1"/>
  <c r="AC99" i="1"/>
  <c r="CD99" i="1"/>
  <c r="CY99" i="1"/>
  <c r="U100" i="1"/>
  <c r="BK100" i="1"/>
  <c r="CB100" i="1"/>
  <c r="AB102" i="1"/>
  <c r="BI102" i="1"/>
  <c r="CF102" i="1"/>
  <c r="BN110" i="1"/>
  <c r="AD116" i="1"/>
  <c r="CK116" i="1"/>
  <c r="G112" i="1"/>
  <c r="J112" i="1"/>
  <c r="N112" i="1"/>
  <c r="S112" i="1"/>
  <c r="X112" i="1"/>
  <c r="AB112" i="1"/>
  <c r="AF112" i="1"/>
  <c r="AL112" i="1"/>
  <c r="AQ112" i="1"/>
  <c r="AX112" i="1"/>
  <c r="BI112" i="1"/>
  <c r="BL112" i="1"/>
  <c r="BR112" i="1"/>
  <c r="BT112" i="1"/>
  <c r="BX112" i="1"/>
  <c r="CL112" i="1"/>
  <c r="CB122" i="1"/>
  <c r="W124" i="1"/>
  <c r="AE124" i="1"/>
  <c r="AV124" i="1"/>
  <c r="BD124" i="1"/>
  <c r="BW124" i="1"/>
  <c r="AD125" i="1"/>
  <c r="CA127" i="1"/>
  <c r="CA128" i="1"/>
  <c r="CW128" i="1"/>
  <c r="CB131" i="1"/>
  <c r="BN133" i="1"/>
  <c r="CW135" i="1"/>
  <c r="P137" i="1"/>
  <c r="BF137" i="1"/>
  <c r="BN137" i="1"/>
  <c r="CE137" i="1"/>
  <c r="CL124" i="1"/>
  <c r="CK141" i="1"/>
  <c r="BA143" i="1"/>
  <c r="AJ145" i="1"/>
  <c r="BE145" i="1"/>
  <c r="CI145" i="1"/>
  <c r="CN145" i="1"/>
  <c r="CS145" i="1"/>
  <c r="CE146" i="1"/>
  <c r="K145" i="1"/>
  <c r="T145" i="1"/>
  <c r="AA145" i="1"/>
  <c r="BW145" i="1"/>
  <c r="CY145" i="1"/>
  <c r="U150" i="1"/>
  <c r="BA156" i="1"/>
  <c r="CA157" i="1"/>
  <c r="BK160" i="1"/>
  <c r="CW164" i="1"/>
  <c r="CW165" i="1"/>
  <c r="BI168" i="1"/>
  <c r="BA170" i="1"/>
  <c r="CK169" i="1"/>
  <c r="CP168" i="1"/>
  <c r="P171" i="1"/>
  <c r="BF171" i="1"/>
  <c r="BA173" i="1"/>
  <c r="CI168" i="1"/>
  <c r="P174" i="1"/>
  <c r="BF174" i="1"/>
  <c r="BN174" i="1"/>
  <c r="CE174" i="1"/>
  <c r="P177" i="1"/>
  <c r="BK177" i="1"/>
  <c r="CA178" i="1"/>
  <c r="CK177" i="1"/>
  <c r="CK179" i="1"/>
  <c r="BA185" i="1"/>
  <c r="BN184" i="1"/>
  <c r="CE184" i="1"/>
  <c r="W181" i="1"/>
  <c r="AE181" i="1"/>
  <c r="BB188" i="1"/>
  <c r="BK188" i="1"/>
  <c r="P190" i="1"/>
  <c r="BF190" i="1"/>
  <c r="CE190" i="1"/>
  <c r="U192" i="1"/>
  <c r="BK192" i="1"/>
  <c r="I194" i="1"/>
  <c r="BB194" i="1"/>
  <c r="BK194" i="1"/>
  <c r="CK194" i="1"/>
  <c r="P196" i="1"/>
  <c r="BK196" i="1"/>
  <c r="U196" i="1"/>
  <c r="CE196" i="1"/>
  <c r="CX196" i="1"/>
  <c r="CA200" i="1"/>
  <c r="CA201" i="1"/>
  <c r="BA203" i="1"/>
  <c r="CE204" i="1"/>
  <c r="BA206" i="1"/>
  <c r="CW206" i="1"/>
  <c r="CA208" i="1"/>
  <c r="BA210" i="1"/>
  <c r="CW210" i="1"/>
  <c r="CA212" i="1"/>
  <c r="G215" i="1"/>
  <c r="N215" i="1"/>
  <c r="Q215" i="1"/>
  <c r="S215" i="1"/>
  <c r="Z215" i="1"/>
  <c r="AB215" i="1"/>
  <c r="AF215" i="1"/>
  <c r="AN215" i="1"/>
  <c r="AQ215" i="1"/>
  <c r="AS215" i="1"/>
  <c r="AX215" i="1"/>
  <c r="BE215" i="1"/>
  <c r="BI215" i="1"/>
  <c r="BL215" i="1"/>
  <c r="BT215" i="1"/>
  <c r="BV215" i="1"/>
  <c r="BX215" i="1"/>
  <c r="CI215" i="1"/>
  <c r="CZ215" i="1"/>
  <c r="AD216" i="1"/>
  <c r="BF216" i="1"/>
  <c r="CW217" i="1"/>
  <c r="G221" i="1"/>
  <c r="L221" i="1"/>
  <c r="Q221" i="1"/>
  <c r="V221" i="1"/>
  <c r="X221" i="1"/>
  <c r="AF221" i="1"/>
  <c r="AH221" i="1"/>
  <c r="AN221" i="1"/>
  <c r="AQ221" i="1"/>
  <c r="AS221" i="1"/>
  <c r="AW221" i="1"/>
  <c r="BC221" i="1"/>
  <c r="BL221" i="1"/>
  <c r="BR221" i="1"/>
  <c r="BV221" i="1"/>
  <c r="BX221" i="1"/>
  <c r="CI221" i="1"/>
  <c r="CN221" i="1"/>
  <c r="P222" i="1"/>
  <c r="BB204" i="1"/>
  <c r="CX184" i="1"/>
  <c r="CY181" i="1"/>
  <c r="CA176" i="1"/>
  <c r="CC168" i="1"/>
  <c r="CB163" i="1"/>
  <c r="CX222" i="1"/>
  <c r="CW191" i="1"/>
  <c r="CX174" i="1"/>
  <c r="CX163" i="1"/>
  <c r="BB163" i="1"/>
  <c r="J153" i="1"/>
  <c r="BB150" i="1"/>
  <c r="CX188" i="1"/>
  <c r="CX171" i="1"/>
  <c r="CB150" i="1"/>
  <c r="I150" i="1"/>
  <c r="BN146" i="1"/>
  <c r="CX133" i="1"/>
  <c r="CX129" i="1"/>
  <c r="CW91" i="1"/>
  <c r="CB70" i="1"/>
  <c r="I70" i="1"/>
  <c r="CW50" i="1"/>
  <c r="CW138" i="1"/>
  <c r="CX125" i="1"/>
  <c r="CX110" i="1"/>
  <c r="CX103" i="1"/>
  <c r="BB86" i="1"/>
  <c r="BB63" i="1"/>
  <c r="K39" i="1"/>
  <c r="AZ39" i="1"/>
  <c r="BF222" i="1"/>
  <c r="CE222" i="1"/>
  <c r="CX216" i="1"/>
  <c r="BA214" i="1"/>
  <c r="AD204" i="1"/>
  <c r="J181" i="1"/>
  <c r="BA209" i="1"/>
  <c r="CA207" i="1"/>
  <c r="BN204" i="1"/>
  <c r="BW181" i="1"/>
  <c r="BA195" i="1"/>
  <c r="BA191" i="1"/>
  <c r="BA187" i="1"/>
  <c r="AD184" i="1"/>
  <c r="AD174" i="1"/>
  <c r="BE168" i="1"/>
  <c r="AX168" i="1"/>
  <c r="AU168" i="1"/>
  <c r="AQ168" i="1"/>
  <c r="CE171" i="1"/>
  <c r="AJ168" i="1"/>
  <c r="S168" i="1"/>
  <c r="CA180" i="1"/>
  <c r="CA172" i="1"/>
  <c r="BF160" i="1"/>
  <c r="CA158" i="1"/>
  <c r="CK153" i="1"/>
  <c r="BA155" i="1"/>
  <c r="BA154" i="1"/>
  <c r="CE133" i="1"/>
  <c r="BA134" i="1"/>
  <c r="BB129" i="1"/>
  <c r="P125" i="1"/>
  <c r="BA95" i="1"/>
  <c r="CX160" i="1"/>
  <c r="CK150" i="1"/>
  <c r="CE129" i="1"/>
  <c r="CA82" i="1"/>
  <c r="CA76" i="1"/>
  <c r="BB73" i="1"/>
  <c r="BK70" i="1"/>
  <c r="AE48" i="1"/>
  <c r="CZ62" i="1"/>
  <c r="AS62" i="1"/>
  <c r="V62" i="1"/>
  <c r="CA35" i="1"/>
  <c r="I226" i="1"/>
  <c r="CA223" i="1"/>
  <c r="BB196" i="1"/>
  <c r="CA195" i="1"/>
  <c r="CA191" i="1"/>
  <c r="CA187" i="1"/>
  <c r="CA175" i="1"/>
  <c r="CA173" i="1"/>
  <c r="CB169" i="1"/>
  <c r="BA165" i="1"/>
  <c r="CA164" i="1"/>
  <c r="BB160" i="1"/>
  <c r="CA156" i="1"/>
  <c r="U141" i="1"/>
  <c r="CA104" i="1"/>
  <c r="BW168" i="1"/>
  <c r="BS168" i="1"/>
  <c r="BK150" i="1"/>
  <c r="CA143" i="1"/>
  <c r="BA136" i="1"/>
  <c r="BK129" i="1"/>
  <c r="CE125" i="1"/>
  <c r="BA123" i="1"/>
  <c r="CB68" i="1"/>
  <c r="CF62" i="1"/>
  <c r="AV62" i="1"/>
  <c r="AL62" i="1"/>
  <c r="AF62" i="1"/>
  <c r="BP48" i="1"/>
  <c r="I122" i="1"/>
  <c r="U122" i="1"/>
  <c r="BA224" i="1"/>
  <c r="BA211" i="1"/>
  <c r="P204" i="1"/>
  <c r="CA202" i="1"/>
  <c r="BE181" i="1"/>
  <c r="CA182" i="1"/>
  <c r="CZ145" i="1"/>
  <c r="X181" i="1"/>
  <c r="CA126" i="1"/>
  <c r="CA123" i="1"/>
  <c r="BC112" i="1"/>
  <c r="CA101" i="1"/>
  <c r="O85" i="1"/>
  <c r="J62" i="1"/>
  <c r="CN62" i="1"/>
  <c r="X62" i="1"/>
  <c r="CD129" i="1"/>
  <c r="BO124" i="1"/>
  <c r="Z112" i="1"/>
  <c r="BE85" i="1"/>
  <c r="AQ85" i="1"/>
  <c r="BB55" i="1"/>
  <c r="CE160" i="1"/>
  <c r="CN181" i="1"/>
  <c r="AN112" i="1"/>
  <c r="Q112" i="1"/>
  <c r="BF184" i="1"/>
  <c r="U153" i="1"/>
  <c r="CC145" i="1"/>
  <c r="CA134" i="1"/>
  <c r="BV112" i="1"/>
  <c r="BY145" i="1"/>
  <c r="BB141" i="1"/>
  <c r="CB116" i="1"/>
  <c r="BU85" i="1"/>
  <c r="S85" i="1"/>
  <c r="AE67" i="1"/>
  <c r="Z181" i="1"/>
  <c r="CY112" i="1"/>
  <c r="AZ85" i="1"/>
  <c r="CA203" i="1"/>
  <c r="AB67" i="1"/>
  <c r="BB179" i="1"/>
  <c r="CA206" i="1"/>
  <c r="BA193" i="1"/>
  <c r="BV145" i="1"/>
  <c r="AJ112" i="1"/>
  <c r="Z221" i="1"/>
  <c r="X215" i="1"/>
  <c r="CW202" i="1"/>
  <c r="CW198" i="1"/>
  <c r="U179" i="1"/>
  <c r="CW175" i="1"/>
  <c r="AD137" i="1"/>
  <c r="P110" i="1"/>
  <c r="P105" i="1" s="1"/>
  <c r="CS221" i="1"/>
  <c r="BP221" i="1"/>
  <c r="CS215" i="1"/>
  <c r="BP215" i="1"/>
  <c r="CW199" i="1"/>
  <c r="AD190" i="1"/>
  <c r="CB177" i="1"/>
  <c r="CK100" i="1"/>
  <c r="CA52" i="1"/>
  <c r="AD43" i="1"/>
  <c r="X48" i="1"/>
  <c r="BX48" i="1"/>
  <c r="X85" i="1"/>
  <c r="V16" i="1"/>
  <c r="N85" i="1"/>
  <c r="BQ48" i="1"/>
  <c r="CA87" i="1"/>
  <c r="CW132" i="1"/>
  <c r="AN102" i="1"/>
  <c r="X102" i="1"/>
  <c r="BK139" i="1"/>
  <c r="BX102" i="1"/>
  <c r="BE102" i="1"/>
  <c r="CW93" i="1"/>
  <c r="BB100" i="1"/>
  <c r="U77" i="1"/>
  <c r="I42" i="1"/>
  <c r="BB39" i="1"/>
  <c r="J48" i="1"/>
  <c r="BD67" i="1"/>
  <c r="BT48" i="1"/>
  <c r="CA42" i="1"/>
  <c r="BB23" i="1"/>
  <c r="AR67" i="1"/>
  <c r="AX85" i="1"/>
  <c r="AW48" i="1"/>
  <c r="BS48" i="1"/>
  <c r="CD85" i="1"/>
  <c r="BW85" i="1"/>
  <c r="BO85" i="1"/>
  <c r="AO67" i="1"/>
  <c r="R62" i="1"/>
  <c r="W112" i="1"/>
  <c r="CA111" i="1"/>
  <c r="CW144" i="1"/>
  <c r="AJ102" i="1"/>
  <c r="S102" i="1"/>
  <c r="CL99" i="1"/>
  <c r="CW154" i="1"/>
  <c r="BN150" i="1"/>
  <c r="U139" i="1"/>
  <c r="AD103" i="1"/>
  <c r="BT102" i="1"/>
  <c r="CW96" i="1"/>
  <c r="CW92" i="1"/>
  <c r="CB110" i="1"/>
  <c r="CB19" i="1"/>
  <c r="AM48" i="1"/>
  <c r="BR48" i="1"/>
  <c r="AB85" i="1"/>
  <c r="Y67" i="1"/>
  <c r="BI85" i="1"/>
  <c r="BX85" i="1"/>
  <c r="J85" i="1"/>
  <c r="AI67" i="1"/>
  <c r="BS67" i="1"/>
  <c r="Q62" i="1"/>
  <c r="CW143" i="1"/>
  <c r="AF102" i="1"/>
  <c r="N102" i="1"/>
  <c r="CW152" i="1"/>
  <c r="BB137" i="1"/>
  <c r="BP102" i="1"/>
  <c r="CW95" i="1"/>
  <c r="AJ85" i="1"/>
  <c r="CK77" i="1"/>
  <c r="BI145" i="1"/>
  <c r="CW147" i="1"/>
  <c r="CW148" i="1"/>
  <c r="CW149" i="1"/>
  <c r="Z145" i="1"/>
  <c r="CW186" i="1"/>
  <c r="CW187" i="1"/>
  <c r="CE319" i="1"/>
  <c r="AM67" i="1"/>
  <c r="CA71" i="1"/>
  <c r="AQ102" i="1"/>
  <c r="AW102" i="1"/>
  <c r="CS102" i="1"/>
  <c r="BA104" i="1"/>
  <c r="U110" i="1"/>
  <c r="BB139" i="1"/>
  <c r="CB139" i="1"/>
  <c r="BA175" i="1"/>
  <c r="BN177" i="1"/>
  <c r="CA197" i="1"/>
  <c r="CW205" i="1"/>
  <c r="BA207" i="1"/>
  <c r="CW207" i="1"/>
  <c r="BA208" i="1"/>
  <c r="CW208" i="1"/>
  <c r="CW211" i="1"/>
  <c r="CW212" i="1"/>
  <c r="L215" i="1"/>
  <c r="V215" i="1"/>
  <c r="AH215" i="1"/>
  <c r="AL215" i="1"/>
  <c r="AW215" i="1"/>
  <c r="BR215" i="1"/>
  <c r="CC215" i="1"/>
  <c r="CN215" i="1"/>
  <c r="P216" i="1"/>
  <c r="CE216" i="1"/>
  <c r="J221" i="1"/>
  <c r="S221" i="1"/>
  <c r="AB221" i="1"/>
  <c r="AJ221" i="1"/>
  <c r="BE221" i="1"/>
  <c r="BT221" i="1"/>
  <c r="CF221" i="1"/>
  <c r="AD222" i="1"/>
  <c r="CW224" i="1"/>
  <c r="CD290" i="1"/>
  <c r="CL290" i="1"/>
  <c r="CB291" i="1"/>
  <c r="CA292" i="1"/>
  <c r="CA306" i="1"/>
  <c r="CA294" i="1" s="1"/>
  <c r="BN308" i="1"/>
  <c r="BN313" i="1"/>
  <c r="S293" i="1"/>
  <c r="BA316" i="1"/>
  <c r="BF315" i="1"/>
  <c r="CW318" i="1"/>
  <c r="L62" i="1"/>
  <c r="BL62" i="1"/>
  <c r="CA96" i="1"/>
  <c r="S99" i="1"/>
  <c r="BP99" i="1"/>
  <c r="BT99" i="1"/>
  <c r="CZ99" i="1"/>
  <c r="BY124" i="1"/>
  <c r="BF129" i="1"/>
  <c r="AJ129" i="1"/>
  <c r="BA135" i="1"/>
  <c r="P163" i="1"/>
  <c r="BA164" i="1"/>
  <c r="BN171" i="1"/>
  <c r="CW173" i="1"/>
  <c r="BK190" i="1"/>
  <c r="CK190" i="1"/>
  <c r="CS181" i="1"/>
  <c r="AM181" i="1"/>
  <c r="BF194" i="1"/>
  <c r="P286" i="1"/>
  <c r="CE286" i="1"/>
  <c r="AQ290" i="1"/>
  <c r="BP290" i="1"/>
  <c r="CE79" i="1"/>
  <c r="BK81" i="1"/>
  <c r="BK125" i="1"/>
  <c r="CK125" i="1"/>
  <c r="BA162" i="1"/>
  <c r="CK188" i="1"/>
  <c r="U188" i="1"/>
  <c r="CA249" i="1"/>
  <c r="BA265" i="1"/>
  <c r="G49" i="1"/>
  <c r="G79" i="1"/>
  <c r="G103" i="1"/>
  <c r="BN189" i="1"/>
  <c r="BY196" i="1"/>
  <c r="AC245" i="1"/>
  <c r="AC231" i="1" s="1"/>
  <c r="AS112" i="1"/>
  <c r="Y23" i="1"/>
  <c r="AZ23" i="1"/>
  <c r="G39" i="1"/>
  <c r="G53" i="1"/>
  <c r="G65" i="1"/>
  <c r="G73" i="1"/>
  <c r="G83" i="1"/>
  <c r="G125" i="1"/>
  <c r="G129" i="1"/>
  <c r="AR160" i="1"/>
  <c r="AR159" i="1" s="1"/>
  <c r="CD160" i="1"/>
  <c r="CD159" i="1" s="1"/>
  <c r="H174" i="1"/>
  <c r="J245" i="1"/>
  <c r="J231" i="1" s="1"/>
  <c r="BX23" i="1"/>
  <c r="H23" i="1"/>
  <c r="G37" i="1"/>
  <c r="G137" i="1"/>
  <c r="G146" i="1"/>
  <c r="X160" i="1"/>
  <c r="X159" i="1" s="1"/>
  <c r="H163" i="1"/>
  <c r="H184" i="1"/>
  <c r="BX188" i="1"/>
  <c r="CA28" i="1"/>
  <c r="BA18" i="1"/>
  <c r="CA50" i="1"/>
  <c r="CA54" i="1"/>
  <c r="CA56" i="1"/>
  <c r="CA58" i="1"/>
  <c r="BA64" i="1"/>
  <c r="BA69" i="1"/>
  <c r="BB319" i="1"/>
  <c r="BA74" i="1"/>
  <c r="AV67" i="1"/>
  <c r="CZ48" i="1"/>
  <c r="CX70" i="1"/>
  <c r="BQ62" i="1"/>
  <c r="M48" i="1"/>
  <c r="AA16" i="1"/>
  <c r="BW48" i="1"/>
  <c r="O48" i="1"/>
  <c r="CF67" i="1"/>
  <c r="AJ48" i="1"/>
  <c r="CD23" i="1"/>
  <c r="CA38" i="1"/>
  <c r="CW52" i="1"/>
  <c r="AS48" i="1"/>
  <c r="AK62" i="1"/>
  <c r="R48" i="1"/>
  <c r="AZ48" i="1"/>
  <c r="AR62" i="1"/>
  <c r="W62" i="1"/>
  <c r="CX60" i="1"/>
  <c r="BN39" i="1"/>
  <c r="AQ48" i="1"/>
  <c r="AI48" i="1"/>
  <c r="AB48" i="1"/>
  <c r="AG62" i="1"/>
  <c r="N48" i="1"/>
  <c r="BA35" i="1"/>
  <c r="CI62" i="1"/>
  <c r="AZ62" i="1"/>
  <c r="AC62" i="1"/>
  <c r="BV48" i="1"/>
  <c r="BD48" i="1"/>
  <c r="BQ67" i="1"/>
  <c r="O67" i="1"/>
  <c r="CC48" i="1"/>
  <c r="CW71" i="1"/>
  <c r="CA36" i="1"/>
  <c r="BO48" i="1"/>
  <c r="BT67" i="1"/>
  <c r="AK48" i="1"/>
  <c r="V48" i="1"/>
  <c r="BB65" i="1"/>
  <c r="CW61" i="1"/>
  <c r="BA72" i="1"/>
  <c r="CB73" i="1"/>
  <c r="BN70" i="1"/>
  <c r="AO48" i="1"/>
  <c r="AG48" i="1"/>
  <c r="Z48" i="1"/>
  <c r="CA43" i="1"/>
  <c r="L48" i="1"/>
  <c r="CK39" i="1"/>
  <c r="BA34" i="1"/>
  <c r="AV48" i="1"/>
  <c r="AA62" i="1"/>
  <c r="BL16" i="1"/>
  <c r="AZ67" i="1"/>
  <c r="AC67" i="1"/>
  <c r="CA66" i="1"/>
  <c r="CS62" i="1"/>
  <c r="M62" i="1"/>
  <c r="BG48" i="1"/>
  <c r="AI16" i="1"/>
  <c r="BA71" i="1"/>
  <c r="AW67" i="1"/>
  <c r="I169" i="1"/>
  <c r="CC16" i="1"/>
  <c r="BA38" i="1"/>
  <c r="BD16" i="1"/>
  <c r="BA36" i="1"/>
  <c r="T16" i="1"/>
  <c r="BB37" i="1"/>
  <c r="CA25" i="1"/>
  <c r="CS16" i="1"/>
  <c r="M16" i="1"/>
  <c r="AL48" i="1"/>
  <c r="CI48" i="1"/>
  <c r="CA41" i="1"/>
  <c r="BH48" i="1"/>
  <c r="BA32" i="1"/>
  <c r="CD168" i="1"/>
  <c r="BB19" i="1"/>
  <c r="CA33" i="1"/>
  <c r="BS16" i="1"/>
  <c r="W48" i="1"/>
  <c r="CY48" i="1"/>
  <c r="I51" i="1"/>
  <c r="I19" i="1"/>
  <c r="CN48" i="1"/>
  <c r="CS48" i="1"/>
  <c r="BR16" i="1"/>
  <c r="AF48" i="1"/>
  <c r="O23" i="1"/>
  <c r="AZ153" i="1"/>
  <c r="CB188" i="1"/>
  <c r="P321" i="1"/>
  <c r="AD60" i="1"/>
  <c r="AS153" i="1"/>
  <c r="BK179" i="1"/>
  <c r="CE315" i="1"/>
  <c r="CA18" i="1"/>
  <c r="CX39" i="1"/>
  <c r="CX319" i="1"/>
  <c r="CB268" i="1"/>
  <c r="AV293" i="1"/>
  <c r="BA28" i="1"/>
  <c r="AG23" i="1"/>
  <c r="BA25" i="1"/>
  <c r="BO16" i="1"/>
  <c r="AK16" i="1"/>
  <c r="X16" i="1"/>
  <c r="BY48" i="1"/>
  <c r="AH48" i="1"/>
  <c r="CF48" i="1"/>
  <c r="CA40" i="1"/>
  <c r="AN48" i="1"/>
  <c r="S48" i="1"/>
  <c r="BK315" i="1"/>
  <c r="I17" i="1"/>
  <c r="CA27" i="1"/>
  <c r="BH16" i="1"/>
  <c r="AD34" i="1"/>
  <c r="BA26" i="1"/>
  <c r="BA21" i="1"/>
  <c r="BW16" i="1"/>
  <c r="BC16" i="1"/>
  <c r="AE16" i="1"/>
  <c r="Q16" i="1"/>
  <c r="AA48" i="1"/>
  <c r="BC48" i="1"/>
  <c r="CL48" i="1"/>
  <c r="AC16" i="1"/>
  <c r="CA20" i="1"/>
  <c r="AD21" i="1"/>
  <c r="CE317" i="1"/>
  <c r="AD268" i="1"/>
  <c r="BA24" i="1"/>
  <c r="BF79" i="1"/>
  <c r="P146" i="1"/>
  <c r="CK63" i="1"/>
  <c r="U65" i="1"/>
  <c r="L16" i="1"/>
  <c r="CA24" i="1"/>
  <c r="P19" i="1"/>
  <c r="BU16" i="1"/>
  <c r="BT16" i="1"/>
  <c r="BI16" i="1"/>
  <c r="CY16" i="1"/>
  <c r="BA30" i="1"/>
  <c r="BF73" i="1"/>
  <c r="CA22" i="1"/>
  <c r="J16" i="1"/>
  <c r="AF16" i="1"/>
  <c r="CF16" i="1"/>
  <c r="CN16" i="1"/>
  <c r="BE16" i="1"/>
  <c r="AM16" i="1"/>
  <c r="BP16" i="1"/>
  <c r="S16" i="1"/>
  <c r="CK19" i="1"/>
  <c r="BV62" i="1"/>
  <c r="CE63" i="1"/>
  <c r="AD65" i="1"/>
  <c r="AD73" i="1"/>
  <c r="BA22" i="1"/>
  <c r="CZ16" i="1"/>
  <c r="BG16" i="1"/>
  <c r="CL16" i="1"/>
  <c r="BY16" i="1"/>
  <c r="BQ16" i="1"/>
  <c r="AB16" i="1"/>
  <c r="BK19" i="1"/>
  <c r="AD17" i="1"/>
  <c r="BN17" i="1"/>
  <c r="CE19" i="1"/>
  <c r="AX19" i="1"/>
  <c r="BF23" i="1"/>
  <c r="BA29" i="1"/>
  <c r="BA31" i="1"/>
  <c r="I34" i="1"/>
  <c r="AH23" i="1"/>
  <c r="U37" i="1"/>
  <c r="BK37" i="1"/>
  <c r="CK37" i="1"/>
  <c r="AD46" i="1"/>
  <c r="BN46" i="1"/>
  <c r="BB49" i="1"/>
  <c r="CB49" i="1"/>
  <c r="P51" i="1"/>
  <c r="BF51" i="1"/>
  <c r="CE51" i="1"/>
  <c r="U53" i="1"/>
  <c r="BK53" i="1"/>
  <c r="Y48" i="1"/>
  <c r="AC48" i="1"/>
  <c r="CB55" i="1"/>
  <c r="AD57" i="1"/>
  <c r="BN57" i="1"/>
  <c r="BB60" i="1"/>
  <c r="AB62" i="1"/>
  <c r="AX62" i="1"/>
  <c r="BE62" i="1"/>
  <c r="CC62" i="1"/>
  <c r="P63" i="1"/>
  <c r="BF63" i="1"/>
  <c r="P65" i="1"/>
  <c r="CW66" i="1"/>
  <c r="BB68" i="1"/>
  <c r="P73" i="1"/>
  <c r="CE73" i="1"/>
  <c r="U75" i="1"/>
  <c r="BB75" i="1"/>
  <c r="BN75" i="1"/>
  <c r="AK67" i="1"/>
  <c r="P77" i="1"/>
  <c r="CE77" i="1"/>
  <c r="U79" i="1"/>
  <c r="BK79" i="1"/>
  <c r="CK79" i="1"/>
  <c r="AD81" i="1"/>
  <c r="P83" i="1"/>
  <c r="CE83" i="1"/>
  <c r="K99" i="1"/>
  <c r="O99" i="1"/>
  <c r="T99" i="1"/>
  <c r="Y99" i="1"/>
  <c r="AG99" i="1"/>
  <c r="AK99" i="1"/>
  <c r="AO99" i="1"/>
  <c r="AV99" i="1"/>
  <c r="AZ99" i="1"/>
  <c r="BG99" i="1"/>
  <c r="BQ99" i="1"/>
  <c r="BU99" i="1"/>
  <c r="BY99" i="1"/>
  <c r="BW102" i="1"/>
  <c r="L102" i="1"/>
  <c r="Q102" i="1"/>
  <c r="V102" i="1"/>
  <c r="Z102" i="1"/>
  <c r="AH102" i="1"/>
  <c r="AL102" i="1"/>
  <c r="BC102" i="1"/>
  <c r="BL102" i="1"/>
  <c r="BR102" i="1"/>
  <c r="BV102" i="1"/>
  <c r="CC102" i="1"/>
  <c r="CI102" i="1"/>
  <c r="CN102" i="1"/>
  <c r="P103" i="1"/>
  <c r="BF103" i="1"/>
  <c r="P113" i="1"/>
  <c r="BF113" i="1"/>
  <c r="CE113" i="1"/>
  <c r="P116" i="1"/>
  <c r="BF116" i="1"/>
  <c r="CE116" i="1"/>
  <c r="AM112" i="1"/>
  <c r="BS112" i="1"/>
  <c r="CC112" i="1"/>
  <c r="CI112" i="1"/>
  <c r="CS112" i="1"/>
  <c r="M124" i="1"/>
  <c r="R124" i="1"/>
  <c r="AA124" i="1"/>
  <c r="AM124" i="1"/>
  <c r="AR124" i="1"/>
  <c r="BH124" i="1"/>
  <c r="BS124" i="1"/>
  <c r="BF125" i="1"/>
  <c r="S124" i="1"/>
  <c r="X124" i="1"/>
  <c r="AB124" i="1"/>
  <c r="AN124" i="1"/>
  <c r="AX124" i="1"/>
  <c r="BE124" i="1"/>
  <c r="BI124" i="1"/>
  <c r="BP124" i="1"/>
  <c r="BT124" i="1"/>
  <c r="CA130" i="1"/>
  <c r="AI129" i="1"/>
  <c r="AD139" i="1"/>
  <c r="BN139" i="1"/>
  <c r="CW140" i="1"/>
  <c r="CA142" i="1"/>
  <c r="CB154" i="1"/>
  <c r="CB192" i="1"/>
  <c r="H215" i="1"/>
  <c r="M215" i="1"/>
  <c r="R215" i="1"/>
  <c r="W215" i="1"/>
  <c r="AA215" i="1"/>
  <c r="AE215" i="1"/>
  <c r="AI215" i="1"/>
  <c r="AM215" i="1"/>
  <c r="AR215" i="1"/>
  <c r="BD215" i="1"/>
  <c r="BH215" i="1"/>
  <c r="BO215" i="1"/>
  <c r="BS215" i="1"/>
  <c r="BW215" i="1"/>
  <c r="CD215" i="1"/>
  <c r="CY215" i="1"/>
  <c r="U216" i="1"/>
  <c r="BK216" i="1"/>
  <c r="K221" i="1"/>
  <c r="O221" i="1"/>
  <c r="T221" i="1"/>
  <c r="Y221" i="1"/>
  <c r="AC221" i="1"/>
  <c r="AG221" i="1"/>
  <c r="AK221" i="1"/>
  <c r="AO221" i="1"/>
  <c r="AV221" i="1"/>
  <c r="BG221" i="1"/>
  <c r="BQ221" i="1"/>
  <c r="BU221" i="1"/>
  <c r="BY221" i="1"/>
  <c r="CL221" i="1"/>
  <c r="J290" i="1"/>
  <c r="S290" i="1"/>
  <c r="X290" i="1"/>
  <c r="AB290" i="1"/>
  <c r="AJ290" i="1"/>
  <c r="AN290" i="1"/>
  <c r="AS290" i="1"/>
  <c r="AW290" i="1"/>
  <c r="BC290" i="1"/>
  <c r="BL290" i="1"/>
  <c r="BR290" i="1"/>
  <c r="AD321" i="1"/>
  <c r="BA309" i="1"/>
  <c r="BB17" i="1"/>
  <c r="CB17" i="1"/>
  <c r="CW18" i="1"/>
  <c r="U20" i="1"/>
  <c r="F20" i="1" s="1"/>
  <c r="AZ19" i="1"/>
  <c r="CW22" i="1"/>
  <c r="U30" i="1"/>
  <c r="AL23" i="1"/>
  <c r="CW34" i="1"/>
  <c r="CW35" i="1"/>
  <c r="AO23" i="1"/>
  <c r="AD37" i="1"/>
  <c r="BN37" i="1"/>
  <c r="CW38" i="1"/>
  <c r="CW40" i="1"/>
  <c r="CW41" i="1"/>
  <c r="CW42" i="1"/>
  <c r="U43" i="1"/>
  <c r="I46" i="1"/>
  <c r="BB46" i="1"/>
  <c r="BF49" i="1"/>
  <c r="U51" i="1"/>
  <c r="BK51" i="1"/>
  <c r="CK51" i="1"/>
  <c r="AD53" i="1"/>
  <c r="P55" i="1"/>
  <c r="BF55" i="1"/>
  <c r="CE55" i="1"/>
  <c r="BB57" i="1"/>
  <c r="CB57" i="1"/>
  <c r="P60" i="1"/>
  <c r="BF60" i="1"/>
  <c r="CE60" i="1"/>
  <c r="BP62" i="1"/>
  <c r="BT62" i="1"/>
  <c r="U63" i="1"/>
  <c r="BK63" i="1"/>
  <c r="P68" i="1"/>
  <c r="BF68" i="1"/>
  <c r="CE68" i="1"/>
  <c r="S67" i="1"/>
  <c r="CW72" i="1"/>
  <c r="U73" i="1"/>
  <c r="BK73" i="1"/>
  <c r="CK73" i="1"/>
  <c r="BK77" i="1"/>
  <c r="AD79" i="1"/>
  <c r="BN79" i="1"/>
  <c r="CW80" i="1"/>
  <c r="U83" i="1"/>
  <c r="CK83" i="1"/>
  <c r="AF85" i="1"/>
  <c r="AN85" i="1"/>
  <c r="BT85" i="1"/>
  <c r="CF85" i="1"/>
  <c r="CZ85" i="1"/>
  <c r="CW88" i="1"/>
  <c r="L99" i="1"/>
  <c r="Q99" i="1"/>
  <c r="V99" i="1"/>
  <c r="Z99" i="1"/>
  <c r="AH99" i="1"/>
  <c r="AL99" i="1"/>
  <c r="AQ99" i="1"/>
  <c r="AW99" i="1"/>
  <c r="BC99" i="1"/>
  <c r="BL99" i="1"/>
  <c r="BR99" i="1"/>
  <c r="BV99" i="1"/>
  <c r="CC99" i="1"/>
  <c r="CI99" i="1"/>
  <c r="CN99" i="1"/>
  <c r="P100" i="1"/>
  <c r="CE100" i="1"/>
  <c r="M102" i="1"/>
  <c r="R102" i="1"/>
  <c r="AA102" i="1"/>
  <c r="AE102" i="1"/>
  <c r="AI102" i="1"/>
  <c r="AR102" i="1"/>
  <c r="BD102" i="1"/>
  <c r="BH102" i="1"/>
  <c r="BO102" i="1"/>
  <c r="BS102" i="1"/>
  <c r="BK110" i="1"/>
  <c r="U113" i="1"/>
  <c r="BK113" i="1"/>
  <c r="CK113" i="1"/>
  <c r="U137" i="1"/>
  <c r="BK137" i="1"/>
  <c r="I139" i="1"/>
  <c r="R145" i="1"/>
  <c r="W145" i="1"/>
  <c r="AE145" i="1"/>
  <c r="AI145" i="1"/>
  <c r="AM145" i="1"/>
  <c r="BD145" i="1"/>
  <c r="BH145" i="1"/>
  <c r="BO145" i="1"/>
  <c r="BS145" i="1"/>
  <c r="S145" i="1"/>
  <c r="X145" i="1"/>
  <c r="AB145" i="1"/>
  <c r="AF145" i="1"/>
  <c r="AN145" i="1"/>
  <c r="AX145" i="1"/>
  <c r="BP145" i="1"/>
  <c r="N153" i="1"/>
  <c r="AD154" i="1"/>
  <c r="BF163" i="1"/>
  <c r="CE169" i="1"/>
  <c r="P179" i="1"/>
  <c r="CE179" i="1"/>
  <c r="U313" i="1"/>
  <c r="CX315" i="1"/>
  <c r="CX317" i="1"/>
  <c r="P317" i="1"/>
  <c r="P319" i="1"/>
  <c r="H49" i="1"/>
  <c r="H53" i="1"/>
  <c r="H60" i="1"/>
  <c r="H70" i="1"/>
  <c r="H83" i="1"/>
  <c r="H103" i="1"/>
  <c r="H137" i="1"/>
  <c r="H146" i="1"/>
  <c r="G160" i="1"/>
  <c r="P161" i="1"/>
  <c r="T163" i="1"/>
  <c r="G179" i="1"/>
  <c r="G196" i="1"/>
  <c r="X245" i="1"/>
  <c r="X231" i="1" s="1"/>
  <c r="I268" i="1"/>
  <c r="U268" i="1"/>
  <c r="Y245" i="1"/>
  <c r="Y231" i="1" s="1"/>
  <c r="BE116" i="1"/>
  <c r="AD161" i="1"/>
  <c r="AZ245" i="1"/>
  <c r="AZ231" i="1" s="1"/>
  <c r="AD269" i="1"/>
  <c r="CB161" i="1"/>
  <c r="BN199" i="1"/>
  <c r="CD245" i="1"/>
  <c r="CD231" i="1" s="1"/>
  <c r="CB269" i="1"/>
  <c r="BV16" i="1"/>
  <c r="CI16" i="1"/>
  <c r="P17" i="1"/>
  <c r="BF17" i="1"/>
  <c r="CE17" i="1"/>
  <c r="BN20" i="1"/>
  <c r="CA21" i="1"/>
  <c r="CW24" i="1"/>
  <c r="CW25" i="1"/>
  <c r="CW26" i="1"/>
  <c r="CW27" i="1"/>
  <c r="CW28" i="1"/>
  <c r="CW29" i="1"/>
  <c r="CW30" i="1"/>
  <c r="CW31" i="1"/>
  <c r="CW32" i="1"/>
  <c r="CB34" i="1"/>
  <c r="CW36" i="1"/>
  <c r="CB37" i="1"/>
  <c r="CW43" i="1"/>
  <c r="P46" i="1"/>
  <c r="BF46" i="1"/>
  <c r="CE46" i="1"/>
  <c r="CE49" i="1"/>
  <c r="U49" i="1"/>
  <c r="BK49" i="1"/>
  <c r="CK49" i="1"/>
  <c r="AD51" i="1"/>
  <c r="BN51" i="1"/>
  <c r="BU48" i="1"/>
  <c r="I53" i="1"/>
  <c r="BB53" i="1"/>
  <c r="CE53" i="1"/>
  <c r="AR48" i="1"/>
  <c r="U55" i="1"/>
  <c r="BK55" i="1"/>
  <c r="CK55" i="1"/>
  <c r="P57" i="1"/>
  <c r="BF57" i="1"/>
  <c r="CE57" i="1"/>
  <c r="U60" i="1"/>
  <c r="BK60" i="1"/>
  <c r="CK60" i="1"/>
  <c r="AH62" i="1"/>
  <c r="AQ62" i="1"/>
  <c r="AW62" i="1"/>
  <c r="BC62" i="1"/>
  <c r="BX62" i="1"/>
  <c r="AD63" i="1"/>
  <c r="BF65" i="1"/>
  <c r="CE65" i="1"/>
  <c r="U69" i="1"/>
  <c r="BK68" i="1"/>
  <c r="CK68" i="1"/>
  <c r="BN73" i="1"/>
  <c r="CB75" i="1"/>
  <c r="AD75" i="1"/>
  <c r="BF75" i="1"/>
  <c r="CE75" i="1"/>
  <c r="AD77" i="1"/>
  <c r="BN77" i="1"/>
  <c r="I80" i="1"/>
  <c r="P81" i="1"/>
  <c r="CE81" i="1"/>
  <c r="AD83" i="1"/>
  <c r="BN83" i="1"/>
  <c r="CX83" i="1"/>
  <c r="H99" i="1"/>
  <c r="M99" i="1"/>
  <c r="R99" i="1"/>
  <c r="AA99" i="1"/>
  <c r="AE99" i="1"/>
  <c r="AI99" i="1"/>
  <c r="AM99" i="1"/>
  <c r="AR99" i="1"/>
  <c r="BD99" i="1"/>
  <c r="BH99" i="1"/>
  <c r="BO99" i="1"/>
  <c r="BS99" i="1"/>
  <c r="BW99" i="1"/>
  <c r="J102" i="1"/>
  <c r="AS102" i="1"/>
  <c r="AX102" i="1"/>
  <c r="CZ102" i="1"/>
  <c r="BN103" i="1"/>
  <c r="CW104" i="1"/>
  <c r="AD110" i="1"/>
  <c r="AD113" i="1"/>
  <c r="BN113" i="1"/>
  <c r="CX113" i="1"/>
  <c r="AC112" i="1"/>
  <c r="BQ112" i="1"/>
  <c r="BU112" i="1"/>
  <c r="BY112" i="1"/>
  <c r="CF112" i="1"/>
  <c r="CW123" i="1"/>
  <c r="K124" i="1"/>
  <c r="T124" i="1"/>
  <c r="Y124" i="1"/>
  <c r="AC124" i="1"/>
  <c r="AK124" i="1"/>
  <c r="AO124" i="1"/>
  <c r="AZ124" i="1"/>
  <c r="BG124" i="1"/>
  <c r="BQ124" i="1"/>
  <c r="BU124" i="1"/>
  <c r="CW127" i="1"/>
  <c r="Q124" i="1"/>
  <c r="V124" i="1"/>
  <c r="Z124" i="1"/>
  <c r="AQ124" i="1"/>
  <c r="AW124" i="1"/>
  <c r="BC124" i="1"/>
  <c r="U129" i="1"/>
  <c r="AL129" i="1"/>
  <c r="CW131" i="1"/>
  <c r="P139" i="1"/>
  <c r="AD146" i="1"/>
  <c r="O153" i="1"/>
  <c r="CK160" i="1"/>
  <c r="I174" i="1"/>
  <c r="U190" i="1"/>
  <c r="K215" i="1"/>
  <c r="O215" i="1"/>
  <c r="T215" i="1"/>
  <c r="Y215" i="1"/>
  <c r="AC215" i="1"/>
  <c r="AG215" i="1"/>
  <c r="AK215" i="1"/>
  <c r="AO215" i="1"/>
  <c r="AV215" i="1"/>
  <c r="AZ215" i="1"/>
  <c r="BG215" i="1"/>
  <c r="BQ215" i="1"/>
  <c r="BY215" i="1"/>
  <c r="CL215" i="1"/>
  <c r="I216" i="1"/>
  <c r="H221" i="1"/>
  <c r="M221" i="1"/>
  <c r="R221" i="1"/>
  <c r="W221" i="1"/>
  <c r="AA221" i="1"/>
  <c r="AE221" i="1"/>
  <c r="AM221" i="1"/>
  <c r="AR221" i="1"/>
  <c r="BD221" i="1"/>
  <c r="BH221" i="1"/>
  <c r="BO221" i="1"/>
  <c r="BS221" i="1"/>
  <c r="U222" i="1"/>
  <c r="U226" i="1"/>
  <c r="CK226" i="1"/>
  <c r="G290" i="1"/>
  <c r="L290" i="1"/>
  <c r="Q290" i="1"/>
  <c r="V290" i="1"/>
  <c r="Z290" i="1"/>
  <c r="AH290" i="1"/>
  <c r="AL290" i="1"/>
  <c r="AU290" i="1"/>
  <c r="AX290" i="1"/>
  <c r="BE290" i="1"/>
  <c r="BI290" i="1"/>
  <c r="BT290" i="1"/>
  <c r="U17" i="1"/>
  <c r="BK17" i="1"/>
  <c r="CK17" i="1"/>
  <c r="CW20" i="1"/>
  <c r="AG19" i="1"/>
  <c r="I25" i="1"/>
  <c r="I30" i="1"/>
  <c r="CB30" i="1"/>
  <c r="CW33" i="1"/>
  <c r="P37" i="1"/>
  <c r="BF37" i="1"/>
  <c r="CE37" i="1"/>
  <c r="O39" i="1"/>
  <c r="U46" i="1"/>
  <c r="CK46" i="1"/>
  <c r="AD49" i="1"/>
  <c r="BN49" i="1"/>
  <c r="BB51" i="1"/>
  <c r="P53" i="1"/>
  <c r="BF53" i="1"/>
  <c r="CK53" i="1"/>
  <c r="AD55" i="1"/>
  <c r="BN55" i="1"/>
  <c r="CW56" i="1"/>
  <c r="AT48" i="1"/>
  <c r="U57" i="1"/>
  <c r="BK57" i="1"/>
  <c r="CK57" i="1"/>
  <c r="BN60" i="1"/>
  <c r="BR62" i="1"/>
  <c r="CW64" i="1"/>
  <c r="BU62" i="1"/>
  <c r="BK65" i="1"/>
  <c r="CK65" i="1"/>
  <c r="AD69" i="1"/>
  <c r="BN68" i="1"/>
  <c r="CC67" i="1"/>
  <c r="CI67" i="1"/>
  <c r="CE70" i="1"/>
  <c r="I73" i="1"/>
  <c r="P75" i="1"/>
  <c r="BK75" i="1"/>
  <c r="CK75" i="1"/>
  <c r="CB78" i="1"/>
  <c r="P79" i="1"/>
  <c r="U81" i="1"/>
  <c r="CK81" i="1"/>
  <c r="BB83" i="1"/>
  <c r="CB83" i="1"/>
  <c r="Q85" i="1"/>
  <c r="CC85" i="1"/>
  <c r="CI85" i="1"/>
  <c r="CN85" i="1"/>
  <c r="CS85" i="1"/>
  <c r="CE86" i="1"/>
  <c r="J99" i="1"/>
  <c r="N99" i="1"/>
  <c r="X99" i="1"/>
  <c r="AB99" i="1"/>
  <c r="AF99" i="1"/>
  <c r="AS99" i="1"/>
  <c r="AX99" i="1"/>
  <c r="BE99" i="1"/>
  <c r="BI99" i="1"/>
  <c r="BX99" i="1"/>
  <c r="CF99" i="1"/>
  <c r="AD100" i="1"/>
  <c r="BN100" i="1"/>
  <c r="CX100" i="1"/>
  <c r="K102" i="1"/>
  <c r="O102" i="1"/>
  <c r="T102" i="1"/>
  <c r="Y102" i="1"/>
  <c r="AC102" i="1"/>
  <c r="AG102" i="1"/>
  <c r="AK102" i="1"/>
  <c r="AO102" i="1"/>
  <c r="AV102" i="1"/>
  <c r="AZ102" i="1"/>
  <c r="BG102" i="1"/>
  <c r="BQ102" i="1"/>
  <c r="I113" i="1"/>
  <c r="BB113" i="1"/>
  <c r="CB113" i="1"/>
  <c r="I125" i="1"/>
  <c r="AH129" i="1"/>
  <c r="AD136" i="1"/>
  <c r="CW136" i="1"/>
  <c r="I137" i="1"/>
  <c r="CB137" i="1"/>
  <c r="L145" i="1"/>
  <c r="Y145" i="1"/>
  <c r="AC145" i="1"/>
  <c r="AG145" i="1"/>
  <c r="AO145" i="1"/>
  <c r="AV145" i="1"/>
  <c r="BG145" i="1"/>
  <c r="BQ145" i="1"/>
  <c r="CL145" i="1"/>
  <c r="I146" i="1"/>
  <c r="CA147" i="1"/>
  <c r="CA148" i="1"/>
  <c r="CA149" i="1"/>
  <c r="Q145" i="1"/>
  <c r="V145" i="1"/>
  <c r="AH145" i="1"/>
  <c r="AL145" i="1"/>
  <c r="AQ145" i="1"/>
  <c r="AW145" i="1"/>
  <c r="BC145" i="1"/>
  <c r="BL145" i="1"/>
  <c r="BR145" i="1"/>
  <c r="CF145" i="1"/>
  <c r="CW156" i="1"/>
  <c r="CW157" i="1"/>
  <c r="CW183" i="1"/>
  <c r="AD188" i="1"/>
  <c r="BN190" i="1"/>
  <c r="BI221" i="1"/>
  <c r="CZ221" i="1"/>
  <c r="BF226" i="1"/>
  <c r="AD226" i="1"/>
  <c r="I242" i="1"/>
  <c r="CX288" i="1"/>
  <c r="CI313" i="1"/>
  <c r="AD317" i="1"/>
  <c r="BN317" i="1"/>
  <c r="AD319" i="1"/>
  <c r="H39" i="1"/>
  <c r="H46" i="1"/>
  <c r="H51" i="1"/>
  <c r="H68" i="1"/>
  <c r="H75" i="1"/>
  <c r="H81" i="1"/>
  <c r="H139" i="1"/>
  <c r="H153" i="1"/>
  <c r="H160" i="1"/>
  <c r="G163" i="1"/>
  <c r="G184" i="1"/>
  <c r="Z245" i="1"/>
  <c r="Z231" i="1" s="1"/>
  <c r="T245" i="1"/>
  <c r="T231" i="1" s="1"/>
  <c r="P268" i="1"/>
  <c r="AA245" i="1"/>
  <c r="AA231" i="1" s="1"/>
  <c r="U269" i="1"/>
  <c r="AZ122" i="1"/>
  <c r="AD162" i="1"/>
  <c r="AG163" i="1"/>
  <c r="AG159" i="1" s="1"/>
  <c r="AJ245" i="1"/>
  <c r="AJ231" i="1" s="1"/>
  <c r="CK165" i="1"/>
  <c r="BN201" i="1"/>
  <c r="CL245" i="1"/>
  <c r="CL231" i="1" s="1"/>
  <c r="CB133" i="1"/>
  <c r="CA136" i="1"/>
  <c r="CK313" i="1"/>
  <c r="CE313" i="1"/>
  <c r="BI293" i="1"/>
  <c r="T168" i="1"/>
  <c r="AH168" i="1"/>
  <c r="AD169" i="1"/>
  <c r="U169" i="1"/>
  <c r="CK129" i="1"/>
  <c r="CA132" i="1"/>
  <c r="N124" i="1"/>
  <c r="Q48" i="1"/>
  <c r="AX48" i="1"/>
  <c r="BE48" i="1"/>
  <c r="BI48" i="1"/>
  <c r="BL48" i="1"/>
  <c r="AJ67" i="1"/>
  <c r="I75" i="1"/>
  <c r="K79" i="1"/>
  <c r="BB81" i="1"/>
  <c r="BA82" i="1"/>
  <c r="K85" i="1"/>
  <c r="M85" i="1"/>
  <c r="BF179" i="1"/>
  <c r="BA180" i="1"/>
  <c r="K62" i="1"/>
  <c r="BF110" i="1"/>
  <c r="BF105" i="1" s="1"/>
  <c r="BA111" i="1"/>
  <c r="I161" i="1"/>
  <c r="N160" i="1"/>
  <c r="N245" i="1"/>
  <c r="N231" i="1" s="1"/>
  <c r="AB204" i="1"/>
  <c r="U214" i="1"/>
  <c r="AG245" i="1"/>
  <c r="AG231" i="1" s="1"/>
  <c r="AA85" i="1"/>
  <c r="AC85" i="1"/>
  <c r="AE85" i="1"/>
  <c r="AG85" i="1"/>
  <c r="AI85" i="1"/>
  <c r="AM85" i="1"/>
  <c r="BD85" i="1"/>
  <c r="BG85" i="1"/>
  <c r="N163" i="1"/>
  <c r="AH163" i="1"/>
  <c r="AH159" i="1" s="1"/>
  <c r="CL163" i="1"/>
  <c r="CL159" i="1" s="1"/>
  <c r="BX196" i="1"/>
  <c r="W245" i="1"/>
  <c r="W231" i="1" s="1"/>
  <c r="BT145" i="1"/>
  <c r="M168" i="1"/>
  <c r="Q168" i="1"/>
  <c r="V168" i="1"/>
  <c r="X168" i="1"/>
  <c r="Z168" i="1"/>
  <c r="AB168" i="1"/>
  <c r="AK168" i="1"/>
  <c r="AM168" i="1"/>
  <c r="AO168" i="1"/>
  <c r="AR168" i="1"/>
  <c r="AT168" i="1"/>
  <c r="AV168" i="1"/>
  <c r="AZ168" i="1"/>
  <c r="BG168" i="1"/>
  <c r="BH168" i="1"/>
  <c r="CA248" i="1"/>
  <c r="CA250" i="1"/>
  <c r="CA254" i="1"/>
  <c r="CA256" i="1"/>
  <c r="CA262" i="1"/>
  <c r="F228" i="1"/>
  <c r="CY85" i="1"/>
  <c r="R245" i="1"/>
  <c r="R231" i="1" s="1"/>
  <c r="V245" i="1"/>
  <c r="V231" i="1" s="1"/>
  <c r="I269" i="1"/>
  <c r="O245" i="1"/>
  <c r="O231" i="1" s="1"/>
  <c r="BO168" i="1"/>
  <c r="BQ168" i="1"/>
  <c r="CL168" i="1"/>
  <c r="K168" i="1"/>
  <c r="L168" i="1"/>
  <c r="N168" i="1"/>
  <c r="R168" i="1"/>
  <c r="W168" i="1"/>
  <c r="Y168" i="1"/>
  <c r="AA168" i="1"/>
  <c r="AC168" i="1"/>
  <c r="AE168" i="1"/>
  <c r="AG168" i="1"/>
  <c r="BL168" i="1"/>
  <c r="BR168" i="1"/>
  <c r="BT168" i="1"/>
  <c r="BV168" i="1"/>
  <c r="BX168" i="1"/>
  <c r="CF168" i="1"/>
  <c r="M181" i="1"/>
  <c r="O181" i="1"/>
  <c r="R181" i="1"/>
  <c r="T181" i="1"/>
  <c r="Y181" i="1"/>
  <c r="AA181" i="1"/>
  <c r="AC181" i="1"/>
  <c r="AG181" i="1"/>
  <c r="AI181" i="1"/>
  <c r="AO181" i="1"/>
  <c r="AR181" i="1"/>
  <c r="AV181" i="1"/>
  <c r="AZ181" i="1"/>
  <c r="BD181" i="1"/>
  <c r="BH181" i="1"/>
  <c r="BO181" i="1"/>
  <c r="BQ181" i="1"/>
  <c r="BS181" i="1"/>
  <c r="L181" i="1"/>
  <c r="N181" i="1"/>
  <c r="Q181" i="1"/>
  <c r="S181" i="1"/>
  <c r="V181" i="1"/>
  <c r="AF181" i="1"/>
  <c r="AH181" i="1"/>
  <c r="AJ181" i="1"/>
  <c r="AN181" i="1"/>
  <c r="AQ181" i="1"/>
  <c r="AS181" i="1"/>
  <c r="AW181" i="1"/>
  <c r="AX181" i="1"/>
  <c r="BC181" i="1"/>
  <c r="BI181" i="1"/>
  <c r="BL181" i="1"/>
  <c r="BR181" i="1"/>
  <c r="BT181" i="1"/>
  <c r="BV181" i="1"/>
  <c r="CF181" i="1"/>
  <c r="CI181" i="1"/>
  <c r="BA217" i="1"/>
  <c r="CA217" i="1"/>
  <c r="CK245" i="1"/>
  <c r="CK231" i="1" s="1"/>
  <c r="CW58" i="1"/>
  <c r="CX57" i="1"/>
  <c r="AE62" i="1"/>
  <c r="AI62" i="1"/>
  <c r="AM62" i="1"/>
  <c r="AO62" i="1"/>
  <c r="BD62" i="1"/>
  <c r="BG62" i="1"/>
  <c r="BH62" i="1"/>
  <c r="CW69" i="1"/>
  <c r="CX68" i="1"/>
  <c r="CL62" i="1"/>
  <c r="CW78" i="1"/>
  <c r="CX77" i="1"/>
  <c r="BK23" i="1"/>
  <c r="CK23" i="1"/>
  <c r="CA26" i="1"/>
  <c r="BA33" i="1"/>
  <c r="BK39" i="1"/>
  <c r="CB39" i="1"/>
  <c r="CA47" i="1"/>
  <c r="J67" i="1"/>
  <c r="CA69" i="1"/>
  <c r="CL67" i="1"/>
  <c r="BU181" i="1"/>
  <c r="BA138" i="1"/>
  <c r="BV124" i="1"/>
  <c r="BX124" i="1"/>
  <c r="CC124" i="1"/>
  <c r="CI124" i="1"/>
  <c r="CN124" i="1"/>
  <c r="CS124" i="1"/>
  <c r="CZ124" i="1"/>
  <c r="BA144" i="1"/>
  <c r="BA147" i="1"/>
  <c r="BA149" i="1"/>
  <c r="CS168" i="1"/>
  <c r="CZ168" i="1"/>
  <c r="CD181" i="1"/>
  <c r="CL181" i="1"/>
  <c r="CC181" i="1"/>
  <c r="CA259" i="1"/>
  <c r="N293" i="1"/>
  <c r="K112" i="1"/>
  <c r="M112" i="1"/>
  <c r="R112" i="1"/>
  <c r="Y112" i="1"/>
  <c r="AI112" i="1"/>
  <c r="AR112" i="1"/>
  <c r="BH112" i="1"/>
  <c r="R85" i="1"/>
  <c r="W85" i="1"/>
  <c r="AO85" i="1"/>
  <c r="AR85" i="1"/>
  <c r="AV85" i="1"/>
  <c r="BH85" i="1"/>
  <c r="BA92" i="1"/>
  <c r="AD141" i="1"/>
  <c r="AH245" i="1"/>
  <c r="AH231" i="1" s="1"/>
  <c r="H293" i="1"/>
  <c r="K293" i="1"/>
  <c r="M293" i="1"/>
  <c r="O293" i="1"/>
  <c r="R293" i="1"/>
  <c r="T293" i="1"/>
  <c r="W293" i="1"/>
  <c r="AA293" i="1"/>
  <c r="AC293" i="1"/>
  <c r="AI293" i="1"/>
  <c r="AK293" i="1"/>
  <c r="AO293" i="1"/>
  <c r="AR293" i="1"/>
  <c r="AT293" i="1"/>
  <c r="BD293" i="1"/>
  <c r="BR293" i="1"/>
  <c r="BV293" i="1"/>
  <c r="AF293" i="1"/>
  <c r="AQ293" i="1"/>
  <c r="AX293" i="1"/>
  <c r="CN293" i="1"/>
  <c r="CY293" i="1"/>
  <c r="AB293" i="1"/>
  <c r="CC293" i="1"/>
  <c r="BB117" i="1"/>
  <c r="BF19" i="1"/>
  <c r="P23" i="1"/>
  <c r="BA27" i="1"/>
  <c r="CA29" i="1"/>
  <c r="CA31" i="1"/>
  <c r="CA32" i="1"/>
  <c r="CX55" i="1"/>
  <c r="I86" i="1"/>
  <c r="U86" i="1"/>
  <c r="BA87" i="1"/>
  <c r="CB86" i="1"/>
  <c r="BF86" i="1"/>
  <c r="BN86" i="1"/>
  <c r="BA93" i="1"/>
  <c r="CA93" i="1"/>
  <c r="BA96" i="1"/>
  <c r="BA182" i="1"/>
  <c r="AG293" i="1"/>
  <c r="CL293" i="1"/>
  <c r="BA318" i="1"/>
  <c r="CA314" i="1"/>
  <c r="CD293" i="1"/>
  <c r="CB313" i="1"/>
  <c r="CB216" i="1"/>
  <c r="AZ293" i="1"/>
  <c r="BG293" i="1"/>
  <c r="BL293" i="1"/>
  <c r="BT293" i="1"/>
  <c r="BX293" i="1"/>
  <c r="G293" i="1"/>
  <c r="L293" i="1"/>
  <c r="AH293" i="1"/>
  <c r="AJ293" i="1"/>
  <c r="AN293" i="1"/>
  <c r="AS293" i="1"/>
  <c r="CZ293" i="1"/>
  <c r="BH293" i="1"/>
  <c r="V293" i="1"/>
  <c r="Z293" i="1"/>
  <c r="BC293" i="1"/>
  <c r="H112" i="1"/>
  <c r="O112" i="1"/>
  <c r="T112" i="1"/>
  <c r="AA112" i="1"/>
  <c r="AG112" i="1"/>
  <c r="AK112" i="1"/>
  <c r="AO112" i="1"/>
  <c r="AV112" i="1"/>
  <c r="BG112" i="1"/>
  <c r="Z16" i="1"/>
  <c r="K48" i="1"/>
  <c r="L67" i="1"/>
  <c r="N67" i="1"/>
  <c r="R67" i="1"/>
  <c r="V67" i="1"/>
  <c r="X67" i="1"/>
  <c r="Z67" i="1"/>
  <c r="AF67" i="1"/>
  <c r="AH67" i="1"/>
  <c r="AL67" i="1"/>
  <c r="AN67" i="1"/>
  <c r="AS67" i="1"/>
  <c r="AX67" i="1"/>
  <c r="BC67" i="1"/>
  <c r="BE67" i="1"/>
  <c r="BG67" i="1"/>
  <c r="BH67" i="1"/>
  <c r="BU67" i="1"/>
  <c r="BW67" i="1"/>
  <c r="BY67" i="1"/>
  <c r="CY67" i="1"/>
  <c r="Q67" i="1"/>
  <c r="BI67" i="1"/>
  <c r="BL67" i="1"/>
  <c r="BP67" i="1"/>
  <c r="BR67" i="1"/>
  <c r="BV67" i="1"/>
  <c r="CN67" i="1"/>
  <c r="CS67" i="1"/>
  <c r="CZ67" i="1"/>
  <c r="O62" i="1"/>
  <c r="AG67" i="1"/>
  <c r="M67" i="1"/>
  <c r="Y85" i="1"/>
  <c r="J124" i="1"/>
  <c r="L124" i="1"/>
  <c r="J168" i="1"/>
  <c r="BN65" i="1"/>
  <c r="BA66" i="1"/>
  <c r="BF77" i="1"/>
  <c r="BA78" i="1"/>
  <c r="I83" i="1"/>
  <c r="BF83" i="1"/>
  <c r="BA84" i="1"/>
  <c r="CW87" i="1"/>
  <c r="CX86" i="1"/>
  <c r="P86" i="1"/>
  <c r="BF139" i="1"/>
  <c r="BA140" i="1"/>
  <c r="I141" i="1"/>
  <c r="BK141" i="1"/>
  <c r="BA142" i="1"/>
  <c r="CW84" i="1"/>
  <c r="BA80" i="1"/>
  <c r="CX139" i="1"/>
  <c r="CA138" i="1"/>
  <c r="BA91" i="1"/>
  <c r="BK86" i="1"/>
  <c r="BK146" i="1"/>
  <c r="CA91" i="1"/>
  <c r="CW21" i="1"/>
  <c r="CX19" i="1"/>
  <c r="CX23" i="1"/>
  <c r="CE23" i="1"/>
  <c r="BF39" i="1"/>
  <c r="BK46" i="1"/>
  <c r="P49" i="1"/>
  <c r="T67" i="1"/>
  <c r="I129" i="1"/>
  <c r="BN129" i="1"/>
  <c r="I133" i="1"/>
  <c r="O124" i="1"/>
  <c r="BA131" i="1"/>
  <c r="AD70" i="1"/>
  <c r="T62" i="1"/>
  <c r="I63" i="1"/>
  <c r="CX63" i="1"/>
  <c r="CX105" i="1" l="1"/>
  <c r="G159" i="1"/>
  <c r="BB105" i="1"/>
  <c r="BN159" i="1"/>
  <c r="CE16" i="1"/>
  <c r="CK105" i="1"/>
  <c r="BK159" i="1"/>
  <c r="AD105" i="1"/>
  <c r="CE159" i="1"/>
  <c r="CX159" i="1"/>
  <c r="BN105" i="1"/>
  <c r="N159" i="1"/>
  <c r="BB159" i="1"/>
  <c r="T159" i="1"/>
  <c r="BF159" i="1"/>
  <c r="H159" i="1"/>
  <c r="CB105" i="1"/>
  <c r="U105" i="1"/>
  <c r="BK105" i="1"/>
  <c r="CE105" i="1"/>
  <c r="BB59" i="1"/>
  <c r="BN59" i="1"/>
  <c r="CK59" i="1"/>
  <c r="BF59" i="1"/>
  <c r="CP323" i="1"/>
  <c r="CE59" i="1"/>
  <c r="AD59" i="1"/>
  <c r="U59" i="1"/>
  <c r="BK59" i="1"/>
  <c r="P59" i="1"/>
  <c r="E314" i="1"/>
  <c r="CX59" i="1"/>
  <c r="CB59" i="1"/>
  <c r="I59" i="1"/>
  <c r="H59" i="1"/>
  <c r="G59" i="1"/>
  <c r="I313" i="1"/>
  <c r="I293" i="1" s="1"/>
  <c r="BA118" i="1"/>
  <c r="CA106" i="1"/>
  <c r="F118" i="1"/>
  <c r="CA118" i="1"/>
  <c r="BA106" i="1"/>
  <c r="CW118" i="1"/>
  <c r="F106" i="1"/>
  <c r="CW106" i="1"/>
  <c r="AX16" i="1"/>
  <c r="CB102" i="1"/>
  <c r="CW188" i="1"/>
  <c r="AQ67" i="1"/>
  <c r="W16" i="1"/>
  <c r="CW321" i="1"/>
  <c r="CA139" i="1"/>
  <c r="CA113" i="1"/>
  <c r="CW313" i="1"/>
  <c r="J293" i="1"/>
  <c r="AO16" i="1"/>
  <c r="BZ254" i="1"/>
  <c r="AZ16" i="1"/>
  <c r="BZ76" i="1"/>
  <c r="CA51" i="1"/>
  <c r="CW192" i="1"/>
  <c r="BZ117" i="1"/>
  <c r="CA70" i="1"/>
  <c r="E143" i="1"/>
  <c r="BZ126" i="1"/>
  <c r="F226" i="1"/>
  <c r="CB129" i="1"/>
  <c r="BZ74" i="1"/>
  <c r="AD129" i="1"/>
  <c r="F113" i="1"/>
  <c r="BZ84" i="1"/>
  <c r="BB102" i="1"/>
  <c r="F137" i="1"/>
  <c r="BZ260" i="1"/>
  <c r="CW110" i="1"/>
  <c r="I99" i="1"/>
  <c r="CW75" i="1"/>
  <c r="CE102" i="1"/>
  <c r="BZ240" i="1"/>
  <c r="BZ224" i="1"/>
  <c r="BZ246" i="1"/>
  <c r="F317" i="1"/>
  <c r="H62" i="1"/>
  <c r="CD145" i="1"/>
  <c r="CD67" i="1"/>
  <c r="AJ16" i="1"/>
  <c r="R16" i="1"/>
  <c r="CA226" i="1"/>
  <c r="AA67" i="1"/>
  <c r="CW319" i="1"/>
  <c r="CW51" i="1"/>
  <c r="E101" i="1"/>
  <c r="CA188" i="1"/>
  <c r="CW113" i="1"/>
  <c r="CK215" i="1"/>
  <c r="BZ198" i="1"/>
  <c r="CA169" i="1"/>
  <c r="AS124" i="1"/>
  <c r="AR145" i="1"/>
  <c r="CA192" i="1"/>
  <c r="CW226" i="1"/>
  <c r="AD122" i="1"/>
  <c r="H85" i="1"/>
  <c r="F150" i="1"/>
  <c r="CA125" i="1"/>
  <c r="E281" i="1"/>
  <c r="CA55" i="1"/>
  <c r="CW315" i="1"/>
  <c r="CA319" i="1"/>
  <c r="E247" i="1"/>
  <c r="U290" i="1"/>
  <c r="AD290" i="1"/>
  <c r="E263" i="1"/>
  <c r="E259" i="1"/>
  <c r="CW308" i="1"/>
  <c r="BZ267" i="1"/>
  <c r="F319" i="1"/>
  <c r="BA313" i="1"/>
  <c r="BZ253" i="1"/>
  <c r="F286" i="1"/>
  <c r="E260" i="1"/>
  <c r="CA317" i="1"/>
  <c r="BZ320" i="1"/>
  <c r="BA291" i="1"/>
  <c r="BN221" i="1"/>
  <c r="BB290" i="1"/>
  <c r="BA288" i="1"/>
  <c r="BZ233" i="1"/>
  <c r="CW291" i="1"/>
  <c r="CW288" i="1"/>
  <c r="CB221" i="1"/>
  <c r="BZ261" i="1"/>
  <c r="BZ255" i="1"/>
  <c r="BZ242" i="1"/>
  <c r="BA319" i="1"/>
  <c r="BZ258" i="1"/>
  <c r="CA321" i="1"/>
  <c r="BZ214" i="1"/>
  <c r="BN290" i="1"/>
  <c r="CA270" i="1"/>
  <c r="E274" i="1"/>
  <c r="E277" i="1"/>
  <c r="E279" i="1"/>
  <c r="E278" i="1"/>
  <c r="CA288" i="1"/>
  <c r="BZ274" i="1"/>
  <c r="BA321" i="1"/>
  <c r="BZ278" i="1"/>
  <c r="BZ257" i="1"/>
  <c r="BZ170" i="1"/>
  <c r="I181" i="1"/>
  <c r="O168" i="1"/>
  <c r="BZ287" i="1"/>
  <c r="F174" i="1"/>
  <c r="BZ162" i="1"/>
  <c r="E253" i="1"/>
  <c r="E280" i="1"/>
  <c r="BZ251" i="1"/>
  <c r="BB221" i="1"/>
  <c r="BK221" i="1"/>
  <c r="CA286" i="1"/>
  <c r="BZ227" i="1"/>
  <c r="BZ263" i="1"/>
  <c r="BA190" i="1"/>
  <c r="BF215" i="1"/>
  <c r="BZ180" i="1"/>
  <c r="BZ281" i="1"/>
  <c r="BZ172" i="1"/>
  <c r="BZ213" i="1"/>
  <c r="BZ252" i="1"/>
  <c r="CW179" i="1"/>
  <c r="CK221" i="1"/>
  <c r="E178" i="1"/>
  <c r="BZ265" i="1"/>
  <c r="U163" i="1"/>
  <c r="BZ199" i="1"/>
  <c r="E320" i="1"/>
  <c r="BA270" i="1"/>
  <c r="BZ316" i="1"/>
  <c r="BF145" i="1"/>
  <c r="E262" i="1"/>
  <c r="BA189" i="1"/>
  <c r="CW160" i="1"/>
  <c r="F288" i="1"/>
  <c r="BZ135" i="1"/>
  <c r="H181" i="1"/>
  <c r="AZ145" i="1"/>
  <c r="E155" i="1"/>
  <c r="BA174" i="1"/>
  <c r="CW216" i="1"/>
  <c r="BZ193" i="1"/>
  <c r="CW194" i="1"/>
  <c r="E261" i="1"/>
  <c r="CW245" i="1"/>
  <c r="CW231" i="1" s="1"/>
  <c r="E273" i="1"/>
  <c r="CW169" i="1"/>
  <c r="CX168" i="1"/>
  <c r="I290" i="1"/>
  <c r="BZ247" i="1"/>
  <c r="P290" i="1"/>
  <c r="BZ185" i="1"/>
  <c r="BZ264" i="1"/>
  <c r="BK290" i="1"/>
  <c r="BA286" i="1"/>
  <c r="BZ209" i="1"/>
  <c r="BZ243" i="1"/>
  <c r="AL225" i="1"/>
  <c r="E311" i="1"/>
  <c r="E310" i="1" s="1"/>
  <c r="BZ208" i="1"/>
  <c r="BZ285" i="1"/>
  <c r="CB99" i="1"/>
  <c r="BZ289" i="1"/>
  <c r="CA141" i="1"/>
  <c r="BZ64" i="1"/>
  <c r="CA60" i="1"/>
  <c r="F53" i="1"/>
  <c r="F37" i="1"/>
  <c r="E128" i="1"/>
  <c r="E267" i="1"/>
  <c r="E114" i="1"/>
  <c r="BK168" i="1"/>
  <c r="BZ114" i="1"/>
  <c r="BA226" i="1"/>
  <c r="CX145" i="1"/>
  <c r="E289" i="1"/>
  <c r="E157" i="1"/>
  <c r="CA171" i="1"/>
  <c r="E240" i="1"/>
  <c r="BB215" i="1"/>
  <c r="CX221" i="1"/>
  <c r="BZ210" i="1"/>
  <c r="E255" i="1"/>
  <c r="E202" i="1"/>
  <c r="BF221" i="1"/>
  <c r="BA100" i="1"/>
  <c r="CW46" i="1"/>
  <c r="BZ211" i="1"/>
  <c r="BZ230" i="1"/>
  <c r="BZ228" i="1" s="1"/>
  <c r="I221" i="1"/>
  <c r="BZ101" i="1"/>
  <c r="BZ207" i="1"/>
  <c r="E151" i="1"/>
  <c r="CA308" i="1"/>
  <c r="BA177" i="1"/>
  <c r="E243" i="1"/>
  <c r="BZ200" i="1"/>
  <c r="BZ309" i="1"/>
  <c r="F177" i="1"/>
  <c r="BZ212" i="1"/>
  <c r="CW100" i="1"/>
  <c r="N16" i="1"/>
  <c r="U145" i="1"/>
  <c r="P181" i="1"/>
  <c r="CA174" i="1"/>
  <c r="BN145" i="1"/>
  <c r="BZ175" i="1"/>
  <c r="AD39" i="1"/>
  <c r="CA100" i="1"/>
  <c r="AD19" i="1"/>
  <c r="CF225" i="1"/>
  <c r="L225" i="1"/>
  <c r="AL16" i="1"/>
  <c r="AU225" i="1"/>
  <c r="S225" i="1"/>
  <c r="BZ142" i="1"/>
  <c r="CW60" i="1"/>
  <c r="BZ36" i="1"/>
  <c r="CD16" i="1"/>
  <c r="CA57" i="1"/>
  <c r="Y16" i="1"/>
  <c r="F194" i="1"/>
  <c r="E193" i="1"/>
  <c r="BZ96" i="1"/>
  <c r="CW317" i="1"/>
  <c r="BA315" i="1"/>
  <c r="E233" i="1"/>
  <c r="CW222" i="1"/>
  <c r="AD102" i="1"/>
  <c r="BZ42" i="1"/>
  <c r="BB99" i="1"/>
  <c r="F51" i="1"/>
  <c r="CK99" i="1"/>
  <c r="CW174" i="1"/>
  <c r="BA192" i="1"/>
  <c r="BB168" i="1"/>
  <c r="F110" i="1"/>
  <c r="BZ134" i="1"/>
  <c r="BZ182" i="1"/>
  <c r="BZ202" i="1"/>
  <c r="BZ143" i="1"/>
  <c r="BZ104" i="1"/>
  <c r="BZ156" i="1"/>
  <c r="BZ173" i="1"/>
  <c r="CA184" i="1"/>
  <c r="BZ195" i="1"/>
  <c r="E197" i="1"/>
  <c r="BZ223" i="1"/>
  <c r="BZ35" i="1"/>
  <c r="BZ82" i="1"/>
  <c r="BA194" i="1"/>
  <c r="CE221" i="1"/>
  <c r="CX102" i="1"/>
  <c r="CW49" i="1"/>
  <c r="CW190" i="1"/>
  <c r="BZ176" i="1"/>
  <c r="P221" i="1"/>
  <c r="E200" i="1"/>
  <c r="F188" i="1"/>
  <c r="CA177" i="1"/>
  <c r="CA73" i="1"/>
  <c r="E186" i="1"/>
  <c r="CA83" i="1"/>
  <c r="E256" i="1"/>
  <c r="CW116" i="1"/>
  <c r="BF99" i="1"/>
  <c r="CA79" i="1"/>
  <c r="CW73" i="1"/>
  <c r="BZ72" i="1"/>
  <c r="E176" i="1"/>
  <c r="CW44" i="1"/>
  <c r="BZ144" i="1"/>
  <c r="BZ189" i="1"/>
  <c r="CW81" i="1"/>
  <c r="F315" i="1"/>
  <c r="BZ318" i="1"/>
  <c r="CE290" i="1"/>
  <c r="BZ280" i="1"/>
  <c r="BZ276" i="1"/>
  <c r="U102" i="1"/>
  <c r="CA313" i="1"/>
  <c r="U204" i="1"/>
  <c r="BS225" i="1"/>
  <c r="CX112" i="1"/>
  <c r="BC225" i="1"/>
  <c r="AD153" i="1"/>
  <c r="BG225" i="1"/>
  <c r="AH16" i="1"/>
  <c r="F17" i="1"/>
  <c r="CA17" i="1"/>
  <c r="F65" i="1"/>
  <c r="BA63" i="1"/>
  <c r="BZ56" i="1"/>
  <c r="BZ54" i="1"/>
  <c r="BA44" i="1"/>
  <c r="CA110" i="1"/>
  <c r="F44" i="1"/>
  <c r="BA17" i="1"/>
  <c r="E52" i="1"/>
  <c r="H168" i="1"/>
  <c r="BN168" i="1"/>
  <c r="CK181" i="1"/>
  <c r="F73" i="1"/>
  <c r="J145" i="1"/>
  <c r="CA103" i="1"/>
  <c r="F190" i="1"/>
  <c r="CA196" i="1"/>
  <c r="BZ52" i="1"/>
  <c r="BA153" i="1"/>
  <c r="E152" i="1"/>
  <c r="BA122" i="1"/>
  <c r="CA204" i="1"/>
  <c r="F169" i="1"/>
  <c r="AD215" i="1"/>
  <c r="CA315" i="1"/>
  <c r="CK168" i="1"/>
  <c r="BZ183" i="1"/>
  <c r="BD225" i="1"/>
  <c r="AS225" i="1"/>
  <c r="M225" i="1"/>
  <c r="O145" i="1"/>
  <c r="P124" i="1"/>
  <c r="AL124" i="1"/>
  <c r="AD62" i="1"/>
  <c r="BZ311" i="1"/>
  <c r="BZ310" i="1" s="1"/>
  <c r="BZ95" i="1"/>
  <c r="CB62" i="1"/>
  <c r="BA171" i="1"/>
  <c r="F116" i="1"/>
  <c r="BZ266" i="1"/>
  <c r="F216" i="1"/>
  <c r="BA308" i="1"/>
  <c r="BA113" i="1"/>
  <c r="BZ155" i="1"/>
  <c r="CX290" i="1"/>
  <c r="CW53" i="1"/>
  <c r="E276" i="1"/>
  <c r="CW270" i="1"/>
  <c r="CK102" i="1"/>
  <c r="E185" i="1"/>
  <c r="BZ322" i="1"/>
  <c r="BZ279" i="1"/>
  <c r="BF290" i="1"/>
  <c r="BZ273" i="1"/>
  <c r="BZ277" i="1"/>
  <c r="BZ178" i="1"/>
  <c r="BA150" i="1"/>
  <c r="E285" i="1"/>
  <c r="BK102" i="1"/>
  <c r="E292" i="1"/>
  <c r="BA70" i="1"/>
  <c r="BZ66" i="1"/>
  <c r="BB62" i="1"/>
  <c r="CA37" i="1"/>
  <c r="E287" i="1"/>
  <c r="BA68" i="1"/>
  <c r="F57" i="1"/>
  <c r="F55" i="1"/>
  <c r="BA51" i="1"/>
  <c r="F291" i="1"/>
  <c r="BZ28" i="1"/>
  <c r="I102" i="1"/>
  <c r="CW286" i="1"/>
  <c r="G145" i="1"/>
  <c r="BX16" i="1"/>
  <c r="E251" i="1"/>
  <c r="E223" i="1"/>
  <c r="BZ71" i="1"/>
  <c r="I39" i="1"/>
  <c r="BZ87" i="1"/>
  <c r="F81" i="1"/>
  <c r="BA57" i="1"/>
  <c r="CA44" i="1"/>
  <c r="BZ206" i="1"/>
  <c r="BZ203" i="1"/>
  <c r="E134" i="1"/>
  <c r="E198" i="1"/>
  <c r="CD124" i="1"/>
  <c r="BZ123" i="1"/>
  <c r="BA222" i="1"/>
  <c r="CE124" i="1"/>
  <c r="BZ164" i="1"/>
  <c r="CA190" i="1"/>
  <c r="CA75" i="1"/>
  <c r="CK145" i="1"/>
  <c r="BZ158" i="1"/>
  <c r="CA179" i="1"/>
  <c r="E191" i="1"/>
  <c r="CX215" i="1"/>
  <c r="K16" i="1"/>
  <c r="CW137" i="1"/>
  <c r="F100" i="1"/>
  <c r="BB145" i="1"/>
  <c r="E205" i="1"/>
  <c r="F179" i="1"/>
  <c r="E227" i="1"/>
  <c r="E183" i="1"/>
  <c r="CE145" i="1"/>
  <c r="CA131" i="1"/>
  <c r="BZ128" i="1"/>
  <c r="CA116" i="1"/>
  <c r="BK99" i="1"/>
  <c r="F308" i="1"/>
  <c r="F270" i="1"/>
  <c r="BZ61" i="1"/>
  <c r="BZ151" i="1"/>
  <c r="CA63" i="1"/>
  <c r="BZ140" i="1"/>
  <c r="BZ92" i="1"/>
  <c r="BA75" i="1"/>
  <c r="BZ88" i="1"/>
  <c r="F77" i="1"/>
  <c r="CW177" i="1"/>
  <c r="BZ152" i="1"/>
  <c r="BZ186" i="1"/>
  <c r="I153" i="1"/>
  <c r="CK290" i="1"/>
  <c r="BZ205" i="1"/>
  <c r="AD23" i="1"/>
  <c r="BB124" i="1"/>
  <c r="CB168" i="1"/>
  <c r="BB181" i="1"/>
  <c r="E135" i="1"/>
  <c r="BA125" i="1"/>
  <c r="E158" i="1"/>
  <c r="U19" i="1"/>
  <c r="CA86" i="1"/>
  <c r="E224" i="1"/>
  <c r="E217" i="1"/>
  <c r="E180" i="1"/>
  <c r="E309" i="1"/>
  <c r="CA133" i="1"/>
  <c r="CA122" i="1"/>
  <c r="BZ80" i="1"/>
  <c r="I171" i="1"/>
  <c r="CB48" i="1"/>
  <c r="BK181" i="1"/>
  <c r="BA184" i="1"/>
  <c r="CW163" i="1"/>
  <c r="E18" i="1"/>
  <c r="CA53" i="1"/>
  <c r="CA222" i="1"/>
  <c r="CA150" i="1"/>
  <c r="CA194" i="1"/>
  <c r="F103" i="1"/>
  <c r="I48" i="1"/>
  <c r="BZ191" i="1"/>
  <c r="CW196" i="1"/>
  <c r="CX181" i="1"/>
  <c r="CE181" i="1"/>
  <c r="F222" i="1"/>
  <c r="BZ111" i="1"/>
  <c r="E316" i="1"/>
  <c r="BB85" i="1"/>
  <c r="BZ187" i="1"/>
  <c r="G124" i="1"/>
  <c r="E61" i="1"/>
  <c r="E203" i="1"/>
  <c r="E187" i="1"/>
  <c r="F184" i="1"/>
  <c r="E175" i="1"/>
  <c r="E56" i="1"/>
  <c r="BA133" i="1"/>
  <c r="F60" i="1"/>
  <c r="BF181" i="1"/>
  <c r="E71" i="1"/>
  <c r="BZ38" i="1"/>
  <c r="E40" i="1"/>
  <c r="F196" i="1"/>
  <c r="BK293" i="1"/>
  <c r="E173" i="1"/>
  <c r="U124" i="1"/>
  <c r="CA81" i="1"/>
  <c r="E72" i="1"/>
  <c r="BZ18" i="1"/>
  <c r="BZ58" i="1"/>
  <c r="CA65" i="1"/>
  <c r="E28" i="1"/>
  <c r="E38" i="1"/>
  <c r="BA169" i="1"/>
  <c r="BZ157" i="1"/>
  <c r="BZ127" i="1"/>
  <c r="U99" i="1"/>
  <c r="BZ201" i="1"/>
  <c r="CB245" i="1"/>
  <c r="CB231" i="1" s="1"/>
  <c r="BZ24" i="1"/>
  <c r="CA39" i="1"/>
  <c r="G67" i="1"/>
  <c r="E54" i="1"/>
  <c r="BN196" i="1"/>
  <c r="AD163" i="1"/>
  <c r="CW184" i="1"/>
  <c r="CW171" i="1"/>
  <c r="CW204" i="1"/>
  <c r="E195" i="1"/>
  <c r="BA160" i="1"/>
  <c r="BF293" i="1"/>
  <c r="AF225" i="1"/>
  <c r="CN225" i="1"/>
  <c r="AR225" i="1"/>
  <c r="E208" i="1"/>
  <c r="BL225" i="1"/>
  <c r="CW146" i="1"/>
  <c r="AJ124" i="1"/>
  <c r="AW293" i="1"/>
  <c r="BE225" i="1"/>
  <c r="BX225" i="1"/>
  <c r="U112" i="1"/>
  <c r="BA204" i="1"/>
  <c r="BA163" i="1"/>
  <c r="BA73" i="1"/>
  <c r="CW141" i="1"/>
  <c r="BZ41" i="1"/>
  <c r="E164" i="1"/>
  <c r="CW150" i="1"/>
  <c r="BZ249" i="1"/>
  <c r="BZ292" i="1"/>
  <c r="CA291" i="1"/>
  <c r="BZ197" i="1"/>
  <c r="BZ306" i="1"/>
  <c r="BZ294" i="1" s="1"/>
  <c r="BN23" i="1"/>
  <c r="G48" i="1"/>
  <c r="CE215" i="1"/>
  <c r="BY181" i="1"/>
  <c r="F192" i="1"/>
  <c r="G62" i="1"/>
  <c r="CB290" i="1"/>
  <c r="BA245" i="1"/>
  <c r="BA231" i="1" s="1"/>
  <c r="BA60" i="1"/>
  <c r="BN188" i="1"/>
  <c r="AD221" i="1"/>
  <c r="P215" i="1"/>
  <c r="BA103" i="1"/>
  <c r="BZ50" i="1"/>
  <c r="CA49" i="1"/>
  <c r="G16" i="1"/>
  <c r="E265" i="1"/>
  <c r="E104" i="1"/>
  <c r="U160" i="1"/>
  <c r="G102" i="1"/>
  <c r="F46" i="1"/>
  <c r="E32" i="1"/>
  <c r="E206" i="1"/>
  <c r="E58" i="1"/>
  <c r="BA53" i="1"/>
  <c r="U48" i="1"/>
  <c r="E127" i="1"/>
  <c r="G168" i="1"/>
  <c r="CB77" i="1"/>
  <c r="E41" i="1"/>
  <c r="P39" i="1"/>
  <c r="BN19" i="1"/>
  <c r="AH124" i="1"/>
  <c r="P145" i="1"/>
  <c r="I112" i="1"/>
  <c r="AW225" i="1"/>
  <c r="BH225" i="1"/>
  <c r="E266" i="1"/>
  <c r="BZ43" i="1"/>
  <c r="BT225" i="1"/>
  <c r="Q225" i="1"/>
  <c r="BA37" i="1"/>
  <c r="AD48" i="1"/>
  <c r="CA34" i="1"/>
  <c r="CK48" i="1"/>
  <c r="U39" i="1"/>
  <c r="BF48" i="1"/>
  <c r="F75" i="1"/>
  <c r="BK67" i="1"/>
  <c r="E87" i="1"/>
  <c r="P67" i="1"/>
  <c r="BP225" i="1"/>
  <c r="CX293" i="1"/>
  <c r="BA20" i="1"/>
  <c r="BB16" i="1"/>
  <c r="CE48" i="1"/>
  <c r="E35" i="1"/>
  <c r="AQ225" i="1"/>
  <c r="AX225" i="1"/>
  <c r="CK85" i="1"/>
  <c r="CK293" i="1"/>
  <c r="CY225" i="1"/>
  <c r="AG16" i="1"/>
  <c r="H225" i="1"/>
  <c r="BZ25" i="1"/>
  <c r="BZ33" i="1"/>
  <c r="BZ217" i="1"/>
  <c r="U168" i="1"/>
  <c r="BO225" i="1"/>
  <c r="CE67" i="1"/>
  <c r="CA268" i="1"/>
  <c r="AS145" i="1"/>
  <c r="E76" i="1"/>
  <c r="BI225" i="1"/>
  <c r="CS225" i="1"/>
  <c r="AO225" i="1"/>
  <c r="BA49" i="1"/>
  <c r="I245" i="1"/>
  <c r="I231" i="1" s="1"/>
  <c r="BZ40" i="1"/>
  <c r="P62" i="1"/>
  <c r="CW39" i="1"/>
  <c r="BB48" i="1"/>
  <c r="BN293" i="1"/>
  <c r="AZ112" i="1"/>
  <c r="G181" i="1"/>
  <c r="AD245" i="1"/>
  <c r="AD231" i="1" s="1"/>
  <c r="BB67" i="1"/>
  <c r="AB225" i="1"/>
  <c r="CC225" i="1"/>
  <c r="K225" i="1"/>
  <c r="BZ27" i="1"/>
  <c r="CA30" i="1"/>
  <c r="CK16" i="1"/>
  <c r="BR225" i="1"/>
  <c r="BZ20" i="1"/>
  <c r="BN48" i="1"/>
  <c r="BZ147" i="1"/>
  <c r="P293" i="1"/>
  <c r="AM225" i="1"/>
  <c r="CB23" i="1"/>
  <c r="I23" i="1"/>
  <c r="BK48" i="1"/>
  <c r="E26" i="1"/>
  <c r="CA146" i="1"/>
  <c r="BN67" i="1"/>
  <c r="CB181" i="1"/>
  <c r="G225" i="1"/>
  <c r="U245" i="1"/>
  <c r="U231" i="1" s="1"/>
  <c r="U293" i="1"/>
  <c r="AB181" i="1"/>
  <c r="CA78" i="1"/>
  <c r="AV225" i="1"/>
  <c r="AE225" i="1"/>
  <c r="H145" i="1"/>
  <c r="O16" i="1"/>
  <c r="E24" i="1"/>
  <c r="BA55" i="1"/>
  <c r="BF85" i="1"/>
  <c r="BB293" i="1"/>
  <c r="AD85" i="1"/>
  <c r="I124" i="1"/>
  <c r="E248" i="1"/>
  <c r="BZ22" i="1"/>
  <c r="E148" i="1"/>
  <c r="BA46" i="1"/>
  <c r="CW83" i="1"/>
  <c r="BA141" i="1"/>
  <c r="BA139" i="1"/>
  <c r="P85" i="1"/>
  <c r="BA83" i="1"/>
  <c r="I85" i="1"/>
  <c r="E210" i="1"/>
  <c r="I62" i="1"/>
  <c r="BK16" i="1"/>
  <c r="BA39" i="1"/>
  <c r="CX124" i="1"/>
  <c r="BK124" i="1"/>
  <c r="BF124" i="1"/>
  <c r="BA86" i="1"/>
  <c r="CA216" i="1"/>
  <c r="E207" i="1"/>
  <c r="CB85" i="1"/>
  <c r="E74" i="1"/>
  <c r="E264" i="1"/>
  <c r="E209" i="1"/>
  <c r="E257" i="1"/>
  <c r="BZ248" i="1"/>
  <c r="E149" i="1"/>
  <c r="BA137" i="1"/>
  <c r="E33" i="1"/>
  <c r="CI293" i="1"/>
  <c r="BF168" i="1"/>
  <c r="AT225" i="1"/>
  <c r="AK225" i="1"/>
  <c r="CW129" i="1"/>
  <c r="BY225" i="1"/>
  <c r="BQ225" i="1"/>
  <c r="CA154" i="1"/>
  <c r="CB153" i="1"/>
  <c r="AI124" i="1"/>
  <c r="H124" i="1"/>
  <c r="BF112" i="1"/>
  <c r="BF102" i="1"/>
  <c r="CX62" i="1"/>
  <c r="F139" i="1"/>
  <c r="BK85" i="1"/>
  <c r="U85" i="1"/>
  <c r="CX85" i="1"/>
  <c r="BA65" i="1"/>
  <c r="E258" i="1"/>
  <c r="BA146" i="1"/>
  <c r="BZ26" i="1"/>
  <c r="E22" i="1"/>
  <c r="BZ262" i="1"/>
  <c r="K67" i="1"/>
  <c r="BA201" i="1"/>
  <c r="I163" i="1"/>
  <c r="H16" i="1"/>
  <c r="BZ149" i="1"/>
  <c r="BZ148" i="1"/>
  <c r="CB112" i="1"/>
  <c r="BN99" i="1"/>
  <c r="CK62" i="1"/>
  <c r="CW55" i="1"/>
  <c r="CS293" i="1"/>
  <c r="AN225" i="1"/>
  <c r="I215" i="1"/>
  <c r="BN112" i="1"/>
  <c r="CW103" i="1"/>
  <c r="CK67" i="1"/>
  <c r="U68" i="1"/>
  <c r="CB160" i="1"/>
  <c r="CB159" i="1" s="1"/>
  <c r="CA161" i="1"/>
  <c r="AD160" i="1"/>
  <c r="P160" i="1"/>
  <c r="P159" i="1" s="1"/>
  <c r="H102" i="1"/>
  <c r="CE168" i="1"/>
  <c r="N145" i="1"/>
  <c r="BK112" i="1"/>
  <c r="P99" i="1"/>
  <c r="CW79" i="1"/>
  <c r="BK62" i="1"/>
  <c r="CW37" i="1"/>
  <c r="CZ225" i="1"/>
  <c r="AD181" i="1"/>
  <c r="BK215" i="1"/>
  <c r="CW65" i="1"/>
  <c r="BF62" i="1"/>
  <c r="CW70" i="1"/>
  <c r="CE85" i="1"/>
  <c r="CW133" i="1"/>
  <c r="BZ32" i="1"/>
  <c r="BZ29" i="1"/>
  <c r="E212" i="1"/>
  <c r="CW23" i="1"/>
  <c r="E130" i="1"/>
  <c r="P48" i="1"/>
  <c r="CW86" i="1"/>
  <c r="BN62" i="1"/>
  <c r="CB215" i="1"/>
  <c r="E246" i="1"/>
  <c r="BZ93" i="1"/>
  <c r="BN85" i="1"/>
  <c r="BZ31" i="1"/>
  <c r="E254" i="1"/>
  <c r="E211" i="1"/>
  <c r="CX67" i="1"/>
  <c r="BA216" i="1"/>
  <c r="BZ256" i="1"/>
  <c r="BA179" i="1"/>
  <c r="BZ21" i="1"/>
  <c r="CA19" i="1"/>
  <c r="CI225" i="1"/>
  <c r="BU225" i="1"/>
  <c r="CW139" i="1"/>
  <c r="BZ130" i="1"/>
  <c r="CE112" i="1"/>
  <c r="P112" i="1"/>
  <c r="P102" i="1"/>
  <c r="F63" i="1"/>
  <c r="BA129" i="1"/>
  <c r="BN124" i="1"/>
  <c r="E156" i="1"/>
  <c r="F70" i="1"/>
  <c r="BF16" i="1"/>
  <c r="BK145" i="1"/>
  <c r="E95" i="1"/>
  <c r="E89" i="1" s="1"/>
  <c r="E31" i="1"/>
  <c r="E252" i="1"/>
  <c r="E213" i="1"/>
  <c r="E144" i="1"/>
  <c r="CW77" i="1"/>
  <c r="CW68" i="1"/>
  <c r="BX181" i="1"/>
  <c r="CK163" i="1"/>
  <c r="CK159" i="1" s="1"/>
  <c r="CA165" i="1"/>
  <c r="H67" i="1"/>
  <c r="CW153" i="1"/>
  <c r="AD133" i="1"/>
  <c r="CX99" i="1"/>
  <c r="AD99" i="1"/>
  <c r="AD68" i="1"/>
  <c r="CW63" i="1"/>
  <c r="BW225" i="1"/>
  <c r="U221" i="1"/>
  <c r="CW122" i="1"/>
  <c r="BN102" i="1"/>
  <c r="I79" i="1"/>
  <c r="CE62" i="1"/>
  <c r="CA269" i="1"/>
  <c r="BA199" i="1"/>
  <c r="BE112" i="1"/>
  <c r="H48" i="1"/>
  <c r="BV225" i="1"/>
  <c r="P168" i="1"/>
  <c r="CK112" i="1"/>
  <c r="CE99" i="1"/>
  <c r="U62" i="1"/>
  <c r="U23" i="1"/>
  <c r="CW17" i="1"/>
  <c r="U215" i="1"/>
  <c r="E29" i="1"/>
  <c r="CW125" i="1"/>
  <c r="BZ136" i="1"/>
  <c r="E27" i="1"/>
  <c r="CE293" i="1"/>
  <c r="CB293" i="1"/>
  <c r="BZ314" i="1"/>
  <c r="BZ250" i="1"/>
  <c r="E182" i="1"/>
  <c r="BZ259" i="1"/>
  <c r="AI225" i="1"/>
  <c r="E250" i="1"/>
  <c r="E249" i="1"/>
  <c r="E170" i="1"/>
  <c r="AD168" i="1"/>
  <c r="CK124" i="1"/>
  <c r="BZ132" i="1"/>
  <c r="E132" i="1"/>
  <c r="I160" i="1"/>
  <c r="BA110" i="1"/>
  <c r="BA105" i="1" s="1"/>
  <c r="E111" i="1"/>
  <c r="BA81" i="1"/>
  <c r="E82" i="1"/>
  <c r="CX48" i="1"/>
  <c r="P245" i="1"/>
  <c r="P231" i="1" s="1"/>
  <c r="E230" i="1"/>
  <c r="E228" i="1" s="1"/>
  <c r="CA68" i="1"/>
  <c r="BZ69" i="1"/>
  <c r="CA46" i="1"/>
  <c r="BZ47" i="1"/>
  <c r="E140" i="1"/>
  <c r="E138" i="1"/>
  <c r="E93" i="1"/>
  <c r="E92" i="1"/>
  <c r="BA117" i="1"/>
  <c r="BB116" i="1"/>
  <c r="CW57" i="1"/>
  <c r="CW19" i="1"/>
  <c r="CX16" i="1"/>
  <c r="E96" i="1"/>
  <c r="E318" i="1"/>
  <c r="BA317" i="1"/>
  <c r="F321" i="1"/>
  <c r="E322" i="1"/>
  <c r="E50" i="1"/>
  <c r="F49" i="1"/>
  <c r="E47" i="1"/>
  <c r="CA137" i="1"/>
  <c r="BZ138" i="1"/>
  <c r="E142" i="1"/>
  <c r="F83" i="1"/>
  <c r="E84" i="1"/>
  <c r="BA77" i="1"/>
  <c r="E78" i="1"/>
  <c r="E66" i="1"/>
  <c r="F141" i="1"/>
  <c r="BZ91" i="1"/>
  <c r="BA79" i="1"/>
  <c r="E91" i="1"/>
  <c r="BF67" i="1"/>
  <c r="F86" i="1"/>
  <c r="F146" i="1"/>
  <c r="E147" i="1"/>
  <c r="E126" i="1"/>
  <c r="F125" i="1"/>
  <c r="E64" i="1"/>
  <c r="I159" i="1" l="1"/>
  <c r="F313" i="1"/>
  <c r="CA105" i="1"/>
  <c r="U159" i="1"/>
  <c r="CW159" i="1"/>
  <c r="BA159" i="1"/>
  <c r="AD159" i="1"/>
  <c r="F105" i="1"/>
  <c r="CW105" i="1"/>
  <c r="E306" i="1"/>
  <c r="E294" i="1" s="1"/>
  <c r="F294" i="1"/>
  <c r="AD293" i="1"/>
  <c r="BA59" i="1"/>
  <c r="BI323" i="1"/>
  <c r="BP323" i="1"/>
  <c r="BT323" i="1"/>
  <c r="BL323" i="1"/>
  <c r="AF323" i="1"/>
  <c r="BG323" i="1"/>
  <c r="BC323" i="1"/>
  <c r="BS323" i="1"/>
  <c r="AU323" i="1"/>
  <c r="CF323" i="1"/>
  <c r="E100" i="1"/>
  <c r="E99" i="1" s="1"/>
  <c r="BV323" i="1"/>
  <c r="BW323" i="1"/>
  <c r="BU323" i="1"/>
  <c r="CZ323" i="1"/>
  <c r="BQ323" i="1"/>
  <c r="AK323" i="1"/>
  <c r="AE323" i="1"/>
  <c r="BR323" i="1"/>
  <c r="AN323" i="1"/>
  <c r="AT323" i="1"/>
  <c r="AV323" i="1"/>
  <c r="CC323" i="1"/>
  <c r="BO323" i="1"/>
  <c r="CY323" i="1"/>
  <c r="Q323" i="1"/>
  <c r="BH323" i="1"/>
  <c r="CN323" i="1"/>
  <c r="BD323" i="1"/>
  <c r="CW59" i="1"/>
  <c r="S323" i="1"/>
  <c r="CA59" i="1"/>
  <c r="L323" i="1"/>
  <c r="M323" i="1"/>
  <c r="D254" i="1"/>
  <c r="F59" i="1"/>
  <c r="AB323" i="1"/>
  <c r="CI323" i="1"/>
  <c r="AI323" i="1"/>
  <c r="AW323" i="1"/>
  <c r="CS323" i="1"/>
  <c r="BY323" i="1"/>
  <c r="AR323" i="1"/>
  <c r="BE323" i="1"/>
  <c r="AM323" i="1"/>
  <c r="AS323" i="1"/>
  <c r="AQ323" i="1"/>
  <c r="G323" i="1"/>
  <c r="BX323" i="1"/>
  <c r="H323" i="1"/>
  <c r="K323" i="1"/>
  <c r="AL323" i="1"/>
  <c r="AO323" i="1"/>
  <c r="AX323" i="1"/>
  <c r="BZ118" i="1"/>
  <c r="E106" i="1"/>
  <c r="E118" i="1"/>
  <c r="BZ106" i="1"/>
  <c r="E36" i="1"/>
  <c r="BK225" i="1"/>
  <c r="BZ83" i="1"/>
  <c r="BZ75" i="1"/>
  <c r="BZ116" i="1"/>
  <c r="F122" i="1"/>
  <c r="F102" i="1"/>
  <c r="CB124" i="1"/>
  <c r="E42" i="1"/>
  <c r="AD112" i="1"/>
  <c r="E123" i="1"/>
  <c r="BZ179" i="1"/>
  <c r="BZ73" i="1"/>
  <c r="E53" i="1"/>
  <c r="BZ110" i="1"/>
  <c r="F99" i="1"/>
  <c r="BZ51" i="1"/>
  <c r="E51" i="1"/>
  <c r="F171" i="1"/>
  <c r="E131" i="1"/>
  <c r="BZ63" i="1"/>
  <c r="E189" i="1"/>
  <c r="E319" i="1"/>
  <c r="E177" i="1"/>
  <c r="BZ321" i="1"/>
  <c r="BA290" i="1"/>
  <c r="BZ317" i="1"/>
  <c r="BZ319" i="1"/>
  <c r="BZ30" i="1"/>
  <c r="E55" i="1"/>
  <c r="E315" i="1"/>
  <c r="D180" i="1"/>
  <c r="CA129" i="1"/>
  <c r="E226" i="1"/>
  <c r="CA102" i="1"/>
  <c r="CA99" i="1"/>
  <c r="BZ100" i="1"/>
  <c r="E165" i="1"/>
  <c r="BZ169" i="1"/>
  <c r="BA188" i="1"/>
  <c r="D36" i="1"/>
  <c r="CA112" i="1"/>
  <c r="E174" i="1"/>
  <c r="BZ86" i="1"/>
  <c r="BZ171" i="1"/>
  <c r="D205" i="1"/>
  <c r="D287" i="1"/>
  <c r="BF225" i="1"/>
  <c r="BN225" i="1"/>
  <c r="D263" i="1"/>
  <c r="E288" i="1"/>
  <c r="D253" i="1"/>
  <c r="BZ308" i="1"/>
  <c r="CW290" i="1"/>
  <c r="D240" i="1"/>
  <c r="CX225" i="1"/>
  <c r="D280" i="1"/>
  <c r="D281" i="1"/>
  <c r="D273" i="1"/>
  <c r="D309" i="1"/>
  <c r="D260" i="1"/>
  <c r="BZ286" i="1"/>
  <c r="BZ226" i="1"/>
  <c r="CE225" i="1"/>
  <c r="AZ225" i="1"/>
  <c r="AC225" i="1"/>
  <c r="D320" i="1"/>
  <c r="D274" i="1"/>
  <c r="D278" i="1"/>
  <c r="D198" i="1"/>
  <c r="D217" i="1"/>
  <c r="E190" i="1"/>
  <c r="CA168" i="1"/>
  <c r="D261" i="1"/>
  <c r="D151" i="1"/>
  <c r="E184" i="1"/>
  <c r="I145" i="1"/>
  <c r="D186" i="1"/>
  <c r="BB225" i="1"/>
  <c r="D128" i="1"/>
  <c r="D127" i="1"/>
  <c r="E113" i="1"/>
  <c r="E222" i="1"/>
  <c r="D227" i="1"/>
  <c r="Z225" i="1"/>
  <c r="D183" i="1"/>
  <c r="D251" i="1"/>
  <c r="D311" i="1"/>
  <c r="D310" i="1" s="1"/>
  <c r="CA221" i="1"/>
  <c r="CW215" i="1"/>
  <c r="D155" i="1"/>
  <c r="BZ192" i="1"/>
  <c r="D247" i="1"/>
  <c r="CW293" i="1"/>
  <c r="J225" i="1"/>
  <c r="D276" i="1"/>
  <c r="BZ150" i="1"/>
  <c r="F129" i="1"/>
  <c r="E216" i="1"/>
  <c r="D224" i="1"/>
  <c r="D289" i="1"/>
  <c r="E308" i="1"/>
  <c r="BA99" i="1"/>
  <c r="CA181" i="1"/>
  <c r="BZ113" i="1"/>
  <c r="D114" i="1"/>
  <c r="CW221" i="1"/>
  <c r="BZ315" i="1"/>
  <c r="D277" i="1"/>
  <c r="F79" i="1"/>
  <c r="BA221" i="1"/>
  <c r="D255" i="1"/>
  <c r="D243" i="1"/>
  <c r="D203" i="1"/>
  <c r="I168" i="1"/>
  <c r="CW99" i="1"/>
  <c r="D71" i="1"/>
  <c r="BZ288" i="1"/>
  <c r="D191" i="1"/>
  <c r="D56" i="1"/>
  <c r="CA293" i="1"/>
  <c r="E80" i="1"/>
  <c r="T225" i="1"/>
  <c r="D267" i="1"/>
  <c r="U181" i="1"/>
  <c r="D134" i="1"/>
  <c r="D101" i="1"/>
  <c r="D176" i="1"/>
  <c r="BZ174" i="1"/>
  <c r="D233" i="1"/>
  <c r="BZ194" i="1"/>
  <c r="D178" i="1"/>
  <c r="BZ103" i="1"/>
  <c r="D143" i="1"/>
  <c r="D52" i="1"/>
  <c r="BZ313" i="1"/>
  <c r="E179" i="1"/>
  <c r="BZ55" i="1"/>
  <c r="AD16" i="1"/>
  <c r="AD145" i="1"/>
  <c r="BZ79" i="1"/>
  <c r="D279" i="1"/>
  <c r="BZ141" i="1"/>
  <c r="D193" i="1"/>
  <c r="F215" i="1"/>
  <c r="D223" i="1"/>
  <c r="D152" i="1"/>
  <c r="E150" i="1"/>
  <c r="D135" i="1"/>
  <c r="E192" i="1"/>
  <c r="E270" i="1"/>
  <c r="D185" i="1"/>
  <c r="D200" i="1"/>
  <c r="BZ122" i="1"/>
  <c r="BZ177" i="1"/>
  <c r="D202" i="1"/>
  <c r="BZ222" i="1"/>
  <c r="BZ70" i="1"/>
  <c r="BZ204" i="1"/>
  <c r="D158" i="1"/>
  <c r="D187" i="1"/>
  <c r="Y225" i="1"/>
  <c r="BZ270" i="1"/>
  <c r="D285" i="1"/>
  <c r="E21" i="1"/>
  <c r="F19" i="1"/>
  <c r="E17" i="1"/>
  <c r="E44" i="1"/>
  <c r="D170" i="1"/>
  <c r="F153" i="1"/>
  <c r="BA168" i="1"/>
  <c r="F204" i="1"/>
  <c r="E43" i="1"/>
  <c r="E25" i="1"/>
  <c r="BZ34" i="1"/>
  <c r="F68" i="1"/>
  <c r="D266" i="1"/>
  <c r="E57" i="1"/>
  <c r="CA48" i="1"/>
  <c r="E194" i="1"/>
  <c r="CW168" i="1"/>
  <c r="D54" i="1"/>
  <c r="BZ125" i="1"/>
  <c r="E37" i="1"/>
  <c r="CA62" i="1"/>
  <c r="D18" i="1"/>
  <c r="D173" i="1"/>
  <c r="D61" i="1"/>
  <c r="D316" i="1"/>
  <c r="BZ139" i="1"/>
  <c r="BZ60" i="1"/>
  <c r="BZ131" i="1"/>
  <c r="E286" i="1"/>
  <c r="BZ65" i="1"/>
  <c r="D140" i="1"/>
  <c r="E73" i="1"/>
  <c r="CA77" i="1"/>
  <c r="CB16" i="1"/>
  <c r="E75" i="1"/>
  <c r="BZ216" i="1"/>
  <c r="BZ215" i="1" s="1"/>
  <c r="E20" i="1"/>
  <c r="D87" i="1"/>
  <c r="D206" i="1"/>
  <c r="E103" i="1"/>
  <c r="D208" i="1"/>
  <c r="D157" i="1"/>
  <c r="D28" i="1"/>
  <c r="BZ57" i="1"/>
  <c r="E70" i="1"/>
  <c r="BZ37" i="1"/>
  <c r="D175" i="1"/>
  <c r="BZ184" i="1"/>
  <c r="F221" i="1"/>
  <c r="BZ190" i="1"/>
  <c r="BZ44" i="1"/>
  <c r="F290" i="1"/>
  <c r="E291" i="1"/>
  <c r="BZ53" i="1"/>
  <c r="BZ188" i="1"/>
  <c r="E172" i="1"/>
  <c r="BZ81" i="1"/>
  <c r="E60" i="1"/>
  <c r="BZ196" i="1"/>
  <c r="D104" i="1"/>
  <c r="D195" i="1"/>
  <c r="D38" i="1"/>
  <c r="F23" i="1"/>
  <c r="CA23" i="1"/>
  <c r="E86" i="1"/>
  <c r="D58" i="1"/>
  <c r="BZ78" i="1"/>
  <c r="CW181" i="1"/>
  <c r="BA196" i="1"/>
  <c r="D26" i="1"/>
  <c r="D72" i="1"/>
  <c r="BZ146" i="1"/>
  <c r="BN16" i="1"/>
  <c r="F245" i="1"/>
  <c r="F231" i="1" s="1"/>
  <c r="D74" i="1"/>
  <c r="E69" i="1"/>
  <c r="BZ17" i="1"/>
  <c r="D164" i="1"/>
  <c r="F39" i="1"/>
  <c r="BA23" i="1"/>
  <c r="BA124" i="1"/>
  <c r="BA19" i="1"/>
  <c r="I16" i="1"/>
  <c r="BN181" i="1"/>
  <c r="P16" i="1"/>
  <c r="BZ291" i="1"/>
  <c r="D292" i="1"/>
  <c r="D265" i="1"/>
  <c r="BZ49" i="1"/>
  <c r="CB67" i="1"/>
  <c r="D197" i="1"/>
  <c r="BA102" i="1"/>
  <c r="CA290" i="1"/>
  <c r="AD124" i="1"/>
  <c r="E313" i="1"/>
  <c r="D41" i="1"/>
  <c r="E30" i="1"/>
  <c r="D35" i="1"/>
  <c r="D76" i="1"/>
  <c r="D248" i="1"/>
  <c r="D31" i="1"/>
  <c r="CL225" i="1"/>
  <c r="BZ268" i="1"/>
  <c r="E137" i="1"/>
  <c r="D24" i="1"/>
  <c r="E34" i="1"/>
  <c r="D138" i="1"/>
  <c r="BZ39" i="1"/>
  <c r="D40" i="1"/>
  <c r="BA48" i="1"/>
  <c r="BA293" i="1"/>
  <c r="D96" i="1"/>
  <c r="BB112" i="1"/>
  <c r="D92" i="1"/>
  <c r="D306" i="1"/>
  <c r="E154" i="1"/>
  <c r="E199" i="1"/>
  <c r="CW112" i="1"/>
  <c r="AJ225" i="1"/>
  <c r="BA215" i="1"/>
  <c r="I67" i="1"/>
  <c r="D130" i="1"/>
  <c r="D262" i="1"/>
  <c r="CA245" i="1"/>
  <c r="CA231" i="1" s="1"/>
  <c r="D22" i="1"/>
  <c r="BA145" i="1"/>
  <c r="D258" i="1"/>
  <c r="BA62" i="1"/>
  <c r="CB145" i="1"/>
  <c r="D264" i="1"/>
  <c r="D256" i="1"/>
  <c r="U16" i="1"/>
  <c r="F48" i="1"/>
  <c r="BZ68" i="1"/>
  <c r="D142" i="1"/>
  <c r="CW16" i="1"/>
  <c r="D93" i="1"/>
  <c r="BA85" i="1"/>
  <c r="E139" i="1"/>
  <c r="BZ46" i="1"/>
  <c r="X225" i="1"/>
  <c r="E162" i="1"/>
  <c r="BZ165" i="1"/>
  <c r="CA163" i="1"/>
  <c r="D144" i="1"/>
  <c r="D252" i="1"/>
  <c r="D95" i="1"/>
  <c r="D89" i="1" s="1"/>
  <c r="CW145" i="1"/>
  <c r="D156" i="1"/>
  <c r="AD67" i="1"/>
  <c r="D246" i="1"/>
  <c r="D29" i="1"/>
  <c r="E201" i="1"/>
  <c r="CA153" i="1"/>
  <c r="BZ154" i="1"/>
  <c r="D257" i="1"/>
  <c r="E63" i="1"/>
  <c r="CA85" i="1"/>
  <c r="BZ137" i="1"/>
  <c r="CW124" i="1"/>
  <c r="BZ269" i="1"/>
  <c r="F133" i="1"/>
  <c r="E136" i="1"/>
  <c r="BZ19" i="1"/>
  <c r="E269" i="1"/>
  <c r="CW85" i="1"/>
  <c r="CD225" i="1"/>
  <c r="U67" i="1"/>
  <c r="CW102" i="1"/>
  <c r="AA225" i="1"/>
  <c r="E214" i="1"/>
  <c r="R225" i="1"/>
  <c r="D33" i="1"/>
  <c r="D149" i="1"/>
  <c r="D209" i="1"/>
  <c r="CA215" i="1"/>
  <c r="D210" i="1"/>
  <c r="CW67" i="1"/>
  <c r="D148" i="1"/>
  <c r="CW48" i="1"/>
  <c r="CW62" i="1"/>
  <c r="D213" i="1"/>
  <c r="F62" i="1"/>
  <c r="D211" i="1"/>
  <c r="D212" i="1"/>
  <c r="D32" i="1"/>
  <c r="E268" i="1"/>
  <c r="BZ161" i="1"/>
  <c r="CA160" i="1"/>
  <c r="F163" i="1"/>
  <c r="E242" i="1"/>
  <c r="D207" i="1"/>
  <c r="D88" i="1"/>
  <c r="BZ133" i="1"/>
  <c r="D27" i="1"/>
  <c r="D314" i="1"/>
  <c r="AG225" i="1"/>
  <c r="O225" i="1"/>
  <c r="N225" i="1"/>
  <c r="D182" i="1"/>
  <c r="D181" i="1" s="1"/>
  <c r="D259" i="1"/>
  <c r="CK225" i="1"/>
  <c r="AH225" i="1"/>
  <c r="W225" i="1"/>
  <c r="V225" i="1"/>
  <c r="D250" i="1"/>
  <c r="D249" i="1"/>
  <c r="E169" i="1"/>
  <c r="D132" i="1"/>
  <c r="E110" i="1"/>
  <c r="D111" i="1"/>
  <c r="E81" i="1"/>
  <c r="D82" i="1"/>
  <c r="E161" i="1"/>
  <c r="F160" i="1"/>
  <c r="D230" i="1"/>
  <c r="D228" i="1" s="1"/>
  <c r="E141" i="1"/>
  <c r="E117" i="1"/>
  <c r="BA116" i="1"/>
  <c r="F85" i="1"/>
  <c r="BA67" i="1"/>
  <c r="D318" i="1"/>
  <c r="E317" i="1"/>
  <c r="D322" i="1"/>
  <c r="E321" i="1"/>
  <c r="D91" i="1"/>
  <c r="D66" i="1"/>
  <c r="E65" i="1"/>
  <c r="E77" i="1"/>
  <c r="E83" i="1"/>
  <c r="D84" i="1"/>
  <c r="E46" i="1"/>
  <c r="D47" i="1"/>
  <c r="E49" i="1"/>
  <c r="D50" i="1"/>
  <c r="D147" i="1"/>
  <c r="E146" i="1"/>
  <c r="D126" i="1"/>
  <c r="E125" i="1"/>
  <c r="D64" i="1"/>
  <c r="F293" i="1" l="1"/>
  <c r="E105" i="1"/>
  <c r="D294" i="1"/>
  <c r="CA159" i="1"/>
  <c r="F159" i="1"/>
  <c r="BZ105" i="1"/>
  <c r="W323" i="1"/>
  <c r="V323" i="1"/>
  <c r="AH323" i="1"/>
  <c r="R323" i="1"/>
  <c r="AA323" i="1"/>
  <c r="X323" i="1"/>
  <c r="BZ59" i="1"/>
  <c r="T323" i="1"/>
  <c r="AZ323" i="1"/>
  <c r="BF323" i="1"/>
  <c r="BK323" i="1"/>
  <c r="AG323" i="1"/>
  <c r="CD323" i="1"/>
  <c r="AJ323" i="1"/>
  <c r="CL323" i="1"/>
  <c r="Y323" i="1"/>
  <c r="Z323" i="1"/>
  <c r="AC323" i="1"/>
  <c r="CE323" i="1"/>
  <c r="CX323" i="1"/>
  <c r="J323" i="1"/>
  <c r="N323" i="1"/>
  <c r="O323" i="1"/>
  <c r="E59" i="1"/>
  <c r="BB323" i="1"/>
  <c r="CK323" i="1"/>
  <c r="BN323" i="1"/>
  <c r="D118" i="1"/>
  <c r="D106" i="1"/>
  <c r="D216" i="1"/>
  <c r="D21" i="1"/>
  <c r="D42" i="1"/>
  <c r="D123" i="1"/>
  <c r="F112" i="1"/>
  <c r="E122" i="1"/>
  <c r="E129" i="1"/>
  <c r="D189" i="1"/>
  <c r="CA124" i="1"/>
  <c r="F168" i="1"/>
  <c r="BZ23" i="1"/>
  <c r="D179" i="1"/>
  <c r="BZ99" i="1"/>
  <c r="E19" i="1"/>
  <c r="D25" i="1"/>
  <c r="F145" i="1"/>
  <c r="CW225" i="1"/>
  <c r="E171" i="1"/>
  <c r="D131" i="1"/>
  <c r="D51" i="1"/>
  <c r="D177" i="1"/>
  <c r="D100" i="1"/>
  <c r="E79" i="1"/>
  <c r="D286" i="1"/>
  <c r="E188" i="1"/>
  <c r="D80" i="1"/>
  <c r="BZ112" i="1"/>
  <c r="D319" i="1"/>
  <c r="D308" i="1"/>
  <c r="D222" i="1"/>
  <c r="E221" i="1"/>
  <c r="D184" i="1"/>
  <c r="D288" i="1"/>
  <c r="BZ221" i="1"/>
  <c r="D169" i="1"/>
  <c r="CB225" i="1"/>
  <c r="F181" i="1"/>
  <c r="D190" i="1"/>
  <c r="D226" i="1"/>
  <c r="D113" i="1"/>
  <c r="BZ129" i="1"/>
  <c r="U225" i="1"/>
  <c r="AD225" i="1"/>
  <c r="D192" i="1"/>
  <c r="BZ168" i="1"/>
  <c r="D270" i="1"/>
  <c r="D139" i="1"/>
  <c r="E215" i="1"/>
  <c r="F67" i="1"/>
  <c r="D55" i="1"/>
  <c r="E39" i="1"/>
  <c r="D150" i="1"/>
  <c r="BZ102" i="1"/>
  <c r="I225" i="1"/>
  <c r="D43" i="1"/>
  <c r="BZ62" i="1"/>
  <c r="CA67" i="1"/>
  <c r="D37" i="1"/>
  <c r="D20" i="1"/>
  <c r="D137" i="1"/>
  <c r="D75" i="1"/>
  <c r="BZ293" i="1"/>
  <c r="D73" i="1"/>
  <c r="D174" i="1"/>
  <c r="BZ77" i="1"/>
  <c r="D103" i="1"/>
  <c r="E290" i="1"/>
  <c r="D44" i="1"/>
  <c r="D30" i="1"/>
  <c r="D69" i="1"/>
  <c r="D70" i="1"/>
  <c r="BA181" i="1"/>
  <c r="D57" i="1"/>
  <c r="CA16" i="1"/>
  <c r="D194" i="1"/>
  <c r="BZ181" i="1"/>
  <c r="D172" i="1"/>
  <c r="BA225" i="1"/>
  <c r="E102" i="1"/>
  <c r="D315" i="1"/>
  <c r="D60" i="1"/>
  <c r="D17" i="1"/>
  <c r="D53" i="1"/>
  <c r="D78" i="1"/>
  <c r="F16" i="1"/>
  <c r="E68" i="1"/>
  <c r="BA16" i="1"/>
  <c r="BZ48" i="1"/>
  <c r="D291" i="1"/>
  <c r="BZ290" i="1"/>
  <c r="F124" i="1"/>
  <c r="BZ245" i="1"/>
  <c r="BZ231" i="1" s="1"/>
  <c r="D34" i="1"/>
  <c r="E23" i="1"/>
  <c r="E245" i="1"/>
  <c r="E231" i="1" s="1"/>
  <c r="E62" i="1"/>
  <c r="BZ160" i="1"/>
  <c r="D49" i="1"/>
  <c r="D321" i="1"/>
  <c r="E48" i="1"/>
  <c r="D65" i="1"/>
  <c r="E85" i="1"/>
  <c r="BA112" i="1"/>
  <c r="D268" i="1"/>
  <c r="BZ85" i="1"/>
  <c r="D146" i="1"/>
  <c r="E293" i="1"/>
  <c r="D242" i="1"/>
  <c r="D46" i="1"/>
  <c r="D63" i="1"/>
  <c r="D125" i="1"/>
  <c r="D83" i="1"/>
  <c r="D317" i="1"/>
  <c r="D110" i="1"/>
  <c r="D214" i="1"/>
  <c r="E204" i="1"/>
  <c r="D269" i="1"/>
  <c r="D201" i="1"/>
  <c r="D154" i="1"/>
  <c r="E153" i="1"/>
  <c r="D141" i="1"/>
  <c r="E133" i="1"/>
  <c r="D136" i="1"/>
  <c r="BZ153" i="1"/>
  <c r="BZ163" i="1"/>
  <c r="D165" i="1"/>
  <c r="D199" i="1"/>
  <c r="E196" i="1"/>
  <c r="D81" i="1"/>
  <c r="E163" i="1"/>
  <c r="CA145" i="1"/>
  <c r="D162" i="1"/>
  <c r="D86" i="1"/>
  <c r="D313" i="1"/>
  <c r="P225" i="1"/>
  <c r="D161" i="1"/>
  <c r="E160" i="1"/>
  <c r="D117" i="1"/>
  <c r="E116" i="1"/>
  <c r="E159" i="1" l="1"/>
  <c r="BZ159" i="1"/>
  <c r="D105" i="1"/>
  <c r="P323" i="1"/>
  <c r="U323" i="1"/>
  <c r="CW323" i="1"/>
  <c r="AD323" i="1"/>
  <c r="CB323" i="1"/>
  <c r="I323" i="1"/>
  <c r="D59" i="1"/>
  <c r="BA323" i="1"/>
  <c r="D129" i="1"/>
  <c r="D215" i="1"/>
  <c r="D122" i="1"/>
  <c r="E168" i="1"/>
  <c r="D99" i="1"/>
  <c r="D188" i="1"/>
  <c r="D19" i="1"/>
  <c r="BZ16" i="1"/>
  <c r="BZ67" i="1"/>
  <c r="BZ124" i="1"/>
  <c r="D79" i="1"/>
  <c r="D221" i="1"/>
  <c r="F225" i="1"/>
  <c r="D77" i="1"/>
  <c r="D102" i="1"/>
  <c r="D68" i="1"/>
  <c r="D39" i="1"/>
  <c r="D23" i="1"/>
  <c r="E67" i="1"/>
  <c r="D171" i="1"/>
  <c r="D290" i="1"/>
  <c r="E124" i="1"/>
  <c r="E16" i="1"/>
  <c r="D245" i="1"/>
  <c r="D231" i="1" s="1"/>
  <c r="D116" i="1"/>
  <c r="D48" i="1"/>
  <c r="D62" i="1"/>
  <c r="D85" i="1"/>
  <c r="D196" i="1"/>
  <c r="D204" i="1"/>
  <c r="D133" i="1"/>
  <c r="D153" i="1"/>
  <c r="E145" i="1"/>
  <c r="E112" i="1"/>
  <c r="D160" i="1"/>
  <c r="D163" i="1"/>
  <c r="CA225" i="1"/>
  <c r="E181" i="1"/>
  <c r="BZ145" i="1"/>
  <c r="D293" i="1"/>
  <c r="D159" i="1" l="1"/>
  <c r="CA323" i="1"/>
  <c r="F323" i="1"/>
  <c r="D16" i="1"/>
  <c r="BZ225" i="1"/>
  <c r="BZ323" i="1" s="1"/>
  <c r="D67" i="1"/>
  <c r="D168" i="1"/>
  <c r="D124" i="1"/>
  <c r="E225" i="1"/>
  <c r="D112" i="1"/>
  <c r="D145" i="1"/>
  <c r="E323" i="1" l="1"/>
  <c r="D225" i="1"/>
  <c r="D323" i="1" s="1"/>
</calcChain>
</file>

<file path=xl/sharedStrings.xml><?xml version="1.0" encoding="utf-8"?>
<sst xmlns="http://schemas.openxmlformats.org/spreadsheetml/2006/main" count="1110" uniqueCount="645">
  <si>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</si>
  <si>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</si>
  <si>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</si>
  <si>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</si>
  <si>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</si>
  <si>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</si>
  <si>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</si>
  <si>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</si>
  <si>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</si>
  <si>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</si>
  <si>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Аренда помещений</t>
  </si>
  <si>
    <t>Оплата газа</t>
  </si>
  <si>
    <t>Книги и период. издания</t>
  </si>
  <si>
    <t>На покрытие разницы в ценах и тарифах</t>
  </si>
  <si>
    <t>Стипендии</t>
  </si>
  <si>
    <t>Пенсии и пособия, возмещаемые из бюджета</t>
  </si>
  <si>
    <t>Денежные компенсации</t>
  </si>
  <si>
    <t>Всего</t>
  </si>
  <si>
    <t>ПРИОБР. ПРЕДМ. СНАБЖ. И РАСХ. МАТЕРИАЛОВ</t>
  </si>
  <si>
    <t>Медикаменты</t>
  </si>
  <si>
    <t>Мягкий инвент. и обмундир.</t>
  </si>
  <si>
    <t>Содерж. автотр-та</t>
  </si>
  <si>
    <t>Проч. расх. мат-лы и предм. снаб-я</t>
  </si>
  <si>
    <t>Внутри республики</t>
  </si>
  <si>
    <t>За пределы республики</t>
  </si>
  <si>
    <t>ТРАНСП. УСЛУГИ</t>
  </si>
  <si>
    <t>ОПЛАТА КОММУН. УСЛУГ</t>
  </si>
  <si>
    <t>Содержание помещений</t>
  </si>
  <si>
    <t>Освещение помещений</t>
  </si>
  <si>
    <t>Водоснабж-е помещений</t>
  </si>
  <si>
    <t>Льготы по коммун. услугам</t>
  </si>
  <si>
    <t>ПРОЧ. ТЕК. РАСХ. НА ЗАКУП. ТОВ. И ОПЛ. УСЛУГ</t>
  </si>
  <si>
    <t>Текущ. рем. оборуд. и инвент.</t>
  </si>
  <si>
    <t>Текущ. рем. зданий и помещ.</t>
  </si>
  <si>
    <t>Гос. и местн. символика, знаки отличия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</si>
  <si>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</si>
  <si>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</si>
  <si>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</si>
  <si>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</si>
  <si>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</si>
  <si>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</si>
  <si>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Участие адвокатов</t>
  </si>
  <si>
    <t>Молоч. смеси для детей</t>
  </si>
  <si>
    <t>Денеж. компенсация</t>
  </si>
  <si>
    <t>Тов. и усл., не отнес. к др. гр.</t>
  </si>
  <si>
    <t>Тек. трансф. на продукцию и услуги</t>
  </si>
  <si>
    <t>На покрытие потерь от льгот по тр-ту</t>
  </si>
  <si>
    <t>Проч. тр-ты на прод. и услуги</t>
  </si>
  <si>
    <t>Трансферты на произв. цели</t>
  </si>
  <si>
    <t>Тр-ты фин. учр. и др. орг-циям</t>
  </si>
  <si>
    <t>Страх. комп. на обяз. гос., личн. страхование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</si>
  <si>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</si>
  <si>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</si>
  <si>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</si>
  <si>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Индексация страховых взносов</t>
  </si>
  <si>
    <t>Оплата квартир и комм. услуг</t>
  </si>
  <si>
    <t>Прочие тр-ты населению</t>
  </si>
  <si>
    <t>Приобр. оборуд.</t>
  </si>
  <si>
    <t>Приобр. произв. оборуд.</t>
  </si>
  <si>
    <t>Приобр. непроизв. оборуд.</t>
  </si>
  <si>
    <t>Кап. влож. в строительство</t>
  </si>
  <si>
    <t>Уплата % и погашение внутр-х кредитов</t>
  </si>
  <si>
    <t>Уплата % по внутр-м кредитам</t>
  </si>
  <si>
    <t>Погашение внутр-х кредитов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</si>
  <si>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</si>
  <si>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</si>
  <si>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</si>
  <si>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</si>
  <si>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</si>
  <si>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</si>
  <si>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</si>
  <si>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</si>
  <si>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</si>
  <si>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</si>
  <si>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</si>
  <si>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</si>
  <si>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</si>
  <si>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</si>
  <si>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</si>
  <si>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</si>
  <si>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</si>
  <si>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</si>
  <si>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</si>
  <si>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</si>
  <si>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</si>
  <si>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</si>
  <si>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</si>
  <si>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</si>
  <si>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</si>
  <si>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</si>
  <si>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</si>
  <si>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</si>
  <si>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</si>
  <si>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</si>
  <si>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</si>
  <si>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</si>
  <si>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</si>
  <si>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</si>
  <si>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</si>
  <si>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</si>
  <si>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</si>
  <si>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</si>
  <si>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</si>
  <si>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</si>
  <si>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</si>
  <si>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</si>
  <si>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</si>
  <si>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</si>
  <si>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</si>
  <si>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</si>
  <si>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</si>
  <si>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</si>
  <si>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</si>
  <si>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</si>
  <si>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</si>
  <si>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</si>
  <si>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</si>
  <si>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</si>
  <si>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</si>
  <si>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</si>
  <si>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</si>
  <si>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</si>
  <si>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</si>
  <si>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</si>
  <si>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</si>
  <si>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</si>
  <si>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</si>
  <si>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</si>
  <si>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</si>
  <si>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</si>
  <si>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0204</t>
  </si>
  <si>
    <t>Арбитражный суд</t>
  </si>
  <si>
    <t>107</t>
  </si>
  <si>
    <t>Арбитражный суд ПМР</t>
  </si>
  <si>
    <t>0210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</si>
  <si>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</si>
  <si>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</si>
  <si>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</si>
  <si>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</si>
  <si>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</si>
  <si>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</si>
  <si>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</si>
  <si>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</si>
  <si>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</si>
  <si>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</si>
  <si>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</si>
  <si>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</si>
  <si>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</si>
  <si>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</si>
  <si>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</si>
  <si>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</si>
  <si>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</si>
  <si>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</si>
  <si>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</si>
  <si>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</si>
  <si>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</si>
  <si>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</si>
  <si>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</si>
  <si>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</si>
  <si>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</si>
  <si>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</si>
  <si>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</si>
  <si>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</si>
  <si>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</si>
  <si>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</si>
  <si>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</si>
  <si>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</si>
  <si>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</si>
  <si>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</si>
  <si>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</si>
  <si>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</si>
  <si>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</si>
  <si>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</si>
  <si>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</si>
  <si>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</si>
  <si>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</si>
  <si>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</si>
  <si>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</si>
  <si>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</si>
  <si>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</si>
  <si>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</si>
  <si>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</si>
  <si>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</si>
  <si>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</si>
  <si>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</si>
  <si>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</si>
  <si>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</si>
  <si>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</si>
  <si>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Министерство просвещения ПМР</t>
  </si>
  <si>
    <t>136</t>
  </si>
  <si>
    <t>0700</t>
  </si>
  <si>
    <t>ПРОМЫШЛЕННОСТЬ, ЭНЕРГЕТИКА И СТРОИТЕЛЬСТВО</t>
  </si>
  <si>
    <t>0707</t>
  </si>
  <si>
    <t>Компенсация разницы в тарифах</t>
  </si>
  <si>
    <t>0800</t>
  </si>
  <si>
    <t>СЕЛЬСКОЕ ХОЗЯЙСТВО</t>
  </si>
  <si>
    <t>0805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</si>
  <si>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</si>
  <si>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</si>
  <si>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</si>
  <si>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</si>
  <si>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</si>
  <si>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</si>
  <si>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1000</t>
  </si>
  <si>
    <t>ТРАНСПОРТ, ДОРОЖНОЕ ХОЗЯЙСТВО, СВЯЗЬ И ИНФОРМАТИКА</t>
  </si>
  <si>
    <t>1001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</si>
  <si>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</si>
  <si>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</si>
  <si>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</si>
  <si>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</si>
  <si>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</si>
  <si>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</si>
  <si>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</si>
  <si>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</si>
  <si>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</si>
  <si>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</si>
  <si>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</si>
  <si>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</si>
  <si>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</si>
  <si>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</si>
  <si>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</si>
  <si>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</si>
  <si>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</si>
  <si>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</si>
  <si>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</si>
  <si>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</si>
  <si>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</si>
  <si>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</si>
  <si>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</si>
  <si>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</si>
  <si>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</si>
  <si>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</si>
  <si>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</si>
  <si>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</si>
  <si>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</si>
  <si>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</si>
  <si>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</si>
  <si>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</si>
  <si>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</si>
  <si>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</si>
  <si>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</si>
  <si>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</si>
  <si>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</si>
  <si>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</si>
  <si>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</si>
  <si>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</si>
  <si>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</si>
  <si>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</si>
  <si>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</si>
  <si>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СДЮШОР</t>
  </si>
  <si>
    <t>РЦОП</t>
  </si>
  <si>
    <t>СРЕДСТВА МАССОВОЙ ИНФОРМАЦИИ</t>
  </si>
  <si>
    <t>1501</t>
  </si>
  <si>
    <t>Телевидение и радиовещание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</si>
  <si>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</si>
  <si>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</si>
  <si>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</si>
  <si>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</si>
  <si>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</si>
  <si>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</si>
  <si>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</si>
  <si>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</si>
  <si>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</si>
  <si>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</si>
  <si>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</si>
  <si>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</si>
  <si>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</si>
  <si>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</si>
  <si>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</si>
  <si>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</si>
  <si>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</si>
  <si>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</si>
  <si>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</si>
  <si>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</si>
  <si>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</si>
  <si>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</si>
  <si>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</si>
  <si>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</si>
  <si>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</si>
  <si>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</si>
  <si>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</si>
  <si>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</si>
  <si>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</si>
  <si>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</si>
  <si>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</si>
  <si>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</si>
  <si>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</si>
  <si>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</si>
  <si>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</si>
  <si>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</si>
  <si>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</si>
  <si>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</si>
  <si>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</si>
  <si>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</si>
  <si>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</si>
  <si>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</si>
  <si>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</si>
  <si>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</si>
  <si>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</si>
  <si>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</si>
  <si>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</si>
  <si>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</si>
  <si>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</si>
  <si>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</si>
  <si>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</si>
  <si>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</si>
  <si>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</si>
  <si>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</si>
  <si>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</si>
  <si>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</si>
  <si>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</si>
  <si>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</si>
  <si>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</si>
  <si>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</si>
  <si>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</si>
  <si>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</si>
  <si>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</si>
  <si>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</si>
  <si>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</si>
  <si>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</si>
  <si>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</si>
  <si>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Создание и модернизация информац. ресурсов в сфере налогообложения и бюджетного процесса</t>
  </si>
  <si>
    <t>124</t>
  </si>
  <si>
    <t>3008</t>
  </si>
  <si>
    <t>Целевые программы</t>
  </si>
  <si>
    <t>ГЦП "Профилактика туберкулеза"</t>
  </si>
  <si>
    <t>3009</t>
  </si>
  <si>
    <t>Резервный фонд Правительства ПМР</t>
  </si>
  <si>
    <t>126</t>
  </si>
  <si>
    <t>3010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</si>
  <si>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</si>
  <si>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</si>
  <si>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</si>
  <si>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</si>
  <si>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</si>
  <si>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</si>
  <si>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</si>
  <si>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</si>
  <si>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</si>
  <si>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</si>
  <si>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</si>
  <si>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</si>
  <si>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</si>
  <si>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</si>
  <si>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</si>
  <si>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</si>
  <si>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</si>
  <si>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</si>
  <si>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</si>
  <si>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</si>
  <si>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</si>
  <si>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</si>
  <si>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</si>
  <si>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</si>
  <si>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</si>
  <si>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</si>
  <si>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</si>
  <si>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</si>
  <si>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"Единый аукционный центр"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</si>
  <si>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</si>
  <si>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</si>
  <si>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</si>
  <si>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</si>
  <si>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ГОУ СПО "Училище олимпийского резерва"</t>
  </si>
  <si>
    <t>Приднестровский гос. театр драмы и комедии им. Н. С. Аронецкой ГС КиИН</t>
  </si>
  <si>
    <t>Льготы отдельным категориям населения на ЖКУ</t>
  </si>
  <si>
    <t>МЭР (возмещение льготы на коммунальные услуги)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</si>
  <si>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</si>
  <si>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</si>
  <si>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</si>
  <si>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</si>
  <si>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</si>
  <si>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</si>
  <si>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</si>
  <si>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</si>
  <si>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Субсидии на осуществление программы "Столица"</t>
  </si>
  <si>
    <t>Расходы от оказ. плат. усл. (ГУ "Архивы Приднестровья")</t>
  </si>
  <si>
    <t>ГЦП "Сохран. недвижимых объектов культурного наследия"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</si>
  <si>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</si>
  <si>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</si>
  <si>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</si>
  <si>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</si>
  <si>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</si>
  <si>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</si>
  <si>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</si>
  <si>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</si>
  <si>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</si>
  <si>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</si>
  <si>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</si>
  <si>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</si>
  <si>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</si>
  <si>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</si>
  <si>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</si>
  <si>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</si>
  <si>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</si>
  <si>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</si>
  <si>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</si>
  <si>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</si>
  <si>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</si>
  <si>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</si>
  <si>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</si>
  <si>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</si>
  <si>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</si>
  <si>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</si>
  <si>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</si>
  <si>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</si>
  <si>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</si>
  <si>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</si>
  <si>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</si>
  <si>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</si>
  <si>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</si>
  <si>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</si>
  <si>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</si>
  <si>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</si>
  <si>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</si>
  <si>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</si>
  <si>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</si>
  <si>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</si>
  <si>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</si>
  <si>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</si>
  <si>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</si>
  <si>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</si>
  <si>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</si>
  <si>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</si>
  <si>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</si>
  <si>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</si>
  <si>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</si>
  <si>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</si>
  <si>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</si>
  <si>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</si>
  <si>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</si>
  <si>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[130280]</t>
  </si>
  <si>
    <t>[130300]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</si>
  <si>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</si>
  <si>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</si>
  <si>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</si>
  <si>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</si>
  <si>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</si>
  <si>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</si>
  <si>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</si>
  <si>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</si>
  <si>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</si>
  <si>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</si>
  <si>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</si>
  <si>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</si>
  <si>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</si>
  <si>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</si>
  <si>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</si>
  <si>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</si>
  <si>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</si>
  <si>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</si>
  <si>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</si>
  <si>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</si>
  <si>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</si>
  <si>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[240240]</t>
  </si>
  <si>
    <t>[240300]</t>
  </si>
  <si>
    <t>[240330]</t>
  </si>
  <si>
    <t>[240340]</t>
  </si>
  <si>
    <t>[240350]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</si>
  <si>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</si>
  <si>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</si>
  <si>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</si>
  <si>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</si>
  <si>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</si>
  <si>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</si>
  <si>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(руб.)</t>
  </si>
  <si>
    <t>Протези-рование</t>
  </si>
  <si>
    <t>Из Дорожного фонда</t>
  </si>
  <si>
    <t>СРЕДСТВА, ПЕРЕДАВ. БЮДЖ. ДР. УР.</t>
  </si>
  <si>
    <t>КАПИТ. РАСХОДЫ</t>
  </si>
  <si>
    <t>Капитальн. ремонт</t>
  </si>
  <si>
    <t>объект. соц.-культ. назнач.</t>
  </si>
  <si>
    <t>админ. зданий</t>
  </si>
  <si>
    <t>Субсидирование социально значимых маршрутов</t>
  </si>
  <si>
    <t>[130430]</t>
  </si>
  <si>
    <t>ГС экологического контроля и охраны окр. среды ПМР</t>
  </si>
  <si>
    <t>Переподго-товка кадров</t>
  </si>
  <si>
    <t>Денежное вознаг. за выполнен. работы, услуги</t>
  </si>
  <si>
    <t>ТЕКУЩИЕ ТРАНСФЕР-ТЫ</t>
  </si>
  <si>
    <t>Из Экологичес-кого фонда</t>
  </si>
  <si>
    <t>ТРАНСФЕР-ТЫ НАСЕЛЕ-НИЮ</t>
  </si>
  <si>
    <t>Приобретен. тр-ных ср-в для инвалидов</t>
  </si>
  <si>
    <t>Компенсац. тр-ных расх. инвалидам</t>
  </si>
  <si>
    <t>УЧАСТИЕ ПРАВ-ВА В ОСУЩ-ИИ ОТД-Х ПРОГР.</t>
  </si>
  <si>
    <t>Оплата работ и услуг, переданных на аутсорсинг</t>
  </si>
  <si>
    <t xml:space="preserve"> [111059] </t>
  </si>
  <si>
    <t>Министерство иностранных дел (госзаказ НИОКР)</t>
  </si>
  <si>
    <t>Министерство сельского хозяйства и природных ресурсов ПМР</t>
  </si>
  <si>
    <t>Министерство цифрового развития, связи  и массовых коммуникаций ПМР</t>
  </si>
  <si>
    <t>Министерство цифрового развития, связи и массовых коммуникаций (газета)</t>
  </si>
  <si>
    <t>Трансферты, выделяемые из бюджета бюджетам других уровней</t>
  </si>
  <si>
    <t>Центр национальных культур Приднестровья</t>
  </si>
  <si>
    <t>Мероприятия по оснащению рабочими тетрадями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</si>
  <si>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</si>
  <si>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</si>
  <si>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Министерство цифрового развития, связи и массовых коммуникаций (возмещение льготы по усл. связи)</t>
  </si>
  <si>
    <t>[240230]</t>
  </si>
  <si>
    <t>[240250]</t>
  </si>
  <si>
    <t>[240310]</t>
  </si>
  <si>
    <t>жилого фонда</t>
  </si>
  <si>
    <t>[240360]</t>
  </si>
  <si>
    <t>прочих объектов</t>
  </si>
  <si>
    <t>Приложение № 2</t>
  </si>
  <si>
    <t>Другие трансфер-ты</t>
  </si>
  <si>
    <t>Министерство финансов ПМР</t>
  </si>
  <si>
    <t>Счетная палата ПМР</t>
  </si>
  <si>
    <t>НАЧИСЛ. НА ОПЛАТУ ТРУДА</t>
  </si>
  <si>
    <t>Министерство юстиции (ГС РиН, УСЭ)</t>
  </si>
  <si>
    <t>Услуги по строительному контролю и техническому надзору</t>
  </si>
  <si>
    <t>ГЦП "Профилактика сердечно-сосудистых заболеваний"</t>
  </si>
  <si>
    <t>ГЦП "Льготное кред. инвалидов общего заболевания, инвалидов по зрению"</t>
  </si>
  <si>
    <t>ГЦП "Профилактика вирусных гепатитов В и С в ПМР"</t>
  </si>
  <si>
    <t>Погашение задолженности перед  ГУП "Дубоссарская ГЭС"</t>
  </si>
  <si>
    <t>Усл. науч.-исслед. орг-ций</t>
  </si>
  <si>
    <t>Оплата расходов, связанная с выполнен. НИР ОКиТ работ по гос. контрактам</t>
  </si>
  <si>
    <t>в жил. строительство</t>
  </si>
  <si>
    <t>в строит. админ. зданий</t>
  </si>
  <si>
    <t>в строит. коммун. объектов</t>
  </si>
  <si>
    <t>0508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</si>
  <si>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</si>
  <si>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</si>
  <si>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</si>
  <si>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КОМАНДИ-РОВКИ И СЛУЖЕБН.  РАЗЪЕЗДЫ</t>
  </si>
  <si>
    <t>Пенсии и пособия, возмещаем.  из бюджета</t>
  </si>
  <si>
    <t>КАП. ВЛОЖЕ-НИЯ В ОСНОВНЫЕ ФОНДЫ</t>
  </si>
  <si>
    <t>в строит. объектов соц.-культурн. назнач.</t>
  </si>
  <si>
    <t>трансп. средств</t>
  </si>
  <si>
    <t>ГП разгосударствления и приватизации</t>
  </si>
  <si>
    <t>Финансовая помощь бюджетам других уровней</t>
  </si>
  <si>
    <t>ГЦП "ВИЧ-СПИД"</t>
  </si>
  <si>
    <t>ГЦП "Иммунизация населения ПМР"</t>
  </si>
  <si>
    <t>ГЦП "Онкология"</t>
  </si>
  <si>
    <t>ГЦП "Учебник"</t>
  </si>
  <si>
    <t>ГЦП развития минерально-сырьевой базы ПМР</t>
  </si>
  <si>
    <t>155</t>
  </si>
  <si>
    <t>раздел, под-раздел</t>
  </si>
  <si>
    <t>Код</t>
  </si>
  <si>
    <t>Министерство внутренних дел ПМР (госзаказ НИОКР)</t>
  </si>
  <si>
    <t>Министерство цифрового развития, связи и массовых коммуникаций (лиценз. сбор)</t>
  </si>
  <si>
    <t>Прочие мероприятия по культуре и искусству ГС КиИН</t>
  </si>
  <si>
    <t>Музеи и выставки ГС КиИН</t>
  </si>
  <si>
    <t>Высшие колледжи ГС КиИН</t>
  </si>
  <si>
    <t>Медикаменты, протезы и продукция, использ. по предписан. врача</t>
  </si>
  <si>
    <t>Выплаты и гарантии бывшим руковод. должн. лицам (АП)</t>
  </si>
  <si>
    <t>Учр-я и услуги в области соц. обеспеч., не отн. к др. гр.</t>
  </si>
  <si>
    <t>Гос. пособия гражданам, имеющим детей</t>
  </si>
  <si>
    <t>Выплаты и гарантии бывшим руковод. должн. лицам (ВС)</t>
  </si>
  <si>
    <t>Обслуживание внутреннего гос. долга</t>
  </si>
  <si>
    <t>Судебный департамент при Верховном суде ПМР</t>
  </si>
  <si>
    <t>Органы судебной власти, не отн. к др. гр.</t>
  </si>
  <si>
    <t>Органы и учреждения, не отн. к др. гр.</t>
  </si>
  <si>
    <t>Учр. и меропр. в области науч. иссл., не отн. к др. гр.</t>
  </si>
  <si>
    <t>Деят-ность и усл. в обл. пром-ти, энер-ки и строит-ва., не отн. к др. гр.</t>
  </si>
  <si>
    <t>Деят-сть и усл. в области сельского хоз-ва, не отн. к др. гр.</t>
  </si>
  <si>
    <t>Мин-во с/х и прир. рес. (РЦ ВСиФСБ)</t>
  </si>
  <si>
    <t>Мин-во с/х и прир. рес. (Республиканский  ГМЦ)</t>
  </si>
  <si>
    <t>Дворцы и дома культуры, клубы и др. учр-я ГСКиИН</t>
  </si>
  <si>
    <t>Респ. спорт.-реаб. центр инвалидов</t>
  </si>
  <si>
    <t>Мероприятия, направл. на развитие (обновление) МТБ учреждений здравоохранения</t>
  </si>
  <si>
    <t>Расходы от оказания платных услуг</t>
  </si>
  <si>
    <t>Расходы от оказ. плат. усл. (Минэкономразвития, ГИИЦ)</t>
  </si>
  <si>
    <t>Расходы от оказ. плат. усл. (Мин-во СЗиТ, соц. патронаж)</t>
  </si>
  <si>
    <t>Расходы от оказ. плат. усл. (Минздрав, медколледжи)</t>
  </si>
  <si>
    <t>Расходы от оказ. плат. усл. (Минздрав, больницы)</t>
  </si>
  <si>
    <t>Расходы от оказ. плат. усл. (Минздрав, поликлиники)</t>
  </si>
  <si>
    <t>Расходы от оказ. плат. усл. (Минздрав, СЭС)</t>
  </si>
  <si>
    <t>Расходы от оказ. плат. усл. (Минпрос, образование)</t>
  </si>
  <si>
    <t>Расходы от оказ. плат. усл. (МВД)</t>
  </si>
  <si>
    <t>Расходы от оказ. плат. усл. (Минюст, ГУ "Юридич. литер-ра")</t>
  </si>
  <si>
    <t>Расходы от оказ. плат. усл. (Мин.с/х и прир. рес., наука)</t>
  </si>
  <si>
    <t>Расходы от оказ. плат. усл. (Мин.с/х и прир. рес., ГУ "РЦ ВСиФСБ")</t>
  </si>
  <si>
    <t>Расходы от оказ. плат. усл. (Мин.с/х и прир. рес., ГМЦ)</t>
  </si>
  <si>
    <t>Расходы от оказ. плат. усл. (ГУ ЦКОМФП)</t>
  </si>
  <si>
    <t>Расходы от оказ. плат. усл. (по госзаказу ПГУ)</t>
  </si>
  <si>
    <t>Расходы от оказ. плат. усл. (ПГУ)</t>
  </si>
  <si>
    <t>Расходы от оказ. плат. усл. (ГС СИ МЮ)</t>
  </si>
  <si>
    <t>Расходы от оказ. плат. усл. (ГС ИН)</t>
  </si>
  <si>
    <t>Расходы от оказ. плат. усл. (ГС по спорту)</t>
  </si>
  <si>
    <t>Расходы от оказ. плат. усл. (ГС КиИН, ГОУ)</t>
  </si>
  <si>
    <t>Расходы от оказ. плат.усл. (ГС КиИН, культура и искусство)</t>
  </si>
  <si>
    <t>Расходы от оказ. плат. усл.  (ПГТРК)</t>
  </si>
  <si>
    <t>Расходы от оказ. плат. усл.  (газета)</t>
  </si>
  <si>
    <t>Фонд поддержки територий городов и районов</t>
  </si>
  <si>
    <t>Фонд по обеспеч. гос. гарантий гр-м, имеющим право на зем. долю (пай)</t>
  </si>
  <si>
    <t>Фонд по обесп. гос. гарантий гр-м, имеющим право на зем.долю</t>
  </si>
  <si>
    <t>[240270]</t>
  </si>
  <si>
    <t>в строит. прочих объектов</t>
  </si>
  <si>
    <t>МЭР ПМР (территор. упр-я статистики)</t>
  </si>
  <si>
    <t>Автомобильный транспорт и электротранспорт</t>
  </si>
  <si>
    <t>Учр. и меропр. в обл. культ., искус., религии, спорта, не отн.к др. гр.</t>
  </si>
  <si>
    <t>Мед., протезы и продукц., исп. в мед. практике по предписанию врача</t>
  </si>
  <si>
    <t>Индексация страх. взносов населения по долгоср. договорам добровольн. страх.</t>
  </si>
  <si>
    <t>Учрежд. и усл. в обл. соц. обесп. и соц. поддержки, не отн. к др. гр.</t>
  </si>
  <si>
    <t>ГЦП "Обеспечение жильем детей-сирот"</t>
  </si>
  <si>
    <t>ГП "Исполнение наказов избирателей"</t>
  </si>
  <si>
    <t>"О республиканском бюджете на 2024 год"</t>
  </si>
  <si>
    <t>0904</t>
  </si>
  <si>
    <t>Охрана окружающей среды</t>
  </si>
  <si>
    <t>ГС экологического контроля и охраны окр. среды ПМР (госзаказ)</t>
  </si>
  <si>
    <t>Министерство юстиции ПМР,                    ГУ "Юридическая литература"</t>
  </si>
  <si>
    <t>1503</t>
  </si>
  <si>
    <t>Прочие средства массовой информации</t>
  </si>
  <si>
    <t>Целевые субсидии  на капитальный ремонт  дорожных покрытий</t>
  </si>
  <si>
    <t>МЭР  (уличное освещение)</t>
  </si>
  <si>
    <t xml:space="preserve"> [130310] </t>
  </si>
  <si>
    <t>Резерв Дорожного фонда</t>
  </si>
  <si>
    <t>ГЦП "Переоснащение служебного автотранспорта пожарной охраны"</t>
  </si>
  <si>
    <t>Учеб.-нагляд. пособия</t>
  </si>
  <si>
    <t>Расходы на осуществление г.Тирасполем функций столицы</t>
  </si>
  <si>
    <t>Проведение выборов депутатов ВС ПМР</t>
  </si>
  <si>
    <t>Расходы республиканского бюджета на 2024 год</t>
  </si>
  <si>
    <t>1900</t>
  </si>
  <si>
    <t>1903</t>
  </si>
  <si>
    <t>ПОПОЛНЕНИЕ ГОСУДАРСТВЕННЫХ РЕЗЕРВОВ</t>
  </si>
  <si>
    <t>Фонд государственного резерва</t>
  </si>
  <si>
    <t>СОЗДАНИЕ ГОСУДАРСТВЕННЫХ РЕЗЕРВОВ</t>
  </si>
  <si>
    <t>Создание госрезервов</t>
  </si>
  <si>
    <t xml:space="preserve"> [250000] </t>
  </si>
  <si>
    <t xml:space="preserve"> [250100] </t>
  </si>
  <si>
    <t>Мероприятия по приобретению школьного автотранспорта для организаций образования ПМР</t>
  </si>
  <si>
    <t>Приобретение оборудования АСОП</t>
  </si>
  <si>
    <t>Бюджетное кредитование</t>
  </si>
  <si>
    <t>Предоставл-е внутр. займов</t>
  </si>
  <si>
    <t xml:space="preserve"> [300000] </t>
  </si>
  <si>
    <t xml:space="preserve"> [310000] </t>
  </si>
  <si>
    <t xml:space="preserve"> [310300] </t>
  </si>
  <si>
    <t>[111048]</t>
  </si>
  <si>
    <t>Штрафы</t>
  </si>
  <si>
    <t>Погашение к/з по програм. стр.-ва и ремонта систем водоснабжения</t>
  </si>
  <si>
    <t>Целевые субсидии ГА г. Бендеры</t>
  </si>
  <si>
    <t>Целевые субсидии ГА Дубоссарского р-на и  г. Дубоссары</t>
  </si>
  <si>
    <t xml:space="preserve">к Закону Приднестровской Молдавской Республики </t>
  </si>
  <si>
    <t>в Закон Приднестровской Молдавской Республики</t>
  </si>
  <si>
    <t>"О внесении изменений и дополнений</t>
  </si>
  <si>
    <t>1500</t>
  </si>
  <si>
    <t>Субсидии на содержание и благоустройство ИВМК "Бендерская крепость" и парка им. А. Невского (ГА Бендер)</t>
  </si>
  <si>
    <t>Расходы от оказ. плат. усл. (театр)</t>
  </si>
  <si>
    <t>Целевые субсидии  ГА  г.Тирасполя</t>
  </si>
  <si>
    <t>Целевые субсидии  ГА г. Днестровска</t>
  </si>
  <si>
    <t>Целевые субсидии ГА Слободзейского р-на и г. Слободзеи</t>
  </si>
  <si>
    <t>Целевые субсидии  ГА Рыбницкого р-на и               г. Рыбница</t>
  </si>
  <si>
    <t>Целевые субсидии ГА Григориопольского                  р-на и г. Григориополя</t>
  </si>
  <si>
    <t>ПРЕДОСТ. И ВОЗВРАТ ЗАЙМОВ ЗА СЧЁТ БЮДЖЕТА</t>
  </si>
  <si>
    <t>Предоставл. займов финансовым учреждениям</t>
  </si>
  <si>
    <t>УПЛАТА % И ПОГАШ. КРЕДИТОВ СОГЛ. ДОГОВОРАМ, ЗАКЛЮЧ-М С ГЛ.РАСП-МИ КРЕД.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</si>
</sst>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;\-#,##0;;@"/>
    <numFmt numFmtId="165" formatCode="#,###"/>
    <numFmt numFmtId="166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  <charset val="204"/>
    </font>
    <font>
      <i/>
      <sz val="10"/>
      <name val="Times New Roman"/>
      <family val="1"/>
      <charset val="204"/>
    </font>
    <font>
      <b/>
      <sz val="6.5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13">
    <xf numFmtId="0" fontId="0" fillId="0" borderId="0" xfId="0"/>
    <xf numFmtId="165" fontId="6" fillId="0" borderId="2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165" fontId="10" fillId="2" borderId="8" xfId="0" applyNumberFormat="1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165" fontId="11" fillId="0" borderId="6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65" fontId="10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165" fontId="11" fillId="2" borderId="6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165" fontId="11" fillId="0" borderId="6" xfId="0" applyNumberFormat="1" applyFont="1" applyFill="1" applyBorder="1" applyAlignment="1">
      <alignment vertical="center"/>
    </xf>
    <xf numFmtId="164" fontId="13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 wrapText="1"/>
    </xf>
    <xf numFmtId="165" fontId="10" fillId="0" borderId="6" xfId="0" applyNumberFormat="1" applyFont="1" applyBorder="1" applyAlignment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165" fontId="10" fillId="2" borderId="2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64" fontId="8" fillId="0" borderId="1" xfId="0" applyNumberFormat="1" applyFont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164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0" fillId="0" borderId="1" xfId="0" applyNumberFormat="1" applyFont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165" fontId="10" fillId="2" borderId="9" xfId="0" applyNumberFormat="1" applyFont="1" applyFill="1" applyBorder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166" fontId="16" fillId="0" borderId="0" xfId="16" applyNumberFormat="1" applyFont="1" applyAlignment="1">
      <alignment vertical="center"/>
    </xf>
    <xf numFmtId="164" fontId="5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 wrapText="1"/>
    </xf>
    <xf numFmtId="165" fontId="10" fillId="2" borderId="7" xfId="0" applyNumberFormat="1" applyFont="1" applyFill="1" applyBorder="1" applyAlignment="1">
      <alignment vertical="center"/>
    </xf>
    <xf numFmtId="3" fontId="11" fillId="0" borderId="0" xfId="0" applyNumberFormat="1" applyFont="1" applyAlignment="1">
      <alignment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65" fontId="10" fillId="3" borderId="1" xfId="0" applyNumberFormat="1" applyFont="1" applyFill="1" applyBorder="1" applyAlignment="1">
      <alignment vertical="center"/>
    </xf>
    <xf numFmtId="165" fontId="11" fillId="3" borderId="1" xfId="0" applyNumberFormat="1" applyFont="1" applyFill="1" applyBorder="1" applyAlignment="1">
      <alignment vertical="center"/>
    </xf>
    <xf numFmtId="164" fontId="11" fillId="3" borderId="1" xfId="0" applyNumberFormat="1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vertical="center"/>
    </xf>
    <xf numFmtId="165" fontId="11" fillId="3" borderId="6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64" fontId="8" fillId="3" borderId="1" xfId="0" applyNumberFormat="1" applyFont="1" applyFill="1" applyBorder="1" applyAlignment="1">
      <alignment vertical="center" wrapText="1"/>
    </xf>
    <xf numFmtId="164" fontId="13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165" fontId="10" fillId="3" borderId="6" xfId="0" applyNumberFormat="1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3" fontId="19" fillId="3" borderId="0" xfId="0" applyNumberFormat="1" applyFont="1" applyFill="1" applyAlignment="1">
      <alignment horizontal="right" vertical="center"/>
    </xf>
    <xf numFmtId="165" fontId="6" fillId="0" borderId="4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165" fontId="18" fillId="0" borderId="4" xfId="0" applyNumberFormat="1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</cellXfs>
  <cellStyles count="17">
    <cellStyle name="Обычный" xfId="0" builtinId="0"/>
    <cellStyle name="Обычный 2" xfId="2"/>
    <cellStyle name="Обычный 2 2" xfId="6"/>
    <cellStyle name="Обычный 2 2 2" xfId="14"/>
    <cellStyle name="Обычный 2 3" xfId="11"/>
    <cellStyle name="Обычный 3" xfId="1"/>
    <cellStyle name="Обычный 3 2" xfId="5"/>
    <cellStyle name="Обычный 3 2 2" xfId="13"/>
    <cellStyle name="Обычный 3 3" xfId="10"/>
    <cellStyle name="Обычный 4" xfId="7"/>
    <cellStyle name="Обычный 5" xfId="4"/>
    <cellStyle name="Обычный 6" xfId="3"/>
    <cellStyle name="Обычный 6 2" xfId="12"/>
    <cellStyle name="Обычный 7" xfId="9"/>
    <cellStyle name="Обычный 8" xfId="8"/>
    <cellStyle name="Финансовый" xfId="16" builtinId="3"/>
    <cellStyle name="Финансовый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326"/>
  <sheetViews>
    <sheetView tabSelected="1" view="pageBreakPreview" zoomScale="75" zoomScaleNormal="100" zoomScaleSheetLayoutView="75" workbookViewId="0">
      <pane xSplit="4" ySplit="15" topLeftCell="CH298" activePane="bottomRight" state="frozen"/>
      <selection pane="topRight" activeCell="E1" sqref="E1"/>
      <selection pane="bottomLeft" activeCell="A11" sqref="A11"/>
      <selection pane="bottomRight" activeCell="CW13" sqref="CW13:CW14"/>
    </sheetView>
  </sheetViews>
  <sheetFormatPr defaultColWidth="9.140625" defaultRowHeight="15" x14ac:dyDescent="0.25"/>
  <cols>
    <col min="1" max="1" width="6.28515625" style="50" customWidth="1"/>
    <col min="2" max="2" width="4.28515625" style="50" customWidth="1"/>
    <col min="3" max="3" width="41.28515625" style="50" customWidth="1"/>
    <col min="4" max="4" width="13.42578125" style="50" customWidth="1"/>
    <col min="5" max="5" width="11.140625" style="50" customWidth="1"/>
    <col min="6" max="7" width="11" style="50" customWidth="1"/>
    <col min="8" max="8" width="9.7109375" style="50" customWidth="1"/>
    <col min="9" max="9" width="12.28515625" style="50" customWidth="1"/>
    <col min="10" max="10" width="10.140625" style="50" customWidth="1"/>
    <col min="11" max="11" width="9.140625" style="50" customWidth="1"/>
    <col min="12" max="12" width="10.85546875" style="50" customWidth="1"/>
    <col min="13" max="13" width="9.140625" style="50" customWidth="1"/>
    <col min="14" max="14" width="10.140625" style="50" customWidth="1"/>
    <col min="15" max="15" width="10" style="50" customWidth="1"/>
    <col min="16" max="20" width="9.140625" style="50" customWidth="1"/>
    <col min="21" max="21" width="10" style="50" customWidth="1"/>
    <col min="22" max="22" width="8.5703125" style="50" customWidth="1"/>
    <col min="23" max="24" width="8.7109375" style="50" customWidth="1"/>
    <col min="25" max="25" width="9.140625" style="50" customWidth="1"/>
    <col min="26" max="26" width="7.85546875" style="50" customWidth="1"/>
    <col min="27" max="27" width="8.5703125" style="50" customWidth="1"/>
    <col min="28" max="28" width="9.5703125" style="50" customWidth="1"/>
    <col min="29" max="29" width="7.85546875" style="50" customWidth="1"/>
    <col min="30" max="30" width="11.28515625" style="50" customWidth="1"/>
    <col min="31" max="31" width="9.140625" style="50" customWidth="1"/>
    <col min="32" max="32" width="14.5703125" style="50" customWidth="1"/>
    <col min="33" max="33" width="10.7109375" style="50" customWidth="1"/>
    <col min="34" max="34" width="8.7109375" style="50" customWidth="1"/>
    <col min="35" max="35" width="9.7109375" style="50" customWidth="1"/>
    <col min="36" max="36" width="7.85546875" style="50" customWidth="1"/>
    <col min="37" max="38" width="9" style="50" customWidth="1"/>
    <col min="39" max="39" width="7.85546875" style="50" customWidth="1"/>
    <col min="40" max="40" width="9" style="50" customWidth="1"/>
    <col min="41" max="42" width="9.5703125" style="50" customWidth="1"/>
    <col min="43" max="43" width="8.7109375" style="50" customWidth="1"/>
    <col min="44" max="44" width="7.85546875" style="50" customWidth="1"/>
    <col min="45" max="45" width="8.140625" style="50" customWidth="1"/>
    <col min="46" max="46" width="8.7109375" style="50" customWidth="1"/>
    <col min="47" max="47" width="8.42578125" style="50" customWidth="1"/>
    <col min="48" max="48" width="8.7109375" style="50" customWidth="1"/>
    <col min="49" max="49" width="10.28515625" style="50" customWidth="1"/>
    <col min="50" max="50" width="8.140625" style="50" customWidth="1"/>
    <col min="51" max="51" width="8.85546875" style="50" customWidth="1"/>
    <col min="52" max="52" width="11.28515625" style="50" customWidth="1"/>
    <col min="53" max="53" width="10.85546875" style="50" customWidth="1"/>
    <col min="54" max="54" width="9.7109375" style="50" customWidth="1"/>
    <col min="55" max="56" width="9.5703125" style="50" customWidth="1"/>
    <col min="57" max="57" width="9.7109375" style="50" customWidth="1"/>
    <col min="58" max="58" width="8.7109375" style="50" customWidth="1"/>
    <col min="59" max="59" width="8.85546875" style="50" customWidth="1"/>
    <col min="60" max="60" width="9.140625" style="50" customWidth="1"/>
    <col min="61" max="62" width="10.85546875" style="50" customWidth="1"/>
    <col min="63" max="63" width="8.85546875" style="50" customWidth="1"/>
    <col min="64" max="64" width="9.5703125" style="50" customWidth="1"/>
    <col min="65" max="65" width="11.42578125" style="50" customWidth="1"/>
    <col min="66" max="66" width="9.7109375" style="50" customWidth="1"/>
    <col min="67" max="67" width="10.28515625" style="50" customWidth="1"/>
    <col min="68" max="68" width="8.5703125" style="50" customWidth="1"/>
    <col min="69" max="69" width="9.5703125" style="50" customWidth="1"/>
    <col min="70" max="70" width="10.140625" style="50" customWidth="1"/>
    <col min="71" max="72" width="9.140625" style="50" customWidth="1"/>
    <col min="73" max="73" width="10.140625" style="50" customWidth="1"/>
    <col min="74" max="75" width="9.140625" style="50" customWidth="1"/>
    <col min="76" max="76" width="10.140625" style="50" customWidth="1"/>
    <col min="77" max="77" width="9.140625" style="50" customWidth="1"/>
    <col min="78" max="78" width="10.140625" style="50" customWidth="1"/>
    <col min="79" max="83" width="10" style="50" customWidth="1"/>
    <col min="84" max="84" width="10.140625" style="50" customWidth="1"/>
    <col min="85" max="86" width="9.5703125" style="50" customWidth="1"/>
    <col min="87" max="87" width="8.7109375" style="50" bestFit="1" customWidth="1"/>
    <col min="88" max="88" width="10.42578125" style="50" customWidth="1"/>
    <col min="89" max="89" width="9.7109375" style="50" customWidth="1"/>
    <col min="90" max="90" width="9.85546875" style="50" customWidth="1"/>
    <col min="91" max="91" width="9.5703125" style="50" customWidth="1"/>
    <col min="92" max="92" width="10" style="50" customWidth="1"/>
    <col min="93" max="93" width="11.140625" style="50" customWidth="1"/>
    <col min="94" max="94" width="9.7109375" style="50" bestFit="1" customWidth="1"/>
    <col min="95" max="96" width="9.7109375" style="50" customWidth="1"/>
    <col min="97" max="100" width="10.140625" style="50" customWidth="1"/>
    <col min="101" max="101" width="9.42578125" style="50" customWidth="1"/>
    <col min="102" max="102" width="9.7109375" style="50" customWidth="1"/>
    <col min="103" max="103" width="9" style="50" customWidth="1"/>
    <col min="104" max="104" width="9.5703125" style="50" customWidth="1"/>
    <col min="105" max="105" width="9.85546875" style="52" customWidth="1"/>
    <col min="106" max="16384" width="9.140625" style="50"/>
  </cols>
  <sheetData>
    <row r="1" spans="1:105" ht="15.75" x14ac:dyDescent="0.25">
      <c r="M1" s="91" t="s">
        <v>502</v>
      </c>
      <c r="N1" s="91"/>
      <c r="O1" s="91"/>
      <c r="P1" s="91"/>
      <c r="Q1" s="91"/>
    </row>
    <row r="2" spans="1:105" ht="15.75" x14ac:dyDescent="0.25">
      <c r="L2" s="91" t="s">
        <v>631</v>
      </c>
      <c r="M2" s="91"/>
      <c r="N2" s="91"/>
      <c r="O2" s="91"/>
      <c r="P2" s="91"/>
      <c r="Q2" s="91"/>
    </row>
    <row r="3" spans="1:105" ht="15.75" x14ac:dyDescent="0.25">
      <c r="M3" s="91" t="s">
        <v>633</v>
      </c>
      <c r="N3" s="91"/>
      <c r="O3" s="91"/>
      <c r="P3" s="91"/>
      <c r="Q3" s="91"/>
    </row>
    <row r="4" spans="1:105" ht="15.75" x14ac:dyDescent="0.25">
      <c r="L4" s="91" t="s">
        <v>632</v>
      </c>
      <c r="M4" s="91"/>
      <c r="N4" s="91"/>
      <c r="O4" s="91"/>
      <c r="P4" s="91"/>
      <c r="Q4" s="91"/>
    </row>
    <row r="5" spans="1:105" ht="15.75" x14ac:dyDescent="0.25">
      <c r="M5" s="91" t="s">
        <v>595</v>
      </c>
      <c r="N5" s="91"/>
      <c r="O5" s="91"/>
      <c r="P5" s="91"/>
      <c r="Q5" s="91"/>
    </row>
    <row r="7" spans="1:105" s="7" customFormat="1" ht="15.75" x14ac:dyDescent="0.25">
      <c r="A7" s="4"/>
      <c r="B7" s="4"/>
      <c r="C7" s="5"/>
      <c r="D7" s="6"/>
      <c r="E7" s="6"/>
      <c r="G7" s="8"/>
      <c r="H7" s="8"/>
      <c r="N7" s="6"/>
      <c r="Q7" s="8" t="s">
        <v>502</v>
      </c>
      <c r="R7" s="6"/>
      <c r="S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DA7" s="62"/>
    </row>
    <row r="8" spans="1:105" s="7" customFormat="1" ht="15.75" x14ac:dyDescent="0.25">
      <c r="A8" s="4"/>
      <c r="B8" s="4"/>
      <c r="C8" s="5"/>
      <c r="D8" s="6"/>
      <c r="E8" s="6"/>
      <c r="G8" s="8"/>
      <c r="H8" s="8"/>
      <c r="N8" s="6"/>
      <c r="Q8" s="8" t="s">
        <v>464</v>
      </c>
      <c r="R8" s="6"/>
      <c r="S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DA8" s="62"/>
    </row>
    <row r="9" spans="1:105" s="7" customFormat="1" ht="15.75" x14ac:dyDescent="0.25">
      <c r="A9" s="4"/>
      <c r="B9" s="4"/>
      <c r="C9" s="5"/>
      <c r="D9" s="6"/>
      <c r="E9" s="6"/>
      <c r="G9" s="8"/>
      <c r="H9" s="8"/>
      <c r="N9" s="6"/>
      <c r="Q9" s="8" t="s">
        <v>595</v>
      </c>
      <c r="R9" s="6"/>
      <c r="S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DA9" s="62"/>
    </row>
    <row r="10" spans="1:105" s="7" customFormat="1" ht="15.75" x14ac:dyDescent="0.25">
      <c r="A10" s="4"/>
      <c r="B10" s="4"/>
      <c r="C10" s="5"/>
      <c r="D10" s="6"/>
      <c r="E10" s="6"/>
      <c r="G10" s="8"/>
      <c r="H10" s="8"/>
      <c r="L10" s="6"/>
      <c r="M10" s="8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DA10" s="62"/>
    </row>
    <row r="11" spans="1:105" s="7" customFormat="1" ht="15.75" x14ac:dyDescent="0.25">
      <c r="A11" s="9"/>
      <c r="B11" s="9"/>
      <c r="C11" s="5"/>
      <c r="D11" s="10" t="s">
        <v>610</v>
      </c>
      <c r="E11" s="10"/>
      <c r="F11" s="10"/>
      <c r="G11" s="10"/>
      <c r="H11" s="10"/>
      <c r="I11" s="10"/>
      <c r="J11" s="10"/>
      <c r="K11" s="10"/>
      <c r="DA11" s="62"/>
    </row>
    <row r="12" spans="1:105" s="3" customFormat="1" ht="16.5" thickBot="1" x14ac:dyDescent="0.3">
      <c r="A12" s="11"/>
      <c r="B12" s="11"/>
      <c r="E12" s="12"/>
      <c r="F12" s="12"/>
      <c r="Q12" s="74" t="s">
        <v>465</v>
      </c>
      <c r="DA12" s="63"/>
    </row>
    <row r="13" spans="1:105" s="3" customFormat="1" ht="36" customHeight="1" x14ac:dyDescent="0.25">
      <c r="A13" s="54" t="s">
        <v>536</v>
      </c>
      <c r="B13" s="104" t="s">
        <v>64</v>
      </c>
      <c r="C13" s="107" t="s">
        <v>0</v>
      </c>
      <c r="D13" s="110" t="s">
        <v>17</v>
      </c>
      <c r="E13" s="92" t="s">
        <v>2</v>
      </c>
      <c r="F13" s="92" t="s">
        <v>3</v>
      </c>
      <c r="G13" s="92" t="s">
        <v>4</v>
      </c>
      <c r="H13" s="92" t="s">
        <v>506</v>
      </c>
      <c r="I13" s="92" t="s">
        <v>18</v>
      </c>
      <c r="J13" s="92" t="s">
        <v>19</v>
      </c>
      <c r="K13" s="92" t="s">
        <v>20</v>
      </c>
      <c r="L13" s="92" t="s">
        <v>5</v>
      </c>
      <c r="M13" s="92" t="s">
        <v>6</v>
      </c>
      <c r="N13" s="92" t="s">
        <v>21</v>
      </c>
      <c r="O13" s="92" t="s">
        <v>22</v>
      </c>
      <c r="P13" s="92" t="s">
        <v>522</v>
      </c>
      <c r="Q13" s="92" t="s">
        <v>23</v>
      </c>
      <c r="R13" s="92" t="s">
        <v>24</v>
      </c>
      <c r="S13" s="92" t="s">
        <v>25</v>
      </c>
      <c r="T13" s="92" t="s">
        <v>7</v>
      </c>
      <c r="U13" s="92" t="s">
        <v>26</v>
      </c>
      <c r="V13" s="92" t="s">
        <v>27</v>
      </c>
      <c r="W13" s="92" t="s">
        <v>8</v>
      </c>
      <c r="X13" s="92" t="s">
        <v>28</v>
      </c>
      <c r="Y13" s="92" t="s">
        <v>29</v>
      </c>
      <c r="Z13" s="92" t="s">
        <v>9</v>
      </c>
      <c r="AA13" s="92" t="s">
        <v>10</v>
      </c>
      <c r="AB13" s="92" t="s">
        <v>30</v>
      </c>
      <c r="AC13" s="92" t="s">
        <v>11</v>
      </c>
      <c r="AD13" s="92" t="s">
        <v>31</v>
      </c>
      <c r="AE13" s="92" t="s">
        <v>513</v>
      </c>
      <c r="AF13" s="92" t="s">
        <v>514</v>
      </c>
      <c r="AG13" s="92" t="s">
        <v>32</v>
      </c>
      <c r="AH13" s="92" t="s">
        <v>33</v>
      </c>
      <c r="AI13" s="92" t="s">
        <v>607</v>
      </c>
      <c r="AJ13" s="92" t="s">
        <v>12</v>
      </c>
      <c r="AK13" s="92" t="s">
        <v>34</v>
      </c>
      <c r="AL13" s="92" t="s">
        <v>476</v>
      </c>
      <c r="AM13" s="92" t="s">
        <v>35</v>
      </c>
      <c r="AN13" s="92" t="s">
        <v>36</v>
      </c>
      <c r="AO13" s="92" t="s">
        <v>37</v>
      </c>
      <c r="AP13" s="92" t="s">
        <v>627</v>
      </c>
      <c r="AQ13" s="92" t="s">
        <v>38</v>
      </c>
      <c r="AR13" s="92" t="s">
        <v>39</v>
      </c>
      <c r="AS13" s="92" t="s">
        <v>40</v>
      </c>
      <c r="AT13" s="92" t="s">
        <v>41</v>
      </c>
      <c r="AU13" s="92" t="s">
        <v>42</v>
      </c>
      <c r="AV13" s="92" t="s">
        <v>466</v>
      </c>
      <c r="AW13" s="92" t="s">
        <v>43</v>
      </c>
      <c r="AX13" s="92" t="s">
        <v>477</v>
      </c>
      <c r="AY13" s="102" t="s">
        <v>484</v>
      </c>
      <c r="AZ13" s="92" t="s">
        <v>44</v>
      </c>
      <c r="BA13" s="92" t="s">
        <v>478</v>
      </c>
      <c r="BB13" s="92" t="s">
        <v>45</v>
      </c>
      <c r="BC13" s="92" t="s">
        <v>13</v>
      </c>
      <c r="BD13" s="92" t="s">
        <v>46</v>
      </c>
      <c r="BE13" s="92" t="s">
        <v>47</v>
      </c>
      <c r="BF13" s="92" t="s">
        <v>48</v>
      </c>
      <c r="BG13" s="92" t="s">
        <v>467</v>
      </c>
      <c r="BH13" s="92" t="s">
        <v>479</v>
      </c>
      <c r="BI13" s="92" t="s">
        <v>468</v>
      </c>
      <c r="BJ13" s="96" t="s">
        <v>608</v>
      </c>
      <c r="BK13" s="92" t="s">
        <v>49</v>
      </c>
      <c r="BL13" s="92" t="s">
        <v>50</v>
      </c>
      <c r="BM13" s="92" t="s">
        <v>503</v>
      </c>
      <c r="BN13" s="92" t="s">
        <v>480</v>
      </c>
      <c r="BO13" s="92" t="s">
        <v>51</v>
      </c>
      <c r="BP13" s="92" t="s">
        <v>52</v>
      </c>
      <c r="BQ13" s="92" t="s">
        <v>14</v>
      </c>
      <c r="BR13" s="92" t="s">
        <v>53</v>
      </c>
      <c r="BS13" s="92" t="s">
        <v>54</v>
      </c>
      <c r="BT13" s="92" t="s">
        <v>55</v>
      </c>
      <c r="BU13" s="92" t="s">
        <v>523</v>
      </c>
      <c r="BV13" s="92" t="s">
        <v>481</v>
      </c>
      <c r="BW13" s="92" t="s">
        <v>482</v>
      </c>
      <c r="BX13" s="92" t="s">
        <v>16</v>
      </c>
      <c r="BY13" s="92" t="s">
        <v>56</v>
      </c>
      <c r="BZ13" s="92" t="s">
        <v>469</v>
      </c>
      <c r="CA13" s="92" t="s">
        <v>524</v>
      </c>
      <c r="CB13" s="92" t="s">
        <v>57</v>
      </c>
      <c r="CC13" s="92" t="s">
        <v>58</v>
      </c>
      <c r="CD13" s="92" t="s">
        <v>59</v>
      </c>
      <c r="CE13" s="92" t="s">
        <v>60</v>
      </c>
      <c r="CF13" s="92" t="s">
        <v>515</v>
      </c>
      <c r="CG13" s="92" t="s">
        <v>525</v>
      </c>
      <c r="CH13" s="92" t="s">
        <v>516</v>
      </c>
      <c r="CI13" s="92" t="s">
        <v>517</v>
      </c>
      <c r="CJ13" s="92" t="s">
        <v>586</v>
      </c>
      <c r="CK13" s="92" t="s">
        <v>470</v>
      </c>
      <c r="CL13" s="92" t="s">
        <v>499</v>
      </c>
      <c r="CM13" s="92" t="s">
        <v>471</v>
      </c>
      <c r="CN13" s="92" t="s">
        <v>472</v>
      </c>
      <c r="CO13" s="92" t="s">
        <v>526</v>
      </c>
      <c r="CP13" s="92" t="s">
        <v>501</v>
      </c>
      <c r="CQ13" s="96" t="s">
        <v>615</v>
      </c>
      <c r="CR13" s="96" t="s">
        <v>616</v>
      </c>
      <c r="CS13" s="92" t="s">
        <v>483</v>
      </c>
      <c r="CT13" s="96" t="s">
        <v>642</v>
      </c>
      <c r="CU13" s="96" t="s">
        <v>622</v>
      </c>
      <c r="CV13" s="96" t="s">
        <v>643</v>
      </c>
      <c r="CW13" s="100" t="s">
        <v>644</v>
      </c>
      <c r="CX13" s="92" t="s">
        <v>61</v>
      </c>
      <c r="CY13" s="92" t="s">
        <v>62</v>
      </c>
      <c r="CZ13" s="98" t="s">
        <v>63</v>
      </c>
      <c r="DA13" s="62"/>
    </row>
    <row r="14" spans="1:105" s="3" customFormat="1" ht="36" customHeight="1" x14ac:dyDescent="0.25">
      <c r="A14" s="94" t="s">
        <v>535</v>
      </c>
      <c r="B14" s="105"/>
      <c r="C14" s="108"/>
      <c r="D14" s="111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10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7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7"/>
      <c r="CR14" s="97"/>
      <c r="CS14" s="93"/>
      <c r="CT14" s="97"/>
      <c r="CU14" s="97"/>
      <c r="CV14" s="97"/>
      <c r="CW14" s="101"/>
      <c r="CX14" s="93"/>
      <c r="CY14" s="93"/>
      <c r="CZ14" s="99"/>
      <c r="DA14" s="63"/>
    </row>
    <row r="15" spans="1:105" s="3" customFormat="1" ht="24.75" customHeight="1" thickBot="1" x14ac:dyDescent="0.3">
      <c r="A15" s="95"/>
      <c r="B15" s="106"/>
      <c r="C15" s="109"/>
      <c r="D15" s="112"/>
      <c r="E15" s="1" t="s">
        <v>378</v>
      </c>
      <c r="F15" s="1" t="s">
        <v>379</v>
      </c>
      <c r="G15" s="1" t="s">
        <v>380</v>
      </c>
      <c r="H15" s="1" t="s">
        <v>381</v>
      </c>
      <c r="I15" s="1" t="s">
        <v>382</v>
      </c>
      <c r="J15" s="1" t="s">
        <v>383</v>
      </c>
      <c r="K15" s="1" t="s">
        <v>384</v>
      </c>
      <c r="L15" s="1" t="s">
        <v>385</v>
      </c>
      <c r="M15" s="1" t="s">
        <v>386</v>
      </c>
      <c r="N15" s="1" t="s">
        <v>387</v>
      </c>
      <c r="O15" s="1" t="s">
        <v>388</v>
      </c>
      <c r="P15" s="1" t="s">
        <v>389</v>
      </c>
      <c r="Q15" s="1" t="s">
        <v>390</v>
      </c>
      <c r="R15" s="1" t="s">
        <v>391</v>
      </c>
      <c r="S15" s="1" t="s">
        <v>392</v>
      </c>
      <c r="T15" s="1" t="s">
        <v>393</v>
      </c>
      <c r="U15" s="1" t="s">
        <v>394</v>
      </c>
      <c r="V15" s="1" t="s">
        <v>395</v>
      </c>
      <c r="W15" s="1" t="s">
        <v>396</v>
      </c>
      <c r="X15" s="1" t="s">
        <v>397</v>
      </c>
      <c r="Y15" s="1" t="s">
        <v>398</v>
      </c>
      <c r="Z15" s="1" t="s">
        <v>399</v>
      </c>
      <c r="AA15" s="1" t="s">
        <v>400</v>
      </c>
      <c r="AB15" s="1" t="s">
        <v>401</v>
      </c>
      <c r="AC15" s="1" t="s">
        <v>402</v>
      </c>
      <c r="AD15" s="1" t="s">
        <v>403</v>
      </c>
      <c r="AE15" s="1" t="s">
        <v>404</v>
      </c>
      <c r="AF15" s="1" t="s">
        <v>405</v>
      </c>
      <c r="AG15" s="1" t="s">
        <v>406</v>
      </c>
      <c r="AH15" s="1" t="s">
        <v>407</v>
      </c>
      <c r="AI15" s="1" t="s">
        <v>408</v>
      </c>
      <c r="AJ15" s="1" t="s">
        <v>409</v>
      </c>
      <c r="AK15" s="1" t="s">
        <v>410</v>
      </c>
      <c r="AL15" s="1" t="s">
        <v>411</v>
      </c>
      <c r="AM15" s="1" t="s">
        <v>412</v>
      </c>
      <c r="AN15" s="1" t="s">
        <v>413</v>
      </c>
      <c r="AO15" s="1" t="s">
        <v>414</v>
      </c>
      <c r="AP15" s="1" t="s">
        <v>626</v>
      </c>
      <c r="AQ15" s="1" t="s">
        <v>415</v>
      </c>
      <c r="AR15" s="1" t="s">
        <v>416</v>
      </c>
      <c r="AS15" s="1" t="s">
        <v>417</v>
      </c>
      <c r="AT15" s="1" t="s">
        <v>418</v>
      </c>
      <c r="AU15" s="1" t="s">
        <v>419</v>
      </c>
      <c r="AV15" s="1" t="s">
        <v>420</v>
      </c>
      <c r="AW15" s="1" t="s">
        <v>421</v>
      </c>
      <c r="AX15" s="1" t="s">
        <v>422</v>
      </c>
      <c r="AY15" s="53" t="s">
        <v>485</v>
      </c>
      <c r="AZ15" s="1" t="s">
        <v>423</v>
      </c>
      <c r="BA15" s="1" t="s">
        <v>424</v>
      </c>
      <c r="BB15" s="1" t="s">
        <v>425</v>
      </c>
      <c r="BC15" s="1" t="s">
        <v>426</v>
      </c>
      <c r="BD15" s="1" t="s">
        <v>427</v>
      </c>
      <c r="BE15" s="1" t="s">
        <v>428</v>
      </c>
      <c r="BF15" s="1" t="s">
        <v>429</v>
      </c>
      <c r="BG15" s="1" t="s">
        <v>430</v>
      </c>
      <c r="BH15" s="1" t="s">
        <v>431</v>
      </c>
      <c r="BI15" s="1" t="s">
        <v>432</v>
      </c>
      <c r="BJ15" s="1" t="s">
        <v>604</v>
      </c>
      <c r="BK15" s="1" t="s">
        <v>433</v>
      </c>
      <c r="BL15" s="1" t="s">
        <v>434</v>
      </c>
      <c r="BM15" s="1" t="s">
        <v>474</v>
      </c>
      <c r="BN15" s="1" t="s">
        <v>435</v>
      </c>
      <c r="BO15" s="1" t="s">
        <v>436</v>
      </c>
      <c r="BP15" s="1" t="s">
        <v>437</v>
      </c>
      <c r="BQ15" s="1" t="s">
        <v>438</v>
      </c>
      <c r="BR15" s="1" t="s">
        <v>439</v>
      </c>
      <c r="BS15" s="1" t="s">
        <v>440</v>
      </c>
      <c r="BT15" s="1" t="s">
        <v>441</v>
      </c>
      <c r="BU15" s="1" t="s">
        <v>442</v>
      </c>
      <c r="BV15" s="1" t="s">
        <v>443</v>
      </c>
      <c r="BW15" s="1" t="s">
        <v>444</v>
      </c>
      <c r="BX15" s="1" t="s">
        <v>445</v>
      </c>
      <c r="BY15" s="1" t="s">
        <v>446</v>
      </c>
      <c r="BZ15" s="1" t="s">
        <v>447</v>
      </c>
      <c r="CA15" s="1" t="s">
        <v>448</v>
      </c>
      <c r="CB15" s="1" t="s">
        <v>449</v>
      </c>
      <c r="CC15" s="1" t="s">
        <v>450</v>
      </c>
      <c r="CD15" s="1" t="s">
        <v>451</v>
      </c>
      <c r="CE15" s="1" t="s">
        <v>452</v>
      </c>
      <c r="CF15" s="1" t="s">
        <v>453</v>
      </c>
      <c r="CG15" s="1" t="s">
        <v>496</v>
      </c>
      <c r="CH15" s="1" t="s">
        <v>454</v>
      </c>
      <c r="CI15" s="1" t="s">
        <v>497</v>
      </c>
      <c r="CJ15" s="1" t="s">
        <v>585</v>
      </c>
      <c r="CK15" s="1" t="s">
        <v>455</v>
      </c>
      <c r="CL15" s="1" t="s">
        <v>498</v>
      </c>
      <c r="CM15" s="1" t="s">
        <v>456</v>
      </c>
      <c r="CN15" s="1" t="s">
        <v>457</v>
      </c>
      <c r="CO15" s="1" t="s">
        <v>458</v>
      </c>
      <c r="CP15" s="1" t="s">
        <v>500</v>
      </c>
      <c r="CQ15" s="1" t="s">
        <v>617</v>
      </c>
      <c r="CR15" s="1" t="s">
        <v>618</v>
      </c>
      <c r="CS15" s="1" t="s">
        <v>459</v>
      </c>
      <c r="CT15" s="1" t="s">
        <v>623</v>
      </c>
      <c r="CU15" s="1" t="s">
        <v>624</v>
      </c>
      <c r="CV15" s="1" t="s">
        <v>625</v>
      </c>
      <c r="CW15" s="1" t="s">
        <v>460</v>
      </c>
      <c r="CX15" s="1" t="s">
        <v>461</v>
      </c>
      <c r="CY15" s="1" t="s">
        <v>462</v>
      </c>
      <c r="CZ15" s="2" t="s">
        <v>463</v>
      </c>
      <c r="DA15" s="63"/>
    </row>
    <row r="16" spans="1:105" s="58" customFormat="1" ht="47.25" x14ac:dyDescent="0.25">
      <c r="A16" s="78" t="s">
        <v>65</v>
      </c>
      <c r="B16" s="13" t="s">
        <v>1</v>
      </c>
      <c r="C16" s="14" t="s">
        <v>66</v>
      </c>
      <c r="D16" s="15">
        <f t="shared" ref="D16:AH16" si="0">SUM(D17+D19+D23+D37+D39+D44+D46)</f>
        <v>273040749</v>
      </c>
      <c r="E16" s="15">
        <f t="shared" si="0"/>
        <v>257755610</v>
      </c>
      <c r="F16" s="15">
        <f t="shared" si="0"/>
        <v>253015314</v>
      </c>
      <c r="G16" s="15">
        <f t="shared" si="0"/>
        <v>164676143</v>
      </c>
      <c r="H16" s="15">
        <f t="shared" si="0"/>
        <v>34737409</v>
      </c>
      <c r="I16" s="15">
        <f t="shared" si="0"/>
        <v>15803910</v>
      </c>
      <c r="J16" s="15">
        <f t="shared" si="0"/>
        <v>9639</v>
      </c>
      <c r="K16" s="15">
        <f t="shared" si="0"/>
        <v>539219</v>
      </c>
      <c r="L16" s="15">
        <f t="shared" si="0"/>
        <v>0</v>
      </c>
      <c r="M16" s="15">
        <f t="shared" si="0"/>
        <v>0</v>
      </c>
      <c r="N16" s="15">
        <f t="shared" si="0"/>
        <v>10267700</v>
      </c>
      <c r="O16" s="15">
        <f t="shared" si="0"/>
        <v>4987352</v>
      </c>
      <c r="P16" s="15">
        <f t="shared" si="0"/>
        <v>2762645</v>
      </c>
      <c r="Q16" s="15">
        <f t="shared" si="0"/>
        <v>12797</v>
      </c>
      <c r="R16" s="15">
        <f t="shared" si="0"/>
        <v>2749848</v>
      </c>
      <c r="S16" s="15">
        <f t="shared" si="0"/>
        <v>35000</v>
      </c>
      <c r="T16" s="15">
        <f t="shared" si="0"/>
        <v>4989295</v>
      </c>
      <c r="U16" s="15">
        <f t="shared" si="0"/>
        <v>4247921</v>
      </c>
      <c r="V16" s="15">
        <f t="shared" si="0"/>
        <v>1053938</v>
      </c>
      <c r="W16" s="15">
        <f t="shared" si="0"/>
        <v>1032775</v>
      </c>
      <c r="X16" s="15">
        <f t="shared" si="0"/>
        <v>1193176</v>
      </c>
      <c r="Y16" s="15">
        <f t="shared" si="0"/>
        <v>230249</v>
      </c>
      <c r="Z16" s="15">
        <f t="shared" si="0"/>
        <v>149308</v>
      </c>
      <c r="AA16" s="15">
        <f t="shared" si="0"/>
        <v>468977</v>
      </c>
      <c r="AB16" s="15">
        <f t="shared" si="0"/>
        <v>0</v>
      </c>
      <c r="AC16" s="15">
        <f t="shared" si="0"/>
        <v>119498</v>
      </c>
      <c r="AD16" s="15">
        <f t="shared" si="0"/>
        <v>25762991</v>
      </c>
      <c r="AE16" s="15">
        <f t="shared" si="0"/>
        <v>0</v>
      </c>
      <c r="AF16" s="15">
        <f t="shared" si="0"/>
        <v>0</v>
      </c>
      <c r="AG16" s="15">
        <f t="shared" si="0"/>
        <v>483956</v>
      </c>
      <c r="AH16" s="15">
        <f t="shared" si="0"/>
        <v>3006268</v>
      </c>
      <c r="AI16" s="15">
        <f t="shared" ref="AI16:BP16" si="1">SUM(AI17+AI19+AI23+AI37+AI39+AI44+AI46)</f>
        <v>0</v>
      </c>
      <c r="AJ16" s="15">
        <f t="shared" si="1"/>
        <v>154726</v>
      </c>
      <c r="AK16" s="15">
        <f t="shared" si="1"/>
        <v>1059180</v>
      </c>
      <c r="AL16" s="15">
        <f t="shared" si="1"/>
        <v>658226</v>
      </c>
      <c r="AM16" s="15">
        <f t="shared" si="1"/>
        <v>730953</v>
      </c>
      <c r="AN16" s="15">
        <f t="shared" si="1"/>
        <v>8191502</v>
      </c>
      <c r="AO16" s="15">
        <f t="shared" si="1"/>
        <v>8576</v>
      </c>
      <c r="AP16" s="15"/>
      <c r="AQ16" s="15">
        <f t="shared" si="1"/>
        <v>0</v>
      </c>
      <c r="AR16" s="15">
        <f t="shared" si="1"/>
        <v>573823</v>
      </c>
      <c r="AS16" s="15">
        <f t="shared" si="1"/>
        <v>322371</v>
      </c>
      <c r="AT16" s="15">
        <f t="shared" si="1"/>
        <v>0</v>
      </c>
      <c r="AU16" s="15">
        <f t="shared" si="1"/>
        <v>0</v>
      </c>
      <c r="AV16" s="15">
        <f t="shared" si="1"/>
        <v>0</v>
      </c>
      <c r="AW16" s="15">
        <f t="shared" si="1"/>
        <v>1016988</v>
      </c>
      <c r="AX16" s="15">
        <f t="shared" si="1"/>
        <v>2456271</v>
      </c>
      <c r="AY16" s="15">
        <f t="shared" si="1"/>
        <v>446402</v>
      </c>
      <c r="AZ16" s="15">
        <f t="shared" si="1"/>
        <v>6653749</v>
      </c>
      <c r="BA16" s="15">
        <f t="shared" si="1"/>
        <v>4740296</v>
      </c>
      <c r="BB16" s="15">
        <f t="shared" si="1"/>
        <v>0</v>
      </c>
      <c r="BC16" s="15">
        <f t="shared" si="1"/>
        <v>0</v>
      </c>
      <c r="BD16" s="15">
        <f t="shared" si="1"/>
        <v>0</v>
      </c>
      <c r="BE16" s="15">
        <f t="shared" si="1"/>
        <v>0</v>
      </c>
      <c r="BF16" s="15">
        <f t="shared" si="1"/>
        <v>0</v>
      </c>
      <c r="BG16" s="15">
        <f t="shared" si="1"/>
        <v>0</v>
      </c>
      <c r="BH16" s="15">
        <f t="shared" si="1"/>
        <v>0</v>
      </c>
      <c r="BI16" s="15">
        <f t="shared" si="1"/>
        <v>0</v>
      </c>
      <c r="BJ16" s="15">
        <f t="shared" ref="BJ16" si="2">SUM(BJ17+BJ19+BJ23+BJ37+BJ39+BJ44+BJ46)</f>
        <v>0</v>
      </c>
      <c r="BK16" s="15">
        <f t="shared" si="1"/>
        <v>0</v>
      </c>
      <c r="BL16" s="15">
        <f t="shared" si="1"/>
        <v>0</v>
      </c>
      <c r="BM16" s="15">
        <f t="shared" si="1"/>
        <v>0</v>
      </c>
      <c r="BN16" s="15">
        <f t="shared" si="1"/>
        <v>4740296</v>
      </c>
      <c r="BO16" s="15">
        <f t="shared" si="1"/>
        <v>0</v>
      </c>
      <c r="BP16" s="15">
        <f t="shared" si="1"/>
        <v>0</v>
      </c>
      <c r="BQ16" s="15">
        <f t="shared" ref="BQ16:CR16" si="3">SUM(BQ17+BQ19+BQ23+BQ37+BQ39+BQ44+BQ46)</f>
        <v>10670</v>
      </c>
      <c r="BR16" s="15">
        <f t="shared" si="3"/>
        <v>0</v>
      </c>
      <c r="BS16" s="15">
        <f t="shared" si="3"/>
        <v>0</v>
      </c>
      <c r="BT16" s="15">
        <f t="shared" si="3"/>
        <v>0</v>
      </c>
      <c r="BU16" s="15">
        <f t="shared" si="3"/>
        <v>0</v>
      </c>
      <c r="BV16" s="15">
        <f t="shared" si="3"/>
        <v>0</v>
      </c>
      <c r="BW16" s="15">
        <f t="shared" si="3"/>
        <v>0</v>
      </c>
      <c r="BX16" s="15">
        <f t="shared" si="3"/>
        <v>4519626</v>
      </c>
      <c r="BY16" s="15">
        <f t="shared" si="3"/>
        <v>210000</v>
      </c>
      <c r="BZ16" s="15">
        <f t="shared" si="3"/>
        <v>15285139</v>
      </c>
      <c r="CA16" s="15">
        <f t="shared" si="3"/>
        <v>15285139</v>
      </c>
      <c r="CB16" s="15">
        <f t="shared" si="3"/>
        <v>7727422</v>
      </c>
      <c r="CC16" s="15">
        <f t="shared" si="3"/>
        <v>0</v>
      </c>
      <c r="CD16" s="15">
        <f t="shared" si="3"/>
        <v>7727422</v>
      </c>
      <c r="CE16" s="15">
        <f>SUM(CE17+CE19+CE23+CE37+CE39+CE44+CE46)</f>
        <v>2668556</v>
      </c>
      <c r="CF16" s="15">
        <f t="shared" si="3"/>
        <v>1921000</v>
      </c>
      <c r="CG16" s="15">
        <f t="shared" si="3"/>
        <v>0</v>
      </c>
      <c r="CH16" s="15">
        <f t="shared" si="3"/>
        <v>747556</v>
      </c>
      <c r="CI16" s="15">
        <f t="shared" si="3"/>
        <v>0</v>
      </c>
      <c r="CJ16" s="15">
        <f t="shared" si="3"/>
        <v>0</v>
      </c>
      <c r="CK16" s="15">
        <f t="shared" si="3"/>
        <v>4889161</v>
      </c>
      <c r="CL16" s="15">
        <f t="shared" si="3"/>
        <v>0</v>
      </c>
      <c r="CM16" s="15">
        <f t="shared" si="3"/>
        <v>0</v>
      </c>
      <c r="CN16" s="15">
        <f t="shared" si="3"/>
        <v>4889161</v>
      </c>
      <c r="CO16" s="15">
        <f t="shared" si="3"/>
        <v>0</v>
      </c>
      <c r="CP16" s="15">
        <f t="shared" si="3"/>
        <v>0</v>
      </c>
      <c r="CQ16" s="15">
        <f t="shared" si="3"/>
        <v>0</v>
      </c>
      <c r="CR16" s="15">
        <f t="shared" si="3"/>
        <v>0</v>
      </c>
      <c r="CS16" s="15">
        <f>SUM(CS17+CS19+CS23+CS37+CS39+CS44+CS46)</f>
        <v>0</v>
      </c>
      <c r="CT16" s="15"/>
      <c r="CU16" s="15"/>
      <c r="CV16" s="15"/>
      <c r="CW16" s="15">
        <f>SUM(CW17+CW19+CW23+CW37+CW39+CW44+CW46)</f>
        <v>0</v>
      </c>
      <c r="CX16" s="15">
        <f>SUM(CX17+CX19+CX23+CX37+CX39+CX44+CX46)</f>
        <v>0</v>
      </c>
      <c r="CY16" s="15">
        <f>SUM(CY17+CY19+CY23+CY37+CY39+CY44+CY46)</f>
        <v>0</v>
      </c>
      <c r="CZ16" s="59">
        <f>SUM(CZ17+CZ19+CZ23+CZ37+CZ39+CZ44+CZ46)</f>
        <v>0</v>
      </c>
      <c r="DA16" s="57"/>
    </row>
    <row r="17" spans="1:105" s="58" customFormat="1" ht="31.5" x14ac:dyDescent="0.25">
      <c r="A17" s="79" t="s">
        <v>67</v>
      </c>
      <c r="B17" s="16" t="s">
        <v>1</v>
      </c>
      <c r="C17" s="17" t="s">
        <v>68</v>
      </c>
      <c r="D17" s="18">
        <f>SUM(D18)</f>
        <v>37136323</v>
      </c>
      <c r="E17" s="18">
        <f t="shared" ref="E17:BT17" si="4">SUM(E18)</f>
        <v>35155803</v>
      </c>
      <c r="F17" s="18">
        <f t="shared" si="4"/>
        <v>35123981</v>
      </c>
      <c r="G17" s="18">
        <f>G18</f>
        <v>13999081</v>
      </c>
      <c r="H17" s="18">
        <f>H18</f>
        <v>3402045</v>
      </c>
      <c r="I17" s="18">
        <f t="shared" si="4"/>
        <v>4210378</v>
      </c>
      <c r="J17" s="18">
        <f t="shared" si="4"/>
        <v>0</v>
      </c>
      <c r="K17" s="18">
        <f t="shared" si="4"/>
        <v>32000</v>
      </c>
      <c r="L17" s="18">
        <f t="shared" si="4"/>
        <v>0</v>
      </c>
      <c r="M17" s="18">
        <f t="shared" si="4"/>
        <v>0</v>
      </c>
      <c r="N17" s="18">
        <f t="shared" si="4"/>
        <v>3345858</v>
      </c>
      <c r="O17" s="18">
        <f t="shared" si="4"/>
        <v>832520</v>
      </c>
      <c r="P17" s="18">
        <f t="shared" si="4"/>
        <v>633606</v>
      </c>
      <c r="Q17" s="18">
        <f t="shared" si="4"/>
        <v>856</v>
      </c>
      <c r="R17" s="18">
        <f t="shared" si="4"/>
        <v>632750</v>
      </c>
      <c r="S17" s="18">
        <f t="shared" si="4"/>
        <v>0</v>
      </c>
      <c r="T17" s="18">
        <f t="shared" si="4"/>
        <v>852181</v>
      </c>
      <c r="U17" s="18">
        <f t="shared" si="4"/>
        <v>748172</v>
      </c>
      <c r="V17" s="18">
        <f t="shared" si="4"/>
        <v>341835</v>
      </c>
      <c r="W17" s="18">
        <f t="shared" si="4"/>
        <v>80915</v>
      </c>
      <c r="X17" s="18">
        <f t="shared" si="4"/>
        <v>220379</v>
      </c>
      <c r="Y17" s="18">
        <f t="shared" si="4"/>
        <v>35953</v>
      </c>
      <c r="Z17" s="18">
        <f t="shared" si="4"/>
        <v>33885</v>
      </c>
      <c r="AA17" s="18">
        <f t="shared" si="4"/>
        <v>0</v>
      </c>
      <c r="AB17" s="18">
        <f t="shared" si="4"/>
        <v>0</v>
      </c>
      <c r="AC17" s="18">
        <f t="shared" si="4"/>
        <v>35205</v>
      </c>
      <c r="AD17" s="18">
        <f t="shared" si="4"/>
        <v>11278518</v>
      </c>
      <c r="AE17" s="18">
        <f t="shared" si="4"/>
        <v>0</v>
      </c>
      <c r="AF17" s="18">
        <f t="shared" si="4"/>
        <v>0</v>
      </c>
      <c r="AG17" s="18">
        <f t="shared" si="4"/>
        <v>65500</v>
      </c>
      <c r="AH17" s="18">
        <f t="shared" si="4"/>
        <v>542100</v>
      </c>
      <c r="AI17" s="18">
        <f t="shared" si="4"/>
        <v>0</v>
      </c>
      <c r="AJ17" s="18">
        <f t="shared" si="4"/>
        <v>25455</v>
      </c>
      <c r="AK17" s="18">
        <f t="shared" si="4"/>
        <v>1000574</v>
      </c>
      <c r="AL17" s="18">
        <f t="shared" si="4"/>
        <v>15000</v>
      </c>
      <c r="AM17" s="18">
        <f t="shared" si="4"/>
        <v>310000</v>
      </c>
      <c r="AN17" s="18">
        <f t="shared" si="4"/>
        <v>5382939</v>
      </c>
      <c r="AO17" s="18">
        <f t="shared" si="4"/>
        <v>7326</v>
      </c>
      <c r="AP17" s="18"/>
      <c r="AQ17" s="18">
        <f t="shared" si="4"/>
        <v>0</v>
      </c>
      <c r="AR17" s="18">
        <f t="shared" si="4"/>
        <v>0</v>
      </c>
      <c r="AS17" s="18">
        <f t="shared" si="4"/>
        <v>13574</v>
      </c>
      <c r="AT17" s="18"/>
      <c r="AU17" s="18"/>
      <c r="AV17" s="18">
        <f t="shared" si="4"/>
        <v>0</v>
      </c>
      <c r="AW17" s="18">
        <f t="shared" si="4"/>
        <v>0</v>
      </c>
      <c r="AX17" s="18">
        <f t="shared" si="4"/>
        <v>0</v>
      </c>
      <c r="AY17" s="18"/>
      <c r="AZ17" s="18">
        <f t="shared" si="4"/>
        <v>3916050</v>
      </c>
      <c r="BA17" s="18">
        <f t="shared" si="4"/>
        <v>31822</v>
      </c>
      <c r="BB17" s="18">
        <f t="shared" si="4"/>
        <v>0</v>
      </c>
      <c r="BC17" s="18">
        <f t="shared" si="4"/>
        <v>0</v>
      </c>
      <c r="BD17" s="18">
        <f t="shared" si="4"/>
        <v>0</v>
      </c>
      <c r="BE17" s="18">
        <f t="shared" si="4"/>
        <v>0</v>
      </c>
      <c r="BF17" s="18">
        <f t="shared" si="4"/>
        <v>0</v>
      </c>
      <c r="BG17" s="18">
        <f t="shared" si="4"/>
        <v>0</v>
      </c>
      <c r="BH17" s="18">
        <f t="shared" si="4"/>
        <v>0</v>
      </c>
      <c r="BI17" s="18">
        <f t="shared" si="4"/>
        <v>0</v>
      </c>
      <c r="BJ17" s="18">
        <f t="shared" si="4"/>
        <v>0</v>
      </c>
      <c r="BK17" s="18">
        <f t="shared" si="4"/>
        <v>0</v>
      </c>
      <c r="BL17" s="18">
        <f t="shared" si="4"/>
        <v>0</v>
      </c>
      <c r="BM17" s="18">
        <f t="shared" si="4"/>
        <v>0</v>
      </c>
      <c r="BN17" s="18">
        <f t="shared" si="4"/>
        <v>31822</v>
      </c>
      <c r="BO17" s="18">
        <f t="shared" si="4"/>
        <v>0</v>
      </c>
      <c r="BP17" s="18">
        <f t="shared" si="4"/>
        <v>0</v>
      </c>
      <c r="BQ17" s="18">
        <f t="shared" si="4"/>
        <v>0</v>
      </c>
      <c r="BR17" s="18">
        <f t="shared" si="4"/>
        <v>0</v>
      </c>
      <c r="BS17" s="18">
        <f t="shared" si="4"/>
        <v>0</v>
      </c>
      <c r="BT17" s="18">
        <f t="shared" si="4"/>
        <v>0</v>
      </c>
      <c r="BU17" s="18">
        <f t="shared" ref="BU17:CZ17" si="5">SUM(BU18)</f>
        <v>0</v>
      </c>
      <c r="BV17" s="18">
        <f t="shared" si="5"/>
        <v>0</v>
      </c>
      <c r="BW17" s="18">
        <f t="shared" si="5"/>
        <v>0</v>
      </c>
      <c r="BX17" s="18">
        <f t="shared" si="5"/>
        <v>31822</v>
      </c>
      <c r="BY17" s="18">
        <f t="shared" si="5"/>
        <v>0</v>
      </c>
      <c r="BZ17" s="18">
        <f t="shared" si="5"/>
        <v>1980520</v>
      </c>
      <c r="CA17" s="18">
        <f t="shared" si="5"/>
        <v>1980520</v>
      </c>
      <c r="CB17" s="18">
        <f t="shared" si="5"/>
        <v>1025520</v>
      </c>
      <c r="CC17" s="18">
        <f t="shared" si="5"/>
        <v>0</v>
      </c>
      <c r="CD17" s="18">
        <f t="shared" si="5"/>
        <v>1025520</v>
      </c>
      <c r="CE17" s="18">
        <f t="shared" si="5"/>
        <v>955000</v>
      </c>
      <c r="CF17" s="18">
        <f t="shared" si="5"/>
        <v>955000</v>
      </c>
      <c r="CG17" s="18">
        <f t="shared" si="5"/>
        <v>0</v>
      </c>
      <c r="CH17" s="18">
        <f t="shared" si="5"/>
        <v>0</v>
      </c>
      <c r="CI17" s="18">
        <f t="shared" si="5"/>
        <v>0</v>
      </c>
      <c r="CJ17" s="18">
        <f t="shared" si="5"/>
        <v>0</v>
      </c>
      <c r="CK17" s="18">
        <f t="shared" si="5"/>
        <v>0</v>
      </c>
      <c r="CL17" s="18">
        <f t="shared" si="5"/>
        <v>0</v>
      </c>
      <c r="CM17" s="18">
        <f t="shared" si="5"/>
        <v>0</v>
      </c>
      <c r="CN17" s="18">
        <f t="shared" si="5"/>
        <v>0</v>
      </c>
      <c r="CO17" s="18"/>
      <c r="CP17" s="18"/>
      <c r="CQ17" s="18"/>
      <c r="CR17" s="18"/>
      <c r="CS17" s="18">
        <f t="shared" si="5"/>
        <v>0</v>
      </c>
      <c r="CT17" s="18"/>
      <c r="CU17" s="18"/>
      <c r="CV17" s="18"/>
      <c r="CW17" s="18">
        <f t="shared" si="5"/>
        <v>0</v>
      </c>
      <c r="CX17" s="18">
        <f t="shared" si="5"/>
        <v>0</v>
      </c>
      <c r="CY17" s="18">
        <f t="shared" si="5"/>
        <v>0</v>
      </c>
      <c r="CZ17" s="46">
        <f t="shared" si="5"/>
        <v>0</v>
      </c>
      <c r="DA17" s="57"/>
    </row>
    <row r="18" spans="1:105" ht="15.75" x14ac:dyDescent="0.25">
      <c r="A18" s="80" t="s">
        <v>1</v>
      </c>
      <c r="B18" s="21" t="s">
        <v>69</v>
      </c>
      <c r="C18" s="22" t="s">
        <v>70</v>
      </c>
      <c r="D18" s="18">
        <f>SUM(E18+BZ18+CW18)</f>
        <v>37136323</v>
      </c>
      <c r="E18" s="19">
        <f>SUM(F18+BA18)</f>
        <v>35155803</v>
      </c>
      <c r="F18" s="19">
        <f>SUM(G18+H18+I18+P18+S18+T18+U18+AD18)</f>
        <v>35123981</v>
      </c>
      <c r="G18" s="23">
        <v>13999081</v>
      </c>
      <c r="H18" s="23">
        <v>3402045</v>
      </c>
      <c r="I18" s="19">
        <f t="shared" ref="I18:I74" si="6">SUM(J18:O18)</f>
        <v>4210378</v>
      </c>
      <c r="J18" s="19">
        <v>0</v>
      </c>
      <c r="K18" s="23">
        <v>32000</v>
      </c>
      <c r="L18" s="23">
        <v>0</v>
      </c>
      <c r="M18" s="23">
        <v>0</v>
      </c>
      <c r="N18" s="23">
        <v>3345858</v>
      </c>
      <c r="O18" s="23">
        <v>832520</v>
      </c>
      <c r="P18" s="19">
        <f t="shared" ref="P18:P74" si="7">SUM(Q18:R18)</f>
        <v>633606</v>
      </c>
      <c r="Q18" s="19">
        <v>856</v>
      </c>
      <c r="R18" s="19">
        <v>632750</v>
      </c>
      <c r="S18" s="19">
        <v>0</v>
      </c>
      <c r="T18" s="19">
        <v>852181</v>
      </c>
      <c r="U18" s="19">
        <f>SUM(V18:AC18)</f>
        <v>748172</v>
      </c>
      <c r="V18" s="23">
        <v>341835</v>
      </c>
      <c r="W18" s="23">
        <v>80915</v>
      </c>
      <c r="X18" s="23">
        <v>220379</v>
      </c>
      <c r="Y18" s="23">
        <v>35953</v>
      </c>
      <c r="Z18" s="23">
        <v>33885</v>
      </c>
      <c r="AA18" s="23">
        <v>0</v>
      </c>
      <c r="AB18" s="23">
        <v>0</v>
      </c>
      <c r="AC18" s="23">
        <v>35205</v>
      </c>
      <c r="AD18" s="19">
        <f>SUM(AE18:AZ18)</f>
        <v>11278518</v>
      </c>
      <c r="AE18" s="19">
        <v>0</v>
      </c>
      <c r="AF18" s="19">
        <v>0</v>
      </c>
      <c r="AG18" s="23">
        <v>65500</v>
      </c>
      <c r="AH18" s="23">
        <v>542100</v>
      </c>
      <c r="AI18" s="23">
        <v>0</v>
      </c>
      <c r="AJ18" s="23">
        <v>25455</v>
      </c>
      <c r="AK18" s="23">
        <v>1000574</v>
      </c>
      <c r="AL18" s="23">
        <v>15000</v>
      </c>
      <c r="AM18" s="23">
        <v>310000</v>
      </c>
      <c r="AN18" s="23">
        <v>5382939</v>
      </c>
      <c r="AO18" s="23">
        <v>7326</v>
      </c>
      <c r="AP18" s="23"/>
      <c r="AQ18" s="23">
        <v>0</v>
      </c>
      <c r="AR18" s="23">
        <v>0</v>
      </c>
      <c r="AS18" s="23">
        <v>13574</v>
      </c>
      <c r="AT18" s="23">
        <v>0</v>
      </c>
      <c r="AU18" s="23">
        <v>0</v>
      </c>
      <c r="AV18" s="23">
        <v>0</v>
      </c>
      <c r="AW18" s="23">
        <v>0</v>
      </c>
      <c r="AX18" s="23">
        <v>0</v>
      </c>
      <c r="AY18" s="23">
        <v>0</v>
      </c>
      <c r="AZ18" s="23">
        <v>3916050</v>
      </c>
      <c r="BA18" s="19">
        <f>SUM(BB18+BF18+BI18+BK18+BN18)</f>
        <v>31822</v>
      </c>
      <c r="BB18" s="19">
        <f>SUM(BC18:BE18)</f>
        <v>0</v>
      </c>
      <c r="BC18" s="19">
        <v>0</v>
      </c>
      <c r="BD18" s="19">
        <v>0</v>
      </c>
      <c r="BE18" s="19">
        <v>0</v>
      </c>
      <c r="BF18" s="19">
        <f>SUM(BH18:BH18)</f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f t="shared" ref="BK18:BK74" si="8">SUM(BL18)</f>
        <v>0</v>
      </c>
      <c r="BL18" s="19">
        <v>0</v>
      </c>
      <c r="BM18" s="19">
        <v>0</v>
      </c>
      <c r="BN18" s="19">
        <f>SUM(BO18:BY18)</f>
        <v>31822</v>
      </c>
      <c r="BO18" s="19">
        <v>0</v>
      </c>
      <c r="BP18" s="19">
        <v>0</v>
      </c>
      <c r="BQ18" s="19">
        <v>0</v>
      </c>
      <c r="BR18" s="19">
        <v>0</v>
      </c>
      <c r="BS18" s="19">
        <v>0</v>
      </c>
      <c r="BT18" s="19">
        <v>0</v>
      </c>
      <c r="BU18" s="19">
        <v>0</v>
      </c>
      <c r="BV18" s="19">
        <v>0</v>
      </c>
      <c r="BW18" s="19">
        <v>0</v>
      </c>
      <c r="BX18" s="19">
        <v>31822</v>
      </c>
      <c r="BY18" s="19">
        <v>0</v>
      </c>
      <c r="BZ18" s="19">
        <f>SUM(CA18+CS18)</f>
        <v>1980520</v>
      </c>
      <c r="CA18" s="19">
        <f>SUM(CB18+CE18+CK18)</f>
        <v>1980520</v>
      </c>
      <c r="CB18" s="19">
        <f t="shared" ref="CB18:CB74" si="9">SUM(CC18:CD18)</f>
        <v>1025520</v>
      </c>
      <c r="CC18" s="19">
        <v>0</v>
      </c>
      <c r="CD18" s="19">
        <v>1025520</v>
      </c>
      <c r="CE18" s="19">
        <f>SUM(CF18:CJ18)</f>
        <v>955000</v>
      </c>
      <c r="CF18" s="19">
        <v>955000</v>
      </c>
      <c r="CG18" s="19">
        <v>0</v>
      </c>
      <c r="CH18" s="19">
        <v>0</v>
      </c>
      <c r="CI18" s="19">
        <v>0</v>
      </c>
      <c r="CJ18" s="19">
        <v>0</v>
      </c>
      <c r="CK18" s="19">
        <f>SUM(CL18:CP18)</f>
        <v>0</v>
      </c>
      <c r="CL18" s="19"/>
      <c r="CM18" s="19"/>
      <c r="CN18" s="19">
        <f>585000-585000</f>
        <v>0</v>
      </c>
      <c r="CO18" s="19"/>
      <c r="CP18" s="19"/>
      <c r="CQ18" s="19"/>
      <c r="CR18" s="19"/>
      <c r="CS18" s="19">
        <v>0</v>
      </c>
      <c r="CT18" s="19"/>
      <c r="CU18" s="19"/>
      <c r="CV18" s="19"/>
      <c r="CW18" s="19">
        <f t="shared" ref="CW18:CW74" si="10">SUM(CX18)</f>
        <v>0</v>
      </c>
      <c r="CX18" s="19">
        <f t="shared" ref="CX18:CX74" si="11">SUM(CY18:CZ18)</f>
        <v>0</v>
      </c>
      <c r="CY18" s="19">
        <v>0</v>
      </c>
      <c r="CZ18" s="20">
        <v>0</v>
      </c>
    </row>
    <row r="19" spans="1:105" s="58" customFormat="1" ht="31.5" x14ac:dyDescent="0.25">
      <c r="A19" s="79" t="s">
        <v>71</v>
      </c>
      <c r="B19" s="16" t="s">
        <v>1</v>
      </c>
      <c r="C19" s="17" t="s">
        <v>72</v>
      </c>
      <c r="D19" s="18">
        <f>SUM(D20:D22)</f>
        <v>48917621</v>
      </c>
      <c r="E19" s="18">
        <f t="shared" ref="E19:BT19" si="12">SUM(E20:E22)</f>
        <v>45354398</v>
      </c>
      <c r="F19" s="18">
        <f t="shared" si="12"/>
        <v>43251072</v>
      </c>
      <c r="G19" s="18">
        <f t="shared" si="12"/>
        <v>26971021</v>
      </c>
      <c r="H19" s="18">
        <f t="shared" si="12"/>
        <v>6528022</v>
      </c>
      <c r="I19" s="18">
        <f t="shared" si="12"/>
        <v>3557365</v>
      </c>
      <c r="J19" s="18">
        <f t="shared" si="12"/>
        <v>0</v>
      </c>
      <c r="K19" s="18">
        <f t="shared" si="12"/>
        <v>0</v>
      </c>
      <c r="L19" s="18">
        <f t="shared" si="12"/>
        <v>0</v>
      </c>
      <c r="M19" s="18">
        <f t="shared" si="12"/>
        <v>0</v>
      </c>
      <c r="N19" s="18">
        <f t="shared" si="12"/>
        <v>2673362</v>
      </c>
      <c r="O19" s="18">
        <f t="shared" si="12"/>
        <v>884003</v>
      </c>
      <c r="P19" s="18">
        <f t="shared" si="12"/>
        <v>652741</v>
      </c>
      <c r="Q19" s="18">
        <f t="shared" si="12"/>
        <v>0</v>
      </c>
      <c r="R19" s="18">
        <f t="shared" si="12"/>
        <v>652741</v>
      </c>
      <c r="S19" s="18">
        <f t="shared" si="12"/>
        <v>0</v>
      </c>
      <c r="T19" s="18">
        <f t="shared" si="12"/>
        <v>595359</v>
      </c>
      <c r="U19" s="18">
        <f t="shared" si="12"/>
        <v>147342</v>
      </c>
      <c r="V19" s="18">
        <f t="shared" si="12"/>
        <v>61212</v>
      </c>
      <c r="W19" s="18">
        <f t="shared" si="12"/>
        <v>19135</v>
      </c>
      <c r="X19" s="18">
        <f t="shared" si="12"/>
        <v>38526</v>
      </c>
      <c r="Y19" s="18">
        <f t="shared" si="12"/>
        <v>11241</v>
      </c>
      <c r="Z19" s="18">
        <f t="shared" si="12"/>
        <v>6204</v>
      </c>
      <c r="AA19" s="18">
        <f t="shared" si="12"/>
        <v>0</v>
      </c>
      <c r="AB19" s="18">
        <f t="shared" si="12"/>
        <v>0</v>
      </c>
      <c r="AC19" s="18">
        <f t="shared" si="12"/>
        <v>11024</v>
      </c>
      <c r="AD19" s="18">
        <f t="shared" si="12"/>
        <v>4799222</v>
      </c>
      <c r="AE19" s="18">
        <f t="shared" si="12"/>
        <v>0</v>
      </c>
      <c r="AF19" s="18">
        <f t="shared" si="12"/>
        <v>0</v>
      </c>
      <c r="AG19" s="18">
        <f t="shared" si="12"/>
        <v>91337</v>
      </c>
      <c r="AH19" s="18">
        <f t="shared" si="12"/>
        <v>592126</v>
      </c>
      <c r="AI19" s="18">
        <f t="shared" si="12"/>
        <v>0</v>
      </c>
      <c r="AJ19" s="18">
        <f t="shared" si="12"/>
        <v>55680</v>
      </c>
      <c r="AK19" s="18">
        <f t="shared" si="12"/>
        <v>16524</v>
      </c>
      <c r="AL19" s="18">
        <f t="shared" si="12"/>
        <v>191897</v>
      </c>
      <c r="AM19" s="18">
        <f t="shared" si="12"/>
        <v>60876</v>
      </c>
      <c r="AN19" s="18">
        <f t="shared" si="12"/>
        <v>1821246</v>
      </c>
      <c r="AO19" s="18">
        <f t="shared" si="12"/>
        <v>0</v>
      </c>
      <c r="AP19" s="18"/>
      <c r="AQ19" s="18">
        <f t="shared" si="12"/>
        <v>0</v>
      </c>
      <c r="AR19" s="18">
        <f t="shared" si="12"/>
        <v>100868</v>
      </c>
      <c r="AS19" s="18">
        <f t="shared" si="12"/>
        <v>48734</v>
      </c>
      <c r="AT19" s="18"/>
      <c r="AU19" s="18"/>
      <c r="AV19" s="18">
        <f t="shared" si="12"/>
        <v>0</v>
      </c>
      <c r="AW19" s="18">
        <f t="shared" si="12"/>
        <v>0</v>
      </c>
      <c r="AX19" s="18">
        <f t="shared" si="12"/>
        <v>98520</v>
      </c>
      <c r="AY19" s="18"/>
      <c r="AZ19" s="18">
        <f t="shared" si="12"/>
        <v>1721414</v>
      </c>
      <c r="BA19" s="18">
        <f t="shared" si="12"/>
        <v>2103326</v>
      </c>
      <c r="BB19" s="18">
        <f t="shared" si="12"/>
        <v>0</v>
      </c>
      <c r="BC19" s="18">
        <f t="shared" si="12"/>
        <v>0</v>
      </c>
      <c r="BD19" s="18">
        <f t="shared" si="12"/>
        <v>0</v>
      </c>
      <c r="BE19" s="18">
        <f t="shared" si="12"/>
        <v>0</v>
      </c>
      <c r="BF19" s="18">
        <f t="shared" si="12"/>
        <v>0</v>
      </c>
      <c r="BG19" s="18">
        <f t="shared" si="12"/>
        <v>0</v>
      </c>
      <c r="BH19" s="18">
        <f t="shared" si="12"/>
        <v>0</v>
      </c>
      <c r="BI19" s="18">
        <f t="shared" si="12"/>
        <v>0</v>
      </c>
      <c r="BJ19" s="18">
        <f t="shared" ref="BJ19" si="13">SUM(BJ20:BJ22)</f>
        <v>0</v>
      </c>
      <c r="BK19" s="18">
        <f t="shared" si="12"/>
        <v>0</v>
      </c>
      <c r="BL19" s="18">
        <f t="shared" si="12"/>
        <v>0</v>
      </c>
      <c r="BM19" s="18">
        <f t="shared" ref="BM19" si="14">SUM(BM20:BM22)</f>
        <v>0</v>
      </c>
      <c r="BN19" s="18">
        <f t="shared" si="12"/>
        <v>2103326</v>
      </c>
      <c r="BO19" s="18">
        <f t="shared" si="12"/>
        <v>0</v>
      </c>
      <c r="BP19" s="18">
        <f t="shared" si="12"/>
        <v>0</v>
      </c>
      <c r="BQ19" s="18">
        <f t="shared" si="12"/>
        <v>0</v>
      </c>
      <c r="BR19" s="18">
        <f t="shared" si="12"/>
        <v>0</v>
      </c>
      <c r="BS19" s="18">
        <f t="shared" si="12"/>
        <v>0</v>
      </c>
      <c r="BT19" s="18">
        <f t="shared" si="12"/>
        <v>0</v>
      </c>
      <c r="BU19" s="18">
        <f t="shared" ref="BU19:CZ19" si="15">SUM(BU20:BU22)</f>
        <v>0</v>
      </c>
      <c r="BV19" s="18">
        <f t="shared" si="15"/>
        <v>0</v>
      </c>
      <c r="BW19" s="18">
        <f t="shared" si="15"/>
        <v>0</v>
      </c>
      <c r="BX19" s="18">
        <f t="shared" si="15"/>
        <v>1893326</v>
      </c>
      <c r="BY19" s="18">
        <f t="shared" si="15"/>
        <v>210000</v>
      </c>
      <c r="BZ19" s="18">
        <f t="shared" si="15"/>
        <v>3563223</v>
      </c>
      <c r="CA19" s="18">
        <f t="shared" si="15"/>
        <v>3563223</v>
      </c>
      <c r="CB19" s="18">
        <f t="shared" si="15"/>
        <v>2157223</v>
      </c>
      <c r="CC19" s="18">
        <f t="shared" si="15"/>
        <v>0</v>
      </c>
      <c r="CD19" s="18">
        <f t="shared" si="15"/>
        <v>2157223</v>
      </c>
      <c r="CE19" s="18">
        <f t="shared" si="15"/>
        <v>966000</v>
      </c>
      <c r="CF19" s="18">
        <f t="shared" si="15"/>
        <v>966000</v>
      </c>
      <c r="CG19" s="18">
        <f t="shared" ref="CG19:CH19" si="16">SUM(CG20:CG22)</f>
        <v>0</v>
      </c>
      <c r="CH19" s="18">
        <f t="shared" si="16"/>
        <v>0</v>
      </c>
      <c r="CI19" s="18">
        <f t="shared" si="15"/>
        <v>0</v>
      </c>
      <c r="CJ19" s="18">
        <f t="shared" ref="CJ19" si="17">SUM(CJ20:CJ22)</f>
        <v>0</v>
      </c>
      <c r="CK19" s="18">
        <f t="shared" si="15"/>
        <v>440000</v>
      </c>
      <c r="CL19" s="18">
        <f t="shared" si="15"/>
        <v>0</v>
      </c>
      <c r="CM19" s="18">
        <f t="shared" ref="CM19" si="18">SUM(CM20:CM22)</f>
        <v>0</v>
      </c>
      <c r="CN19" s="18">
        <f t="shared" si="15"/>
        <v>440000</v>
      </c>
      <c r="CO19" s="18"/>
      <c r="CP19" s="18"/>
      <c r="CQ19" s="18"/>
      <c r="CR19" s="18"/>
      <c r="CS19" s="18">
        <f t="shared" si="15"/>
        <v>0</v>
      </c>
      <c r="CT19" s="18"/>
      <c r="CU19" s="18"/>
      <c r="CV19" s="18"/>
      <c r="CW19" s="18">
        <f t="shared" si="15"/>
        <v>0</v>
      </c>
      <c r="CX19" s="18">
        <f t="shared" si="15"/>
        <v>0</v>
      </c>
      <c r="CY19" s="18">
        <f t="shared" si="15"/>
        <v>0</v>
      </c>
      <c r="CZ19" s="46">
        <f t="shared" si="15"/>
        <v>0</v>
      </c>
      <c r="DA19" s="57"/>
    </row>
    <row r="20" spans="1:105" ht="15.75" x14ac:dyDescent="0.25">
      <c r="A20" s="80" t="s">
        <v>1</v>
      </c>
      <c r="B20" s="21" t="s">
        <v>73</v>
      </c>
      <c r="C20" s="22" t="s">
        <v>74</v>
      </c>
      <c r="D20" s="18">
        <f>SUM(E20+BZ20+CW20)</f>
        <v>33425576</v>
      </c>
      <c r="E20" s="19">
        <f>SUM(F20+BA20)</f>
        <v>31233860</v>
      </c>
      <c r="F20" s="19">
        <f t="shared" ref="F20:F22" si="19">SUM(G20+H20+I20+P20+S20+T20+U20+AD20)</f>
        <v>29355294</v>
      </c>
      <c r="G20" s="23">
        <v>17324052</v>
      </c>
      <c r="H20" s="23">
        <v>4193674</v>
      </c>
      <c r="I20" s="19">
        <f t="shared" si="6"/>
        <v>2453862</v>
      </c>
      <c r="J20" s="24"/>
      <c r="K20" s="24"/>
      <c r="L20" s="24"/>
      <c r="M20" s="24"/>
      <c r="N20" s="23">
        <v>1841004</v>
      </c>
      <c r="O20" s="23">
        <v>612858</v>
      </c>
      <c r="P20" s="19">
        <f t="shared" si="7"/>
        <v>640000</v>
      </c>
      <c r="Q20" s="24">
        <v>0</v>
      </c>
      <c r="R20" s="24">
        <v>640000</v>
      </c>
      <c r="S20" s="24">
        <v>0</v>
      </c>
      <c r="T20" s="23">
        <v>451111</v>
      </c>
      <c r="U20" s="19">
        <f>SUM(V20:AC20)</f>
        <v>20226</v>
      </c>
      <c r="V20" s="23">
        <v>15193</v>
      </c>
      <c r="W20" s="23">
        <f>1423</f>
        <v>1423</v>
      </c>
      <c r="X20" s="23">
        <v>1848</v>
      </c>
      <c r="Y20" s="23">
        <v>791</v>
      </c>
      <c r="Z20" s="23">
        <v>459</v>
      </c>
      <c r="AA20" s="23">
        <v>0</v>
      </c>
      <c r="AB20" s="23">
        <v>0</v>
      </c>
      <c r="AC20" s="23">
        <v>512</v>
      </c>
      <c r="AD20" s="19">
        <f>SUM(AE20:AZ20)</f>
        <v>4272369</v>
      </c>
      <c r="AE20" s="24">
        <v>0</v>
      </c>
      <c r="AF20" s="24">
        <v>0</v>
      </c>
      <c r="AG20" s="23">
        <v>70050</v>
      </c>
      <c r="AH20" s="23">
        <v>500000</v>
      </c>
      <c r="AI20" s="23">
        <v>0</v>
      </c>
      <c r="AJ20" s="23">
        <v>13992</v>
      </c>
      <c r="AK20" s="23">
        <v>14324</v>
      </c>
      <c r="AL20" s="23">
        <v>173954</v>
      </c>
      <c r="AM20" s="23">
        <v>52920</v>
      </c>
      <c r="AN20" s="23">
        <v>1704033</v>
      </c>
      <c r="AO20" s="23">
        <v>0</v>
      </c>
      <c r="AP20" s="23"/>
      <c r="AQ20" s="23">
        <v>0</v>
      </c>
      <c r="AR20" s="23">
        <v>17775</v>
      </c>
      <c r="AS20" s="23">
        <v>16692</v>
      </c>
      <c r="AT20" s="23">
        <v>0</v>
      </c>
      <c r="AU20" s="23">
        <v>0</v>
      </c>
      <c r="AV20" s="23">
        <v>0</v>
      </c>
      <c r="AW20" s="23">
        <v>0</v>
      </c>
      <c r="AX20" s="23">
        <v>0</v>
      </c>
      <c r="AY20" s="23">
        <v>0</v>
      </c>
      <c r="AZ20" s="23">
        <v>1708629</v>
      </c>
      <c r="BA20" s="19">
        <f>SUM(BB20+BF20+BI20+BK20+BN20)</f>
        <v>1878566</v>
      </c>
      <c r="BB20" s="19">
        <f>SUM(BC20:BE20)</f>
        <v>0</v>
      </c>
      <c r="BC20" s="19">
        <v>0</v>
      </c>
      <c r="BD20" s="19">
        <v>0</v>
      </c>
      <c r="BE20" s="19">
        <v>0</v>
      </c>
      <c r="BF20" s="19">
        <f>SUM(BH20:BH20)</f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f t="shared" si="8"/>
        <v>0</v>
      </c>
      <c r="BL20" s="19">
        <v>0</v>
      </c>
      <c r="BM20" s="19">
        <v>0</v>
      </c>
      <c r="BN20" s="19">
        <f>SUM(BO20:BY20)</f>
        <v>1878566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0</v>
      </c>
      <c r="BW20" s="19">
        <v>0</v>
      </c>
      <c r="BX20" s="23">
        <v>1878566</v>
      </c>
      <c r="BY20" s="19">
        <v>0</v>
      </c>
      <c r="BZ20" s="19">
        <f>SUM(CA20+CS20)</f>
        <v>2191716</v>
      </c>
      <c r="CA20" s="19">
        <f>SUM(CB20+CE20+CK20)</f>
        <v>2191716</v>
      </c>
      <c r="CB20" s="19">
        <f t="shared" si="9"/>
        <v>1225716</v>
      </c>
      <c r="CC20" s="19">
        <v>0</v>
      </c>
      <c r="CD20" s="23">
        <v>1225716</v>
      </c>
      <c r="CE20" s="19">
        <f t="shared" ref="CE20:CE22" si="20">SUM(CF20:CJ20)</f>
        <v>966000</v>
      </c>
      <c r="CF20" s="23">
        <v>966000</v>
      </c>
      <c r="CG20" s="23"/>
      <c r="CH20" s="19">
        <v>0</v>
      </c>
      <c r="CI20" s="19">
        <v>0</v>
      </c>
      <c r="CJ20" s="19">
        <v>0</v>
      </c>
      <c r="CK20" s="19">
        <f>SUM(CL20:CP20)</f>
        <v>0</v>
      </c>
      <c r="CL20" s="19">
        <v>0</v>
      </c>
      <c r="CM20" s="19">
        <v>0</v>
      </c>
      <c r="CN20" s="19">
        <v>0</v>
      </c>
      <c r="CO20" s="19"/>
      <c r="CP20" s="19"/>
      <c r="CQ20" s="19"/>
      <c r="CR20" s="19"/>
      <c r="CS20" s="19">
        <v>0</v>
      </c>
      <c r="CT20" s="19"/>
      <c r="CU20" s="19"/>
      <c r="CV20" s="19"/>
      <c r="CW20" s="19">
        <f t="shared" si="10"/>
        <v>0</v>
      </c>
      <c r="CX20" s="19">
        <f t="shared" si="11"/>
        <v>0</v>
      </c>
      <c r="CY20" s="19">
        <v>0</v>
      </c>
      <c r="CZ20" s="20">
        <v>0</v>
      </c>
    </row>
    <row r="21" spans="1:105" ht="15.75" x14ac:dyDescent="0.25">
      <c r="A21" s="80" t="s">
        <v>1</v>
      </c>
      <c r="B21" s="21" t="s">
        <v>75</v>
      </c>
      <c r="C21" s="22" t="s">
        <v>505</v>
      </c>
      <c r="D21" s="18">
        <f>SUM(E21+BZ21+CW21)</f>
        <v>13032450</v>
      </c>
      <c r="E21" s="19">
        <f>SUM(F21+BA21)</f>
        <v>11966050</v>
      </c>
      <c r="F21" s="19">
        <f t="shared" si="19"/>
        <v>11748775</v>
      </c>
      <c r="G21" s="23">
        <f>8008774+212365</f>
        <v>8221139</v>
      </c>
      <c r="H21" s="23">
        <f>1947568+54242</f>
        <v>2001810</v>
      </c>
      <c r="I21" s="19">
        <f t="shared" si="6"/>
        <v>873710</v>
      </c>
      <c r="J21" s="24"/>
      <c r="K21" s="24"/>
      <c r="L21" s="24"/>
      <c r="M21" s="24"/>
      <c r="N21" s="23">
        <f>759034-97646</f>
        <v>661388</v>
      </c>
      <c r="O21" s="23">
        <v>212322</v>
      </c>
      <c r="P21" s="19">
        <f t="shared" si="7"/>
        <v>0</v>
      </c>
      <c r="Q21" s="24">
        <v>0</v>
      </c>
      <c r="R21" s="24">
        <v>0</v>
      </c>
      <c r="S21" s="24">
        <v>0</v>
      </c>
      <c r="T21" s="23">
        <v>80000</v>
      </c>
      <c r="U21" s="19">
        <f>SUM(V21:AC21)</f>
        <v>111719</v>
      </c>
      <c r="V21" s="23">
        <v>46019</v>
      </c>
      <c r="W21" s="23">
        <f>11704+81</f>
        <v>11785</v>
      </c>
      <c r="X21" s="23">
        <v>28676</v>
      </c>
      <c r="Y21" s="23">
        <f>7584+1398</f>
        <v>8982</v>
      </c>
      <c r="Z21" s="23">
        <v>5745</v>
      </c>
      <c r="AA21" s="23">
        <v>0</v>
      </c>
      <c r="AB21" s="23">
        <v>0</v>
      </c>
      <c r="AC21" s="23">
        <v>10512</v>
      </c>
      <c r="AD21" s="19">
        <f>SUM(AE21:AZ21)</f>
        <v>460397</v>
      </c>
      <c r="AE21" s="24">
        <v>0</v>
      </c>
      <c r="AF21" s="24">
        <v>0</v>
      </c>
      <c r="AG21" s="23">
        <v>14000</v>
      </c>
      <c r="AH21" s="23">
        <v>90900</v>
      </c>
      <c r="AI21" s="23">
        <v>0</v>
      </c>
      <c r="AJ21" s="23">
        <v>41688</v>
      </c>
      <c r="AK21" s="23">
        <v>2200</v>
      </c>
      <c r="AL21" s="23">
        <v>17943</v>
      </c>
      <c r="AM21" s="23">
        <v>0</v>
      </c>
      <c r="AN21" s="23">
        <v>99600</v>
      </c>
      <c r="AO21" s="23">
        <v>0</v>
      </c>
      <c r="AP21" s="23"/>
      <c r="AQ21" s="23">
        <v>0</v>
      </c>
      <c r="AR21" s="23">
        <v>54135</v>
      </c>
      <c r="AS21" s="23">
        <v>32042</v>
      </c>
      <c r="AT21" s="23">
        <v>0</v>
      </c>
      <c r="AU21" s="23">
        <v>0</v>
      </c>
      <c r="AV21" s="23">
        <v>0</v>
      </c>
      <c r="AW21" s="23">
        <v>0</v>
      </c>
      <c r="AX21" s="23">
        <v>98520</v>
      </c>
      <c r="AY21" s="23">
        <v>0</v>
      </c>
      <c r="AZ21" s="23">
        <v>9369</v>
      </c>
      <c r="BA21" s="19">
        <f>SUM(BB21+BF21+BI21+BK21+BN21)</f>
        <v>217275</v>
      </c>
      <c r="BB21" s="19">
        <f>SUM(BC21:BE21)</f>
        <v>0</v>
      </c>
      <c r="BC21" s="19">
        <v>0</v>
      </c>
      <c r="BD21" s="19">
        <v>0</v>
      </c>
      <c r="BE21" s="19">
        <v>0</v>
      </c>
      <c r="BF21" s="19">
        <f>SUM(BH21:BH21)</f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f t="shared" si="8"/>
        <v>0</v>
      </c>
      <c r="BL21" s="19">
        <v>0</v>
      </c>
      <c r="BM21" s="19">
        <v>0</v>
      </c>
      <c r="BN21" s="19">
        <f>SUM(BO21:BY21)</f>
        <v>217275</v>
      </c>
      <c r="BO21" s="19">
        <v>0</v>
      </c>
      <c r="BP21" s="19">
        <v>0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  <c r="BV21" s="19">
        <v>0</v>
      </c>
      <c r="BW21" s="19">
        <v>0</v>
      </c>
      <c r="BX21" s="23">
        <v>7275</v>
      </c>
      <c r="BY21" s="19">
        <v>210000</v>
      </c>
      <c r="BZ21" s="19">
        <f>SUM(CA21+CS21)</f>
        <v>1066400</v>
      </c>
      <c r="CA21" s="19">
        <f>SUM(CB21+CE21+CK21)</f>
        <v>1066400</v>
      </c>
      <c r="CB21" s="19">
        <f t="shared" si="9"/>
        <v>626400</v>
      </c>
      <c r="CC21" s="19">
        <v>0</v>
      </c>
      <c r="CD21" s="23">
        <f>724047-97647</f>
        <v>626400</v>
      </c>
      <c r="CE21" s="19">
        <f t="shared" si="20"/>
        <v>0</v>
      </c>
      <c r="CF21" s="23"/>
      <c r="CG21" s="23"/>
      <c r="CH21" s="19">
        <v>0</v>
      </c>
      <c r="CI21" s="19">
        <v>0</v>
      </c>
      <c r="CJ21" s="19">
        <v>0</v>
      </c>
      <c r="CK21" s="19">
        <f>SUM(CL21:CP21)</f>
        <v>440000</v>
      </c>
      <c r="CL21" s="19">
        <v>0</v>
      </c>
      <c r="CM21" s="19">
        <v>0</v>
      </c>
      <c r="CN21" s="19">
        <f>629750-189750</f>
        <v>440000</v>
      </c>
      <c r="CO21" s="19"/>
      <c r="CP21" s="19"/>
      <c r="CQ21" s="19"/>
      <c r="CR21" s="19"/>
      <c r="CS21" s="19">
        <v>0</v>
      </c>
      <c r="CT21" s="19"/>
      <c r="CU21" s="19"/>
      <c r="CV21" s="19"/>
      <c r="CW21" s="19">
        <f t="shared" si="10"/>
        <v>0</v>
      </c>
      <c r="CX21" s="19">
        <f t="shared" si="11"/>
        <v>0</v>
      </c>
      <c r="CY21" s="19">
        <v>0</v>
      </c>
      <c r="CZ21" s="20">
        <v>0</v>
      </c>
    </row>
    <row r="22" spans="1:105" ht="31.5" x14ac:dyDescent="0.25">
      <c r="A22" s="80" t="s">
        <v>1</v>
      </c>
      <c r="B22" s="21" t="s">
        <v>76</v>
      </c>
      <c r="C22" s="22" t="s">
        <v>77</v>
      </c>
      <c r="D22" s="18">
        <f>SUM(E22+BZ22+CW22)</f>
        <v>2459595</v>
      </c>
      <c r="E22" s="19">
        <f>SUM(F22+BA22)</f>
        <v>2154488</v>
      </c>
      <c r="F22" s="19">
        <f t="shared" si="19"/>
        <v>2147003</v>
      </c>
      <c r="G22" s="23">
        <v>1425830</v>
      </c>
      <c r="H22" s="23">
        <v>332538</v>
      </c>
      <c r="I22" s="19">
        <f t="shared" si="6"/>
        <v>229793</v>
      </c>
      <c r="J22" s="24"/>
      <c r="K22" s="24"/>
      <c r="L22" s="24"/>
      <c r="M22" s="24"/>
      <c r="N22" s="23">
        <v>170970</v>
      </c>
      <c r="O22" s="23">
        <v>58823</v>
      </c>
      <c r="P22" s="19">
        <f t="shared" si="7"/>
        <v>12741</v>
      </c>
      <c r="Q22" s="24">
        <v>0</v>
      </c>
      <c r="R22" s="24">
        <v>12741</v>
      </c>
      <c r="S22" s="24">
        <v>0</v>
      </c>
      <c r="T22" s="23">
        <v>64248</v>
      </c>
      <c r="U22" s="19">
        <f>SUM(V22:AC22)</f>
        <v>15397</v>
      </c>
      <c r="V22" s="23">
        <v>0</v>
      </c>
      <c r="W22" s="23">
        <f>5907-1+21</f>
        <v>5927</v>
      </c>
      <c r="X22" s="23">
        <v>8002</v>
      </c>
      <c r="Y22" s="23">
        <f>1469-1</f>
        <v>1468</v>
      </c>
      <c r="Z22" s="23">
        <v>0</v>
      </c>
      <c r="AA22" s="23">
        <v>0</v>
      </c>
      <c r="AB22" s="23">
        <v>0</v>
      </c>
      <c r="AC22" s="23">
        <v>0</v>
      </c>
      <c r="AD22" s="19">
        <f>SUM(AE22:AZ22)</f>
        <v>66456</v>
      </c>
      <c r="AE22" s="24">
        <v>0</v>
      </c>
      <c r="AF22" s="24">
        <v>0</v>
      </c>
      <c r="AG22" s="23">
        <v>7287</v>
      </c>
      <c r="AH22" s="23">
        <v>1226</v>
      </c>
      <c r="AI22" s="23">
        <v>0</v>
      </c>
      <c r="AJ22" s="23">
        <v>0</v>
      </c>
      <c r="AK22" s="23">
        <v>0</v>
      </c>
      <c r="AL22" s="23">
        <v>0</v>
      </c>
      <c r="AM22" s="23">
        <v>7956</v>
      </c>
      <c r="AN22" s="23">
        <v>17613</v>
      </c>
      <c r="AO22" s="23">
        <v>0</v>
      </c>
      <c r="AP22" s="23"/>
      <c r="AQ22" s="23">
        <v>0</v>
      </c>
      <c r="AR22" s="23">
        <v>28958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23">
        <v>0</v>
      </c>
      <c r="AY22" s="23">
        <v>0</v>
      </c>
      <c r="AZ22" s="23">
        <v>3416</v>
      </c>
      <c r="BA22" s="19">
        <f>SUM(BB22+BF22+BI22+BK22+BN22)</f>
        <v>7485</v>
      </c>
      <c r="BB22" s="19">
        <f>SUM(BC22:BE22)</f>
        <v>0</v>
      </c>
      <c r="BC22" s="19">
        <v>0</v>
      </c>
      <c r="BD22" s="19">
        <v>0</v>
      </c>
      <c r="BE22" s="19">
        <v>0</v>
      </c>
      <c r="BF22" s="19">
        <f>SUM(BH22:BH22)</f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f t="shared" si="8"/>
        <v>0</v>
      </c>
      <c r="BL22" s="19">
        <v>0</v>
      </c>
      <c r="BM22" s="19">
        <v>0</v>
      </c>
      <c r="BN22" s="19">
        <f>SUM(BO22:BY22)</f>
        <v>7485</v>
      </c>
      <c r="BO22" s="19">
        <v>0</v>
      </c>
      <c r="BP22" s="19">
        <v>0</v>
      </c>
      <c r="BQ22" s="19">
        <v>0</v>
      </c>
      <c r="BR22" s="19">
        <v>0</v>
      </c>
      <c r="BS22" s="19">
        <v>0</v>
      </c>
      <c r="BT22" s="19">
        <v>0</v>
      </c>
      <c r="BU22" s="19">
        <v>0</v>
      </c>
      <c r="BV22" s="19">
        <v>0</v>
      </c>
      <c r="BW22" s="19">
        <v>0</v>
      </c>
      <c r="BX22" s="23">
        <v>7485</v>
      </c>
      <c r="BY22" s="19">
        <v>0</v>
      </c>
      <c r="BZ22" s="19">
        <f>SUM(CA22+CS22)</f>
        <v>305107</v>
      </c>
      <c r="CA22" s="19">
        <f>SUM(CB22+CE22+CK22)</f>
        <v>305107</v>
      </c>
      <c r="CB22" s="19">
        <f t="shared" si="9"/>
        <v>305107</v>
      </c>
      <c r="CC22" s="19">
        <v>0</v>
      </c>
      <c r="CD22" s="23">
        <v>305107</v>
      </c>
      <c r="CE22" s="19">
        <f t="shared" si="20"/>
        <v>0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f>SUM(CL22:CP22)</f>
        <v>0</v>
      </c>
      <c r="CL22" s="19">
        <v>0</v>
      </c>
      <c r="CM22" s="19">
        <v>0</v>
      </c>
      <c r="CN22" s="19">
        <v>0</v>
      </c>
      <c r="CO22" s="19"/>
      <c r="CP22" s="19"/>
      <c r="CQ22" s="19"/>
      <c r="CR22" s="19"/>
      <c r="CS22" s="19">
        <v>0</v>
      </c>
      <c r="CT22" s="19"/>
      <c r="CU22" s="19"/>
      <c r="CV22" s="19"/>
      <c r="CW22" s="19">
        <f t="shared" si="10"/>
        <v>0</v>
      </c>
      <c r="CX22" s="19">
        <f t="shared" si="11"/>
        <v>0</v>
      </c>
      <c r="CY22" s="19">
        <v>0</v>
      </c>
      <c r="CZ22" s="20">
        <v>0</v>
      </c>
    </row>
    <row r="23" spans="1:105" s="58" customFormat="1" ht="31.5" x14ac:dyDescent="0.25">
      <c r="A23" s="79" t="s">
        <v>78</v>
      </c>
      <c r="B23" s="16" t="s">
        <v>1</v>
      </c>
      <c r="C23" s="17" t="s">
        <v>79</v>
      </c>
      <c r="D23" s="18">
        <f t="shared" ref="D23:AS23" si="21">SUM(D24:D36)</f>
        <v>98484659</v>
      </c>
      <c r="E23" s="18">
        <f t="shared" si="21"/>
        <v>92196251</v>
      </c>
      <c r="F23" s="18">
        <f t="shared" si="21"/>
        <v>91920125</v>
      </c>
      <c r="G23" s="18">
        <f t="shared" si="21"/>
        <v>62430118</v>
      </c>
      <c r="H23" s="18">
        <f t="shared" si="21"/>
        <v>14984558</v>
      </c>
      <c r="I23" s="18">
        <f t="shared" si="21"/>
        <v>4612391</v>
      </c>
      <c r="J23" s="18">
        <f t="shared" si="21"/>
        <v>9189</v>
      </c>
      <c r="K23" s="18">
        <f t="shared" si="21"/>
        <v>157185</v>
      </c>
      <c r="L23" s="18">
        <f t="shared" si="21"/>
        <v>0</v>
      </c>
      <c r="M23" s="18">
        <f t="shared" si="21"/>
        <v>0</v>
      </c>
      <c r="N23" s="18">
        <f t="shared" si="21"/>
        <v>2795967</v>
      </c>
      <c r="O23" s="18">
        <f t="shared" si="21"/>
        <v>1650050</v>
      </c>
      <c r="P23" s="18">
        <f t="shared" si="21"/>
        <v>1215274</v>
      </c>
      <c r="Q23" s="18">
        <f t="shared" si="21"/>
        <v>0</v>
      </c>
      <c r="R23" s="18">
        <f t="shared" si="21"/>
        <v>1215274</v>
      </c>
      <c r="S23" s="18">
        <f t="shared" si="21"/>
        <v>0</v>
      </c>
      <c r="T23" s="18">
        <f t="shared" si="21"/>
        <v>2110563</v>
      </c>
      <c r="U23" s="18">
        <f t="shared" si="21"/>
        <v>1332145</v>
      </c>
      <c r="V23" s="18">
        <f t="shared" si="21"/>
        <v>130397</v>
      </c>
      <c r="W23" s="18">
        <f t="shared" si="21"/>
        <v>561395</v>
      </c>
      <c r="X23" s="18">
        <f t="shared" si="21"/>
        <v>415103</v>
      </c>
      <c r="Y23" s="18">
        <f t="shared" si="21"/>
        <v>78345</v>
      </c>
      <c r="Z23" s="18">
        <f t="shared" si="21"/>
        <v>61337</v>
      </c>
      <c r="AA23" s="18">
        <f t="shared" si="21"/>
        <v>63832</v>
      </c>
      <c r="AB23" s="18">
        <f t="shared" si="21"/>
        <v>0</v>
      </c>
      <c r="AC23" s="18">
        <f t="shared" si="21"/>
        <v>21736</v>
      </c>
      <c r="AD23" s="18">
        <f t="shared" si="21"/>
        <v>5235076</v>
      </c>
      <c r="AE23" s="18">
        <f t="shared" si="21"/>
        <v>0</v>
      </c>
      <c r="AF23" s="18">
        <f t="shared" si="21"/>
        <v>0</v>
      </c>
      <c r="AG23" s="18">
        <f t="shared" si="21"/>
        <v>126713</v>
      </c>
      <c r="AH23" s="18">
        <f t="shared" si="21"/>
        <v>554532</v>
      </c>
      <c r="AI23" s="18">
        <f t="shared" si="21"/>
        <v>0</v>
      </c>
      <c r="AJ23" s="18">
        <f t="shared" si="21"/>
        <v>20061</v>
      </c>
      <c r="AK23" s="18">
        <f t="shared" si="21"/>
        <v>4439</v>
      </c>
      <c r="AL23" s="18">
        <f t="shared" si="21"/>
        <v>377968</v>
      </c>
      <c r="AM23" s="18">
        <f t="shared" si="21"/>
        <v>264745</v>
      </c>
      <c r="AN23" s="18">
        <f t="shared" si="21"/>
        <v>683623</v>
      </c>
      <c r="AO23" s="18">
        <f t="shared" si="21"/>
        <v>245</v>
      </c>
      <c r="AP23" s="18"/>
      <c r="AQ23" s="18">
        <f t="shared" si="21"/>
        <v>0</v>
      </c>
      <c r="AR23" s="18">
        <f t="shared" si="21"/>
        <v>296551</v>
      </c>
      <c r="AS23" s="18">
        <f t="shared" si="21"/>
        <v>246467</v>
      </c>
      <c r="AT23" s="18"/>
      <c r="AU23" s="18"/>
      <c r="AV23" s="18">
        <f t="shared" ref="AV23:CN23" si="22">SUM(AV24:AV36)</f>
        <v>0</v>
      </c>
      <c r="AW23" s="18">
        <f t="shared" si="22"/>
        <v>0</v>
      </c>
      <c r="AX23" s="18">
        <f t="shared" si="22"/>
        <v>2129213</v>
      </c>
      <c r="AY23" s="18">
        <f t="shared" si="22"/>
        <v>179582</v>
      </c>
      <c r="AZ23" s="18">
        <f t="shared" si="22"/>
        <v>350937</v>
      </c>
      <c r="BA23" s="18">
        <f t="shared" si="22"/>
        <v>276126</v>
      </c>
      <c r="BB23" s="18">
        <f t="shared" si="22"/>
        <v>0</v>
      </c>
      <c r="BC23" s="18">
        <f t="shared" si="22"/>
        <v>0</v>
      </c>
      <c r="BD23" s="18">
        <f t="shared" si="22"/>
        <v>0</v>
      </c>
      <c r="BE23" s="18">
        <f t="shared" si="22"/>
        <v>0</v>
      </c>
      <c r="BF23" s="18">
        <f t="shared" si="22"/>
        <v>0</v>
      </c>
      <c r="BG23" s="18">
        <f t="shared" si="22"/>
        <v>0</v>
      </c>
      <c r="BH23" s="18">
        <f t="shared" si="22"/>
        <v>0</v>
      </c>
      <c r="BI23" s="18">
        <f t="shared" si="22"/>
        <v>0</v>
      </c>
      <c r="BJ23" s="18">
        <f t="shared" ref="BJ23" si="23">SUM(BJ24:BJ36)</f>
        <v>0</v>
      </c>
      <c r="BK23" s="18">
        <f t="shared" si="22"/>
        <v>0</v>
      </c>
      <c r="BL23" s="18">
        <f t="shared" si="22"/>
        <v>0</v>
      </c>
      <c r="BM23" s="18">
        <f t="shared" si="22"/>
        <v>0</v>
      </c>
      <c r="BN23" s="18">
        <f t="shared" si="22"/>
        <v>276126</v>
      </c>
      <c r="BO23" s="18">
        <f t="shared" si="22"/>
        <v>0</v>
      </c>
      <c r="BP23" s="18">
        <f t="shared" si="22"/>
        <v>0</v>
      </c>
      <c r="BQ23" s="18">
        <f t="shared" si="22"/>
        <v>10670</v>
      </c>
      <c r="BR23" s="18">
        <f t="shared" si="22"/>
        <v>0</v>
      </c>
      <c r="BS23" s="18">
        <f t="shared" si="22"/>
        <v>0</v>
      </c>
      <c r="BT23" s="18">
        <f t="shared" si="22"/>
        <v>0</v>
      </c>
      <c r="BU23" s="18">
        <f t="shared" si="22"/>
        <v>0</v>
      </c>
      <c r="BV23" s="18">
        <f t="shared" si="22"/>
        <v>0</v>
      </c>
      <c r="BW23" s="18">
        <f t="shared" si="22"/>
        <v>0</v>
      </c>
      <c r="BX23" s="18">
        <f t="shared" si="22"/>
        <v>265456</v>
      </c>
      <c r="BY23" s="18">
        <f t="shared" si="22"/>
        <v>0</v>
      </c>
      <c r="BZ23" s="18">
        <f t="shared" si="22"/>
        <v>6288408</v>
      </c>
      <c r="CA23" s="18">
        <f t="shared" si="22"/>
        <v>6288408</v>
      </c>
      <c r="CB23" s="18">
        <f t="shared" si="22"/>
        <v>2625655</v>
      </c>
      <c r="CC23" s="18">
        <f t="shared" si="22"/>
        <v>0</v>
      </c>
      <c r="CD23" s="18">
        <f t="shared" si="22"/>
        <v>2625655</v>
      </c>
      <c r="CE23" s="18">
        <f t="shared" si="22"/>
        <v>747556</v>
      </c>
      <c r="CF23" s="18">
        <f t="shared" si="22"/>
        <v>0</v>
      </c>
      <c r="CG23" s="18">
        <f t="shared" si="22"/>
        <v>0</v>
      </c>
      <c r="CH23" s="18">
        <f t="shared" si="22"/>
        <v>747556</v>
      </c>
      <c r="CI23" s="18">
        <f t="shared" si="22"/>
        <v>0</v>
      </c>
      <c r="CJ23" s="18">
        <f t="shared" ref="CJ23" si="24">SUM(CJ24:CJ36)</f>
        <v>0</v>
      </c>
      <c r="CK23" s="18">
        <f t="shared" si="22"/>
        <v>2915197</v>
      </c>
      <c r="CL23" s="18">
        <f t="shared" si="22"/>
        <v>0</v>
      </c>
      <c r="CM23" s="18">
        <f t="shared" si="22"/>
        <v>0</v>
      </c>
      <c r="CN23" s="18">
        <f t="shared" si="22"/>
        <v>2915197</v>
      </c>
      <c r="CO23" s="18"/>
      <c r="CP23" s="18"/>
      <c r="CQ23" s="18"/>
      <c r="CR23" s="18"/>
      <c r="CS23" s="18">
        <f t="shared" ref="CS23:CZ23" si="25">SUM(CS24:CS36)</f>
        <v>0</v>
      </c>
      <c r="CT23" s="18"/>
      <c r="CU23" s="18"/>
      <c r="CV23" s="18"/>
      <c r="CW23" s="18">
        <f t="shared" si="25"/>
        <v>0</v>
      </c>
      <c r="CX23" s="18">
        <f t="shared" si="25"/>
        <v>0</v>
      </c>
      <c r="CY23" s="18">
        <f t="shared" si="25"/>
        <v>0</v>
      </c>
      <c r="CZ23" s="46">
        <f t="shared" si="25"/>
        <v>0</v>
      </c>
      <c r="DA23" s="57"/>
    </row>
    <row r="24" spans="1:105" ht="31.5" x14ac:dyDescent="0.25">
      <c r="A24" s="80" t="s">
        <v>1</v>
      </c>
      <c r="B24" s="21" t="s">
        <v>80</v>
      </c>
      <c r="C24" s="22" t="s">
        <v>81</v>
      </c>
      <c r="D24" s="18">
        <f t="shared" ref="D24:D36" si="26">SUM(E24+BZ24+CW24)</f>
        <v>27569853</v>
      </c>
      <c r="E24" s="19">
        <f t="shared" ref="E24:E36" si="27">SUM(F24+BA24)</f>
        <v>25329856</v>
      </c>
      <c r="F24" s="19">
        <f t="shared" ref="F24:F36" si="28">SUM(G24+H24+I24+P24+S24+T24+U24+AD24)</f>
        <v>25329856</v>
      </c>
      <c r="G24" s="23">
        <v>18009165</v>
      </c>
      <c r="H24" s="23">
        <v>4300989</v>
      </c>
      <c r="I24" s="19">
        <f t="shared" si="6"/>
        <v>1311867</v>
      </c>
      <c r="J24" s="23">
        <v>0</v>
      </c>
      <c r="K24" s="23">
        <v>0</v>
      </c>
      <c r="L24" s="23">
        <v>0</v>
      </c>
      <c r="M24" s="23">
        <v>0</v>
      </c>
      <c r="N24" s="23">
        <v>1007417</v>
      </c>
      <c r="O24" s="23">
        <v>304450</v>
      </c>
      <c r="P24" s="19">
        <f t="shared" si="7"/>
        <v>286632</v>
      </c>
      <c r="Q24" s="23">
        <v>0</v>
      </c>
      <c r="R24" s="23">
        <v>286632</v>
      </c>
      <c r="S24" s="23">
        <v>0</v>
      </c>
      <c r="T24" s="23">
        <v>210240</v>
      </c>
      <c r="U24" s="19">
        <f t="shared" ref="U24:U36" si="29">SUM(V24:AC24)</f>
        <v>352004</v>
      </c>
      <c r="V24" s="23">
        <v>57592</v>
      </c>
      <c r="W24" s="23">
        <v>70668</v>
      </c>
      <c r="X24" s="23">
        <v>116568</v>
      </c>
      <c r="Y24" s="23">
        <v>22975</v>
      </c>
      <c r="Z24" s="23">
        <v>15357</v>
      </c>
      <c r="AA24" s="23">
        <v>62200</v>
      </c>
      <c r="AB24" s="23">
        <v>0</v>
      </c>
      <c r="AC24" s="23">
        <v>6644</v>
      </c>
      <c r="AD24" s="19">
        <f t="shared" ref="AD24:AD36" si="30">SUM(AE24:AZ24)</f>
        <v>858959</v>
      </c>
      <c r="AE24" s="19">
        <v>0</v>
      </c>
      <c r="AF24" s="24">
        <v>0</v>
      </c>
      <c r="AG24" s="23">
        <v>57420</v>
      </c>
      <c r="AH24" s="23">
        <v>48101</v>
      </c>
      <c r="AI24" s="23">
        <v>0</v>
      </c>
      <c r="AJ24" s="23">
        <v>2826</v>
      </c>
      <c r="AK24" s="23">
        <v>0</v>
      </c>
      <c r="AL24" s="23">
        <v>123406</v>
      </c>
      <c r="AM24" s="23">
        <v>59685</v>
      </c>
      <c r="AN24" s="23">
        <v>45674</v>
      </c>
      <c r="AO24" s="23">
        <v>245</v>
      </c>
      <c r="AP24" s="23"/>
      <c r="AQ24" s="23">
        <v>0</v>
      </c>
      <c r="AR24" s="23">
        <v>33766</v>
      </c>
      <c r="AS24" s="23">
        <v>9581</v>
      </c>
      <c r="AT24" s="23">
        <v>0</v>
      </c>
      <c r="AU24" s="23">
        <v>0</v>
      </c>
      <c r="AV24" s="23">
        <v>0</v>
      </c>
      <c r="AW24" s="23">
        <v>0</v>
      </c>
      <c r="AX24" s="23">
        <v>317232</v>
      </c>
      <c r="AY24" s="23">
        <v>0</v>
      </c>
      <c r="AZ24" s="23">
        <v>161023</v>
      </c>
      <c r="BA24" s="19">
        <f t="shared" ref="BA24:BA36" si="31">SUM(BB24+BF24+BI24+BK24+BN24)</f>
        <v>0</v>
      </c>
      <c r="BB24" s="19">
        <f t="shared" ref="BB24:BB36" si="32">SUM(BC24:BE24)</f>
        <v>0</v>
      </c>
      <c r="BC24" s="19">
        <v>0</v>
      </c>
      <c r="BD24" s="19">
        <v>0</v>
      </c>
      <c r="BE24" s="19">
        <v>0</v>
      </c>
      <c r="BF24" s="19">
        <f t="shared" ref="BF24:BF36" si="33">SUM(BH24:BH24)</f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f t="shared" si="8"/>
        <v>0</v>
      </c>
      <c r="BL24" s="19">
        <v>0</v>
      </c>
      <c r="BM24" s="19">
        <v>0</v>
      </c>
      <c r="BN24" s="19">
        <f t="shared" ref="BN24:BN36" si="34">SUM(BO24:BY24)</f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0</v>
      </c>
      <c r="BT24" s="19">
        <v>0</v>
      </c>
      <c r="BU24" s="19">
        <v>0</v>
      </c>
      <c r="BV24" s="19">
        <v>0</v>
      </c>
      <c r="BW24" s="19">
        <v>0</v>
      </c>
      <c r="BX24" s="23">
        <v>0</v>
      </c>
      <c r="BY24" s="23">
        <v>0</v>
      </c>
      <c r="BZ24" s="19">
        <f t="shared" ref="BZ24:BZ36" si="35">SUM(CA24+CS24)</f>
        <v>2239997</v>
      </c>
      <c r="CA24" s="19">
        <f t="shared" ref="CA24:CA36" si="36">SUM(CB24+CE24+CK24)</f>
        <v>2239997</v>
      </c>
      <c r="CB24" s="19">
        <f t="shared" si="9"/>
        <v>239997</v>
      </c>
      <c r="CC24" s="19">
        <v>0</v>
      </c>
      <c r="CD24" s="23">
        <v>239997</v>
      </c>
      <c r="CE24" s="19">
        <f t="shared" ref="CE24:CE36" si="37">SUM(CF24:CJ24)</f>
        <v>0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f t="shared" ref="CK24:CK36" si="38">SUM(CL24:CP24)</f>
        <v>2000000</v>
      </c>
      <c r="CL24" s="19">
        <v>0</v>
      </c>
      <c r="CM24" s="19">
        <v>0</v>
      </c>
      <c r="CN24" s="19">
        <v>2000000</v>
      </c>
      <c r="CO24" s="19"/>
      <c r="CP24" s="19"/>
      <c r="CQ24" s="19"/>
      <c r="CR24" s="19"/>
      <c r="CS24" s="19">
        <v>0</v>
      </c>
      <c r="CT24" s="19"/>
      <c r="CU24" s="19"/>
      <c r="CV24" s="19"/>
      <c r="CW24" s="19">
        <f t="shared" si="10"/>
        <v>0</v>
      </c>
      <c r="CX24" s="19">
        <f t="shared" si="11"/>
        <v>0</v>
      </c>
      <c r="CY24" s="19">
        <v>0</v>
      </c>
      <c r="CZ24" s="20">
        <v>0</v>
      </c>
    </row>
    <row r="25" spans="1:105" ht="31.5" x14ac:dyDescent="0.25">
      <c r="A25" s="80" t="s">
        <v>1</v>
      </c>
      <c r="B25" s="21" t="s">
        <v>82</v>
      </c>
      <c r="C25" s="22" t="s">
        <v>83</v>
      </c>
      <c r="D25" s="18">
        <f t="shared" si="26"/>
        <v>5888416</v>
      </c>
      <c r="E25" s="19">
        <f t="shared" si="27"/>
        <v>5823154</v>
      </c>
      <c r="F25" s="19">
        <f t="shared" si="28"/>
        <v>5823154</v>
      </c>
      <c r="G25" s="23">
        <f>5225778-919242</f>
        <v>4306536</v>
      </c>
      <c r="H25" s="23">
        <f>1228166-151101</f>
        <v>1077065</v>
      </c>
      <c r="I25" s="19">
        <f t="shared" si="6"/>
        <v>168145</v>
      </c>
      <c r="J25" s="23">
        <v>9189</v>
      </c>
      <c r="K25" s="23">
        <v>0</v>
      </c>
      <c r="L25" s="23">
        <v>0</v>
      </c>
      <c r="M25" s="23">
        <v>0</v>
      </c>
      <c r="N25" s="23">
        <v>107738</v>
      </c>
      <c r="O25" s="23">
        <v>51218</v>
      </c>
      <c r="P25" s="19">
        <f t="shared" si="7"/>
        <v>4319</v>
      </c>
      <c r="Q25" s="23">
        <v>0</v>
      </c>
      <c r="R25" s="23">
        <v>4319</v>
      </c>
      <c r="S25" s="23">
        <v>0</v>
      </c>
      <c r="T25" s="23">
        <v>105906</v>
      </c>
      <c r="U25" s="19">
        <f t="shared" si="29"/>
        <v>66692</v>
      </c>
      <c r="V25" s="23">
        <v>0</v>
      </c>
      <c r="W25" s="23">
        <v>27866</v>
      </c>
      <c r="X25" s="23">
        <v>25994</v>
      </c>
      <c r="Y25" s="23">
        <v>4293</v>
      </c>
      <c r="Z25" s="23">
        <v>6145</v>
      </c>
      <c r="AA25" s="23">
        <v>0</v>
      </c>
      <c r="AB25" s="23">
        <v>0</v>
      </c>
      <c r="AC25" s="23">
        <v>2394</v>
      </c>
      <c r="AD25" s="19">
        <f t="shared" si="30"/>
        <v>94491</v>
      </c>
      <c r="AE25" s="19">
        <v>0</v>
      </c>
      <c r="AF25" s="24">
        <v>0</v>
      </c>
      <c r="AG25" s="23">
        <v>8037</v>
      </c>
      <c r="AH25" s="23">
        <v>0</v>
      </c>
      <c r="AI25" s="23">
        <v>0</v>
      </c>
      <c r="AJ25" s="23">
        <v>1200</v>
      </c>
      <c r="AK25" s="23">
        <v>0</v>
      </c>
      <c r="AL25" s="23">
        <v>0</v>
      </c>
      <c r="AM25" s="23">
        <v>5775</v>
      </c>
      <c r="AN25" s="23">
        <v>13130</v>
      </c>
      <c r="AO25" s="23">
        <v>0</v>
      </c>
      <c r="AP25" s="23"/>
      <c r="AQ25" s="23">
        <v>0</v>
      </c>
      <c r="AR25" s="23">
        <v>34967</v>
      </c>
      <c r="AS25" s="23">
        <v>20370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11012</v>
      </c>
      <c r="BA25" s="19">
        <f t="shared" si="31"/>
        <v>0</v>
      </c>
      <c r="BB25" s="19">
        <f t="shared" si="32"/>
        <v>0</v>
      </c>
      <c r="BC25" s="19">
        <v>0</v>
      </c>
      <c r="BD25" s="19">
        <v>0</v>
      </c>
      <c r="BE25" s="19">
        <v>0</v>
      </c>
      <c r="BF25" s="19">
        <f t="shared" si="33"/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f t="shared" si="8"/>
        <v>0</v>
      </c>
      <c r="BL25" s="19">
        <v>0</v>
      </c>
      <c r="BM25" s="19">
        <v>0</v>
      </c>
      <c r="BN25" s="19">
        <f t="shared" si="34"/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0</v>
      </c>
      <c r="BT25" s="19">
        <v>0</v>
      </c>
      <c r="BU25" s="19">
        <v>0</v>
      </c>
      <c r="BV25" s="19">
        <v>0</v>
      </c>
      <c r="BW25" s="19">
        <v>0</v>
      </c>
      <c r="BX25" s="23">
        <v>0</v>
      </c>
      <c r="BY25" s="23">
        <v>0</v>
      </c>
      <c r="BZ25" s="19">
        <f t="shared" si="35"/>
        <v>65262</v>
      </c>
      <c r="CA25" s="19">
        <f t="shared" si="36"/>
        <v>65262</v>
      </c>
      <c r="CB25" s="19">
        <f t="shared" si="9"/>
        <v>65262</v>
      </c>
      <c r="CC25" s="19">
        <v>0</v>
      </c>
      <c r="CD25" s="23">
        <v>65262</v>
      </c>
      <c r="CE25" s="19">
        <f t="shared" si="37"/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f t="shared" si="38"/>
        <v>0</v>
      </c>
      <c r="CL25" s="19">
        <v>0</v>
      </c>
      <c r="CM25" s="19">
        <v>0</v>
      </c>
      <c r="CN25" s="19">
        <v>0</v>
      </c>
      <c r="CO25" s="19"/>
      <c r="CP25" s="19"/>
      <c r="CQ25" s="19"/>
      <c r="CR25" s="19"/>
      <c r="CS25" s="19">
        <v>0</v>
      </c>
      <c r="CT25" s="19"/>
      <c r="CU25" s="19"/>
      <c r="CV25" s="19"/>
      <c r="CW25" s="19">
        <f t="shared" si="10"/>
        <v>0</v>
      </c>
      <c r="CX25" s="19">
        <f t="shared" si="11"/>
        <v>0</v>
      </c>
      <c r="CY25" s="19">
        <v>0</v>
      </c>
      <c r="CZ25" s="20">
        <v>0</v>
      </c>
    </row>
    <row r="26" spans="1:105" ht="31.5" x14ac:dyDescent="0.25">
      <c r="A26" s="80" t="s">
        <v>1</v>
      </c>
      <c r="B26" s="21" t="s">
        <v>84</v>
      </c>
      <c r="C26" s="22" t="s">
        <v>85</v>
      </c>
      <c r="D26" s="18">
        <f t="shared" si="26"/>
        <v>9562563</v>
      </c>
      <c r="E26" s="19">
        <f t="shared" si="27"/>
        <v>9507307</v>
      </c>
      <c r="F26" s="19">
        <f t="shared" si="28"/>
        <v>9496637</v>
      </c>
      <c r="G26" s="23">
        <v>5932896</v>
      </c>
      <c r="H26" s="23">
        <v>1410411</v>
      </c>
      <c r="I26" s="19">
        <f t="shared" si="6"/>
        <v>417333</v>
      </c>
      <c r="J26" s="23">
        <v>0</v>
      </c>
      <c r="K26" s="23">
        <v>0</v>
      </c>
      <c r="L26" s="23">
        <v>0</v>
      </c>
      <c r="M26" s="23">
        <v>0</v>
      </c>
      <c r="N26" s="23">
        <v>50821</v>
      </c>
      <c r="O26" s="23">
        <v>366512</v>
      </c>
      <c r="P26" s="19">
        <f t="shared" si="7"/>
        <v>211550</v>
      </c>
      <c r="Q26" s="23">
        <v>0</v>
      </c>
      <c r="R26" s="23">
        <v>211550</v>
      </c>
      <c r="S26" s="23">
        <v>0</v>
      </c>
      <c r="T26" s="23">
        <v>63523</v>
      </c>
      <c r="U26" s="19">
        <f t="shared" si="29"/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19">
        <f t="shared" si="30"/>
        <v>1460924</v>
      </c>
      <c r="AE26" s="19">
        <v>0</v>
      </c>
      <c r="AF26" s="24">
        <v>0</v>
      </c>
      <c r="AG26" s="23">
        <v>4147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663</v>
      </c>
      <c r="AN26" s="23">
        <v>10754</v>
      </c>
      <c r="AO26" s="23">
        <v>0</v>
      </c>
      <c r="AP26" s="23"/>
      <c r="AQ26" s="23">
        <v>0</v>
      </c>
      <c r="AR26" s="23">
        <v>0</v>
      </c>
      <c r="AS26" s="23">
        <v>69200</v>
      </c>
      <c r="AT26" s="23">
        <v>0</v>
      </c>
      <c r="AU26" s="23">
        <v>0</v>
      </c>
      <c r="AV26" s="23">
        <v>0</v>
      </c>
      <c r="AW26" s="23">
        <v>0</v>
      </c>
      <c r="AX26" s="23">
        <v>1376160</v>
      </c>
      <c r="AY26" s="23">
        <v>0</v>
      </c>
      <c r="AZ26" s="23">
        <v>0</v>
      </c>
      <c r="BA26" s="19">
        <f t="shared" si="31"/>
        <v>10670</v>
      </c>
      <c r="BB26" s="19">
        <f t="shared" si="32"/>
        <v>0</v>
      </c>
      <c r="BC26" s="19">
        <v>0</v>
      </c>
      <c r="BD26" s="19">
        <v>0</v>
      </c>
      <c r="BE26" s="19">
        <v>0</v>
      </c>
      <c r="BF26" s="19">
        <f t="shared" si="33"/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f t="shared" si="8"/>
        <v>0</v>
      </c>
      <c r="BL26" s="19">
        <v>0</v>
      </c>
      <c r="BM26" s="19">
        <v>0</v>
      </c>
      <c r="BN26" s="19">
        <f t="shared" si="34"/>
        <v>10670</v>
      </c>
      <c r="BO26" s="19">
        <v>0</v>
      </c>
      <c r="BP26" s="19">
        <v>0</v>
      </c>
      <c r="BQ26" s="19">
        <v>10670</v>
      </c>
      <c r="BR26" s="19">
        <v>0</v>
      </c>
      <c r="BS26" s="19">
        <v>0</v>
      </c>
      <c r="BT26" s="19">
        <v>0</v>
      </c>
      <c r="BU26" s="19">
        <v>0</v>
      </c>
      <c r="BV26" s="19">
        <v>0</v>
      </c>
      <c r="BW26" s="19">
        <v>0</v>
      </c>
      <c r="BX26" s="23">
        <v>0</v>
      </c>
      <c r="BY26" s="23">
        <v>0</v>
      </c>
      <c r="BZ26" s="19">
        <f t="shared" si="35"/>
        <v>55256</v>
      </c>
      <c r="CA26" s="19">
        <f t="shared" si="36"/>
        <v>55256</v>
      </c>
      <c r="CB26" s="19">
        <f t="shared" si="9"/>
        <v>55256</v>
      </c>
      <c r="CC26" s="19">
        <v>0</v>
      </c>
      <c r="CD26" s="23">
        <v>55256</v>
      </c>
      <c r="CE26" s="19">
        <f t="shared" si="37"/>
        <v>0</v>
      </c>
      <c r="CF26" s="19">
        <v>0</v>
      </c>
      <c r="CG26" s="19">
        <v>0</v>
      </c>
      <c r="CH26" s="19">
        <v>0</v>
      </c>
      <c r="CI26" s="19">
        <v>0</v>
      </c>
      <c r="CJ26" s="19">
        <v>0</v>
      </c>
      <c r="CK26" s="19">
        <f t="shared" si="38"/>
        <v>0</v>
      </c>
      <c r="CL26" s="19">
        <v>0</v>
      </c>
      <c r="CM26" s="19">
        <v>0</v>
      </c>
      <c r="CN26" s="19">
        <v>0</v>
      </c>
      <c r="CO26" s="19"/>
      <c r="CP26" s="19"/>
      <c r="CQ26" s="19"/>
      <c r="CR26" s="19"/>
      <c r="CS26" s="19">
        <v>0</v>
      </c>
      <c r="CT26" s="19"/>
      <c r="CU26" s="19"/>
      <c r="CV26" s="19"/>
      <c r="CW26" s="19">
        <f t="shared" si="10"/>
        <v>0</v>
      </c>
      <c r="CX26" s="19">
        <f t="shared" si="11"/>
        <v>0</v>
      </c>
      <c r="CY26" s="19">
        <v>0</v>
      </c>
      <c r="CZ26" s="20">
        <v>0</v>
      </c>
    </row>
    <row r="27" spans="1:105" ht="31.5" x14ac:dyDescent="0.25">
      <c r="A27" s="80" t="s">
        <v>1</v>
      </c>
      <c r="B27" s="21" t="s">
        <v>86</v>
      </c>
      <c r="C27" s="22" t="s">
        <v>87</v>
      </c>
      <c r="D27" s="18">
        <f t="shared" si="26"/>
        <v>6241835</v>
      </c>
      <c r="E27" s="19">
        <f t="shared" si="27"/>
        <v>6123103</v>
      </c>
      <c r="F27" s="19">
        <f t="shared" si="28"/>
        <v>6116202</v>
      </c>
      <c r="G27" s="23">
        <v>3499641</v>
      </c>
      <c r="H27" s="23">
        <v>834664</v>
      </c>
      <c r="I27" s="19">
        <f t="shared" si="6"/>
        <v>194542</v>
      </c>
      <c r="J27" s="23">
        <v>0</v>
      </c>
      <c r="K27" s="23">
        <v>0</v>
      </c>
      <c r="L27" s="23">
        <v>0</v>
      </c>
      <c r="M27" s="23">
        <v>0</v>
      </c>
      <c r="N27" s="23">
        <v>177955</v>
      </c>
      <c r="O27" s="23">
        <v>16587</v>
      </c>
      <c r="P27" s="19">
        <f t="shared" si="7"/>
        <v>27449</v>
      </c>
      <c r="Q27" s="23">
        <v>0</v>
      </c>
      <c r="R27" s="23">
        <v>27449</v>
      </c>
      <c r="S27" s="23">
        <v>0</v>
      </c>
      <c r="T27" s="23">
        <v>1294629</v>
      </c>
      <c r="U27" s="19">
        <f t="shared" si="29"/>
        <v>136720</v>
      </c>
      <c r="V27" s="23">
        <v>4915</v>
      </c>
      <c r="W27" s="23">
        <v>87661</v>
      </c>
      <c r="X27" s="23">
        <v>31485</v>
      </c>
      <c r="Y27" s="23">
        <v>5803</v>
      </c>
      <c r="Z27" s="23">
        <v>6856</v>
      </c>
      <c r="AA27" s="23">
        <v>0</v>
      </c>
      <c r="AB27" s="23">
        <v>0</v>
      </c>
      <c r="AC27" s="23">
        <v>0</v>
      </c>
      <c r="AD27" s="19">
        <f t="shared" si="30"/>
        <v>128557</v>
      </c>
      <c r="AE27" s="19">
        <v>0</v>
      </c>
      <c r="AF27" s="24">
        <v>0</v>
      </c>
      <c r="AG27" s="23">
        <v>0</v>
      </c>
      <c r="AH27" s="23">
        <v>792</v>
      </c>
      <c r="AI27" s="23">
        <v>0</v>
      </c>
      <c r="AJ27" s="23">
        <v>1655</v>
      </c>
      <c r="AK27" s="23">
        <v>295</v>
      </c>
      <c r="AL27" s="23">
        <v>1485</v>
      </c>
      <c r="AM27" s="23">
        <v>27286</v>
      </c>
      <c r="AN27" s="23">
        <v>13386</v>
      </c>
      <c r="AO27" s="23">
        <v>0</v>
      </c>
      <c r="AP27" s="23"/>
      <c r="AQ27" s="23">
        <v>0</v>
      </c>
      <c r="AR27" s="23">
        <v>18617</v>
      </c>
      <c r="AS27" s="23">
        <v>64920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121</v>
      </c>
      <c r="BA27" s="19">
        <f t="shared" si="31"/>
        <v>6901</v>
      </c>
      <c r="BB27" s="19">
        <f t="shared" si="32"/>
        <v>0</v>
      </c>
      <c r="BC27" s="19">
        <v>0</v>
      </c>
      <c r="BD27" s="19">
        <v>0</v>
      </c>
      <c r="BE27" s="19">
        <v>0</v>
      </c>
      <c r="BF27" s="19">
        <f t="shared" si="33"/>
        <v>0</v>
      </c>
      <c r="BG27" s="19">
        <v>0</v>
      </c>
      <c r="BH27" s="19">
        <v>0</v>
      </c>
      <c r="BI27" s="19">
        <v>0</v>
      </c>
      <c r="BJ27" s="19">
        <v>0</v>
      </c>
      <c r="BK27" s="19">
        <f t="shared" si="8"/>
        <v>0</v>
      </c>
      <c r="BL27" s="19">
        <v>0</v>
      </c>
      <c r="BM27" s="19">
        <v>0</v>
      </c>
      <c r="BN27" s="19">
        <f t="shared" si="34"/>
        <v>6901</v>
      </c>
      <c r="BO27" s="19">
        <v>0</v>
      </c>
      <c r="BP27" s="19">
        <v>0</v>
      </c>
      <c r="BQ27" s="19">
        <v>0</v>
      </c>
      <c r="BR27" s="19">
        <v>0</v>
      </c>
      <c r="BS27" s="19">
        <v>0</v>
      </c>
      <c r="BT27" s="19">
        <v>0</v>
      </c>
      <c r="BU27" s="19">
        <v>0</v>
      </c>
      <c r="BV27" s="19">
        <v>0</v>
      </c>
      <c r="BW27" s="19">
        <v>0</v>
      </c>
      <c r="BX27" s="23">
        <v>6901</v>
      </c>
      <c r="BY27" s="23">
        <v>0</v>
      </c>
      <c r="BZ27" s="19">
        <f t="shared" si="35"/>
        <v>118732</v>
      </c>
      <c r="CA27" s="19">
        <f t="shared" si="36"/>
        <v>118732</v>
      </c>
      <c r="CB27" s="19">
        <f t="shared" si="9"/>
        <v>118732</v>
      </c>
      <c r="CC27" s="19">
        <v>0</v>
      </c>
      <c r="CD27" s="23">
        <v>118732</v>
      </c>
      <c r="CE27" s="19">
        <f t="shared" si="37"/>
        <v>0</v>
      </c>
      <c r="CF27" s="19">
        <v>0</v>
      </c>
      <c r="CG27" s="19">
        <v>0</v>
      </c>
      <c r="CH27" s="19">
        <v>0</v>
      </c>
      <c r="CI27" s="19">
        <v>0</v>
      </c>
      <c r="CJ27" s="19">
        <v>0</v>
      </c>
      <c r="CK27" s="19">
        <f t="shared" si="38"/>
        <v>0</v>
      </c>
      <c r="CL27" s="19">
        <v>0</v>
      </c>
      <c r="CM27" s="19">
        <v>0</v>
      </c>
      <c r="CN27" s="19">
        <v>0</v>
      </c>
      <c r="CO27" s="19"/>
      <c r="CP27" s="19"/>
      <c r="CQ27" s="19"/>
      <c r="CR27" s="19"/>
      <c r="CS27" s="19">
        <v>0</v>
      </c>
      <c r="CT27" s="19"/>
      <c r="CU27" s="19"/>
      <c r="CV27" s="19"/>
      <c r="CW27" s="19">
        <f t="shared" si="10"/>
        <v>0</v>
      </c>
      <c r="CX27" s="19">
        <f t="shared" si="11"/>
        <v>0</v>
      </c>
      <c r="CY27" s="19">
        <v>0</v>
      </c>
      <c r="CZ27" s="20">
        <v>0</v>
      </c>
    </row>
    <row r="28" spans="1:105" ht="15.75" x14ac:dyDescent="0.25">
      <c r="A28" s="80" t="s">
        <v>1</v>
      </c>
      <c r="B28" s="21" t="s">
        <v>88</v>
      </c>
      <c r="C28" s="22" t="s">
        <v>89</v>
      </c>
      <c r="D28" s="18">
        <f t="shared" si="26"/>
        <v>9163609</v>
      </c>
      <c r="E28" s="19">
        <f t="shared" si="27"/>
        <v>7938930</v>
      </c>
      <c r="F28" s="19">
        <f t="shared" si="28"/>
        <v>7931645</v>
      </c>
      <c r="G28" s="23">
        <v>5928844</v>
      </c>
      <c r="H28" s="23">
        <v>1428736</v>
      </c>
      <c r="I28" s="19">
        <f t="shared" si="6"/>
        <v>279079</v>
      </c>
      <c r="J28" s="23">
        <v>0</v>
      </c>
      <c r="K28" s="23">
        <v>45370</v>
      </c>
      <c r="L28" s="23"/>
      <c r="M28" s="23"/>
      <c r="N28" s="23">
        <v>155930</v>
      </c>
      <c r="O28" s="23">
        <v>77779</v>
      </c>
      <c r="P28" s="19">
        <f t="shared" si="7"/>
        <v>5380</v>
      </c>
      <c r="Q28" s="23">
        <v>0</v>
      </c>
      <c r="R28" s="23">
        <v>5380</v>
      </c>
      <c r="S28" s="23">
        <v>0</v>
      </c>
      <c r="T28" s="23">
        <v>83527</v>
      </c>
      <c r="U28" s="19">
        <f t="shared" si="29"/>
        <v>96096</v>
      </c>
      <c r="V28" s="23">
        <v>13094</v>
      </c>
      <c r="W28" s="23">
        <v>24526</v>
      </c>
      <c r="X28" s="23">
        <v>41284</v>
      </c>
      <c r="Y28" s="23">
        <v>9743</v>
      </c>
      <c r="Z28" s="23">
        <v>2578</v>
      </c>
      <c r="AA28" s="23">
        <v>0</v>
      </c>
      <c r="AB28" s="23">
        <v>0</v>
      </c>
      <c r="AC28" s="23">
        <v>4871</v>
      </c>
      <c r="AD28" s="19">
        <f t="shared" si="30"/>
        <v>109983</v>
      </c>
      <c r="AE28" s="19">
        <v>0</v>
      </c>
      <c r="AF28" s="24">
        <v>0</v>
      </c>
      <c r="AG28" s="23">
        <v>5460</v>
      </c>
      <c r="AH28" s="23">
        <v>37966</v>
      </c>
      <c r="AI28" s="23">
        <v>0</v>
      </c>
      <c r="AJ28" s="23">
        <v>11078</v>
      </c>
      <c r="AK28" s="23">
        <v>0</v>
      </c>
      <c r="AL28" s="23">
        <v>0</v>
      </c>
      <c r="AM28" s="23">
        <v>423</v>
      </c>
      <c r="AN28" s="23">
        <v>25026</v>
      </c>
      <c r="AO28" s="23">
        <v>0</v>
      </c>
      <c r="AP28" s="23"/>
      <c r="AQ28" s="23">
        <v>0</v>
      </c>
      <c r="AR28" s="23">
        <v>0</v>
      </c>
      <c r="AS28" s="23">
        <v>0</v>
      </c>
      <c r="AT28" s="23">
        <v>0</v>
      </c>
      <c r="AU28" s="23">
        <v>0</v>
      </c>
      <c r="AV28" s="23">
        <v>0</v>
      </c>
      <c r="AW28" s="23">
        <v>0</v>
      </c>
      <c r="AX28" s="23">
        <v>26352</v>
      </c>
      <c r="AY28" s="23">
        <v>0</v>
      </c>
      <c r="AZ28" s="23">
        <v>3678</v>
      </c>
      <c r="BA28" s="19">
        <f t="shared" si="31"/>
        <v>7285</v>
      </c>
      <c r="BB28" s="19">
        <f t="shared" si="32"/>
        <v>0</v>
      </c>
      <c r="BC28" s="19">
        <v>0</v>
      </c>
      <c r="BD28" s="19">
        <v>0</v>
      </c>
      <c r="BE28" s="19">
        <v>0</v>
      </c>
      <c r="BF28" s="19">
        <f t="shared" si="33"/>
        <v>0</v>
      </c>
      <c r="BG28" s="19">
        <v>0</v>
      </c>
      <c r="BH28" s="19">
        <v>0</v>
      </c>
      <c r="BI28" s="19">
        <v>0</v>
      </c>
      <c r="BJ28" s="19">
        <v>0</v>
      </c>
      <c r="BK28" s="19">
        <f t="shared" si="8"/>
        <v>0</v>
      </c>
      <c r="BL28" s="19">
        <v>0</v>
      </c>
      <c r="BM28" s="19">
        <v>0</v>
      </c>
      <c r="BN28" s="19">
        <f t="shared" si="34"/>
        <v>7285</v>
      </c>
      <c r="BO28" s="19">
        <v>0</v>
      </c>
      <c r="BP28" s="19">
        <v>0</v>
      </c>
      <c r="BQ28" s="19">
        <v>0</v>
      </c>
      <c r="BR28" s="19">
        <v>0</v>
      </c>
      <c r="BS28" s="19">
        <v>0</v>
      </c>
      <c r="BT28" s="19">
        <v>0</v>
      </c>
      <c r="BU28" s="19">
        <v>0</v>
      </c>
      <c r="BV28" s="19">
        <v>0</v>
      </c>
      <c r="BW28" s="19">
        <v>0</v>
      </c>
      <c r="BX28" s="23">
        <v>7285</v>
      </c>
      <c r="BY28" s="23">
        <v>0</v>
      </c>
      <c r="BZ28" s="19">
        <f t="shared" si="35"/>
        <v>1224679</v>
      </c>
      <c r="CA28" s="19">
        <f t="shared" si="36"/>
        <v>1224679</v>
      </c>
      <c r="CB28" s="19">
        <f t="shared" si="9"/>
        <v>487448</v>
      </c>
      <c r="CC28" s="19">
        <v>0</v>
      </c>
      <c r="CD28" s="23">
        <v>487448</v>
      </c>
      <c r="CE28" s="19">
        <f t="shared" si="37"/>
        <v>0</v>
      </c>
      <c r="CF28" s="19">
        <v>0</v>
      </c>
      <c r="CG28" s="19">
        <v>0</v>
      </c>
      <c r="CH28" s="19">
        <v>0</v>
      </c>
      <c r="CI28" s="19">
        <v>0</v>
      </c>
      <c r="CJ28" s="19">
        <v>0</v>
      </c>
      <c r="CK28" s="19">
        <f t="shared" si="38"/>
        <v>737231</v>
      </c>
      <c r="CL28" s="19">
        <v>0</v>
      </c>
      <c r="CM28" s="19">
        <v>0</v>
      </c>
      <c r="CN28" s="19">
        <v>737231</v>
      </c>
      <c r="CO28" s="19"/>
      <c r="CP28" s="19"/>
      <c r="CQ28" s="19"/>
      <c r="CR28" s="19"/>
      <c r="CS28" s="19">
        <v>0</v>
      </c>
      <c r="CT28" s="19"/>
      <c r="CU28" s="19"/>
      <c r="CV28" s="19"/>
      <c r="CW28" s="19">
        <f t="shared" si="10"/>
        <v>0</v>
      </c>
      <c r="CX28" s="19">
        <f t="shared" si="11"/>
        <v>0</v>
      </c>
      <c r="CY28" s="19">
        <v>0</v>
      </c>
      <c r="CZ28" s="20">
        <v>0</v>
      </c>
    </row>
    <row r="29" spans="1:105" ht="31.5" x14ac:dyDescent="0.25">
      <c r="A29" s="80" t="s">
        <v>1</v>
      </c>
      <c r="B29" s="21" t="s">
        <v>90</v>
      </c>
      <c r="C29" s="22" t="s">
        <v>91</v>
      </c>
      <c r="D29" s="18">
        <f t="shared" si="26"/>
        <v>8090983</v>
      </c>
      <c r="E29" s="19">
        <f t="shared" si="27"/>
        <v>8015738</v>
      </c>
      <c r="F29" s="19">
        <f t="shared" si="28"/>
        <v>7773670</v>
      </c>
      <c r="G29" s="23">
        <v>4386202</v>
      </c>
      <c r="H29" s="23">
        <v>1067538</v>
      </c>
      <c r="I29" s="19">
        <f t="shared" si="6"/>
        <v>370112</v>
      </c>
      <c r="J29" s="23">
        <v>0</v>
      </c>
      <c r="K29" s="23">
        <v>15015</v>
      </c>
      <c r="L29" s="23"/>
      <c r="M29" s="23"/>
      <c r="N29" s="23">
        <v>263918</v>
      </c>
      <c r="O29" s="23">
        <v>91179</v>
      </c>
      <c r="P29" s="19">
        <f t="shared" si="7"/>
        <v>598016</v>
      </c>
      <c r="Q29" s="23">
        <v>0</v>
      </c>
      <c r="R29" s="23">
        <v>598016</v>
      </c>
      <c r="S29" s="23">
        <v>0</v>
      </c>
      <c r="T29" s="23">
        <v>58119</v>
      </c>
      <c r="U29" s="19">
        <f t="shared" si="29"/>
        <v>70160</v>
      </c>
      <c r="V29" s="23">
        <v>15418</v>
      </c>
      <c r="W29" s="23">
        <v>0</v>
      </c>
      <c r="X29" s="23">
        <v>32891</v>
      </c>
      <c r="Y29" s="23">
        <v>8552</v>
      </c>
      <c r="Z29" s="23">
        <v>5472</v>
      </c>
      <c r="AA29" s="23">
        <v>0</v>
      </c>
      <c r="AB29" s="23">
        <v>0</v>
      </c>
      <c r="AC29" s="23">
        <v>7827</v>
      </c>
      <c r="AD29" s="19">
        <f t="shared" si="30"/>
        <v>1223523</v>
      </c>
      <c r="AE29" s="19">
        <v>0</v>
      </c>
      <c r="AF29" s="24">
        <v>0</v>
      </c>
      <c r="AG29" s="23">
        <v>8346</v>
      </c>
      <c r="AH29" s="23">
        <v>31615</v>
      </c>
      <c r="AI29" s="23">
        <v>0</v>
      </c>
      <c r="AJ29" s="23">
        <v>0</v>
      </c>
      <c r="AK29" s="23">
        <v>4144</v>
      </c>
      <c r="AL29" s="23">
        <v>253000</v>
      </c>
      <c r="AM29" s="23">
        <v>144865</v>
      </c>
      <c r="AN29" s="23">
        <v>499415</v>
      </c>
      <c r="AO29" s="23">
        <v>0</v>
      </c>
      <c r="AP29" s="23"/>
      <c r="AQ29" s="23">
        <v>0</v>
      </c>
      <c r="AR29" s="23">
        <v>12351</v>
      </c>
      <c r="AS29" s="23">
        <v>4696</v>
      </c>
      <c r="AT29" s="23">
        <v>0</v>
      </c>
      <c r="AU29" s="23">
        <v>0</v>
      </c>
      <c r="AV29" s="23">
        <v>0</v>
      </c>
      <c r="AW29" s="23">
        <v>0</v>
      </c>
      <c r="AX29" s="23">
        <v>258091</v>
      </c>
      <c r="AY29" s="23">
        <v>0</v>
      </c>
      <c r="AZ29" s="23">
        <v>7000</v>
      </c>
      <c r="BA29" s="19">
        <f t="shared" si="31"/>
        <v>242068</v>
      </c>
      <c r="BB29" s="19">
        <f t="shared" si="32"/>
        <v>0</v>
      </c>
      <c r="BC29" s="19">
        <v>0</v>
      </c>
      <c r="BD29" s="19">
        <v>0</v>
      </c>
      <c r="BE29" s="19">
        <v>0</v>
      </c>
      <c r="BF29" s="19">
        <f t="shared" si="33"/>
        <v>0</v>
      </c>
      <c r="BG29" s="19">
        <v>0</v>
      </c>
      <c r="BH29" s="19">
        <v>0</v>
      </c>
      <c r="BI29" s="19">
        <v>0</v>
      </c>
      <c r="BJ29" s="19">
        <v>0</v>
      </c>
      <c r="BK29" s="19">
        <f t="shared" si="8"/>
        <v>0</v>
      </c>
      <c r="BL29" s="19">
        <v>0</v>
      </c>
      <c r="BM29" s="19">
        <v>0</v>
      </c>
      <c r="BN29" s="19">
        <f t="shared" si="34"/>
        <v>242068</v>
      </c>
      <c r="BO29" s="19">
        <v>0</v>
      </c>
      <c r="BP29" s="19">
        <v>0</v>
      </c>
      <c r="BQ29" s="19">
        <v>0</v>
      </c>
      <c r="BR29" s="19">
        <v>0</v>
      </c>
      <c r="BS29" s="19">
        <v>0</v>
      </c>
      <c r="BT29" s="19">
        <v>0</v>
      </c>
      <c r="BU29" s="19">
        <v>0</v>
      </c>
      <c r="BV29" s="19">
        <v>0</v>
      </c>
      <c r="BW29" s="19">
        <v>0</v>
      </c>
      <c r="BX29" s="23">
        <v>242068</v>
      </c>
      <c r="BY29" s="23">
        <v>0</v>
      </c>
      <c r="BZ29" s="19">
        <f t="shared" si="35"/>
        <v>75245</v>
      </c>
      <c r="CA29" s="19">
        <f t="shared" si="36"/>
        <v>75245</v>
      </c>
      <c r="CB29" s="19">
        <f t="shared" si="9"/>
        <v>75245</v>
      </c>
      <c r="CC29" s="19">
        <v>0</v>
      </c>
      <c r="CD29" s="23">
        <v>75245</v>
      </c>
      <c r="CE29" s="19">
        <f t="shared" si="37"/>
        <v>0</v>
      </c>
      <c r="CF29" s="19">
        <v>0</v>
      </c>
      <c r="CG29" s="19">
        <v>0</v>
      </c>
      <c r="CH29" s="19">
        <v>0</v>
      </c>
      <c r="CI29" s="19">
        <v>0</v>
      </c>
      <c r="CJ29" s="19">
        <v>0</v>
      </c>
      <c r="CK29" s="19">
        <f t="shared" si="38"/>
        <v>0</v>
      </c>
      <c r="CL29" s="19">
        <v>0</v>
      </c>
      <c r="CM29" s="19">
        <v>0</v>
      </c>
      <c r="CN29" s="19">
        <v>0</v>
      </c>
      <c r="CO29" s="19"/>
      <c r="CP29" s="19"/>
      <c r="CQ29" s="19"/>
      <c r="CR29" s="19"/>
      <c r="CS29" s="19">
        <v>0</v>
      </c>
      <c r="CT29" s="19"/>
      <c r="CU29" s="19"/>
      <c r="CV29" s="19"/>
      <c r="CW29" s="19">
        <f t="shared" si="10"/>
        <v>0</v>
      </c>
      <c r="CX29" s="19">
        <f t="shared" si="11"/>
        <v>0</v>
      </c>
      <c r="CY29" s="19">
        <v>0</v>
      </c>
      <c r="CZ29" s="20">
        <v>0</v>
      </c>
    </row>
    <row r="30" spans="1:105" ht="31.5" x14ac:dyDescent="0.25">
      <c r="A30" s="80" t="s">
        <v>1</v>
      </c>
      <c r="B30" s="21" t="s">
        <v>92</v>
      </c>
      <c r="C30" s="22" t="s">
        <v>93</v>
      </c>
      <c r="D30" s="18">
        <f t="shared" si="26"/>
        <v>11598680</v>
      </c>
      <c r="E30" s="19">
        <f t="shared" si="27"/>
        <v>10669191</v>
      </c>
      <c r="F30" s="19">
        <f t="shared" si="28"/>
        <v>10669191</v>
      </c>
      <c r="G30" s="23">
        <v>7436208</v>
      </c>
      <c r="H30" s="23">
        <v>1774477</v>
      </c>
      <c r="I30" s="19">
        <f t="shared" si="6"/>
        <v>801797</v>
      </c>
      <c r="J30" s="23">
        <v>0</v>
      </c>
      <c r="K30" s="23">
        <v>0</v>
      </c>
      <c r="L30" s="23"/>
      <c r="M30" s="23"/>
      <c r="N30" s="23">
        <v>406500</v>
      </c>
      <c r="O30" s="23">
        <v>395297</v>
      </c>
      <c r="P30" s="19">
        <f t="shared" si="7"/>
        <v>71540</v>
      </c>
      <c r="Q30" s="23">
        <v>0</v>
      </c>
      <c r="R30" s="23">
        <v>71540</v>
      </c>
      <c r="S30" s="23">
        <v>0</v>
      </c>
      <c r="T30" s="23">
        <v>97548</v>
      </c>
      <c r="U30" s="19">
        <f t="shared" si="29"/>
        <v>197801</v>
      </c>
      <c r="V30" s="23">
        <v>0</v>
      </c>
      <c r="W30" s="23">
        <v>125658</v>
      </c>
      <c r="X30" s="23">
        <v>45836</v>
      </c>
      <c r="Y30" s="23">
        <v>14636</v>
      </c>
      <c r="Z30" s="23">
        <v>10039</v>
      </c>
      <c r="AA30" s="23">
        <v>1632</v>
      </c>
      <c r="AB30" s="23">
        <v>0</v>
      </c>
      <c r="AC30" s="23">
        <v>0</v>
      </c>
      <c r="AD30" s="19">
        <f t="shared" si="30"/>
        <v>289820</v>
      </c>
      <c r="AE30" s="19">
        <v>0</v>
      </c>
      <c r="AF30" s="24">
        <v>0</v>
      </c>
      <c r="AG30" s="23">
        <v>11964</v>
      </c>
      <c r="AH30" s="23">
        <v>246434</v>
      </c>
      <c r="AI30" s="23">
        <v>0</v>
      </c>
      <c r="AJ30" s="23">
        <v>600</v>
      </c>
      <c r="AK30" s="23">
        <v>0</v>
      </c>
      <c r="AL30" s="23">
        <v>0</v>
      </c>
      <c r="AM30" s="23">
        <v>0</v>
      </c>
      <c r="AN30" s="23">
        <v>14550</v>
      </c>
      <c r="AO30" s="23">
        <v>0</v>
      </c>
      <c r="AP30" s="23"/>
      <c r="AQ30" s="23">
        <v>0</v>
      </c>
      <c r="AR30" s="23">
        <v>0</v>
      </c>
      <c r="AS30" s="23">
        <v>0</v>
      </c>
      <c r="AT30" s="23">
        <v>0</v>
      </c>
      <c r="AU30" s="23">
        <v>0</v>
      </c>
      <c r="AV30" s="23">
        <v>0</v>
      </c>
      <c r="AW30" s="23">
        <v>0</v>
      </c>
      <c r="AX30" s="23">
        <v>0</v>
      </c>
      <c r="AY30" s="23">
        <v>0</v>
      </c>
      <c r="AZ30" s="23">
        <v>16272</v>
      </c>
      <c r="BA30" s="19">
        <f t="shared" si="31"/>
        <v>0</v>
      </c>
      <c r="BB30" s="19">
        <f t="shared" si="32"/>
        <v>0</v>
      </c>
      <c r="BC30" s="19">
        <v>0</v>
      </c>
      <c r="BD30" s="19">
        <v>0</v>
      </c>
      <c r="BE30" s="19">
        <v>0</v>
      </c>
      <c r="BF30" s="19">
        <f t="shared" si="33"/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f t="shared" si="8"/>
        <v>0</v>
      </c>
      <c r="BL30" s="19">
        <v>0</v>
      </c>
      <c r="BM30" s="19">
        <v>0</v>
      </c>
      <c r="BN30" s="19">
        <f t="shared" si="34"/>
        <v>0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v>0</v>
      </c>
      <c r="BU30" s="19">
        <v>0</v>
      </c>
      <c r="BV30" s="19">
        <v>0</v>
      </c>
      <c r="BW30" s="19">
        <v>0</v>
      </c>
      <c r="BX30" s="23">
        <v>0</v>
      </c>
      <c r="BY30" s="23">
        <v>0</v>
      </c>
      <c r="BZ30" s="19">
        <f t="shared" si="35"/>
        <v>929489</v>
      </c>
      <c r="CA30" s="19">
        <f t="shared" si="36"/>
        <v>929489</v>
      </c>
      <c r="CB30" s="19">
        <f t="shared" si="9"/>
        <v>394489</v>
      </c>
      <c r="CC30" s="19">
        <v>0</v>
      </c>
      <c r="CD30" s="23">
        <v>394489</v>
      </c>
      <c r="CE30" s="19">
        <f t="shared" si="37"/>
        <v>535000</v>
      </c>
      <c r="CF30" s="19">
        <v>0</v>
      </c>
      <c r="CG30" s="19">
        <v>0</v>
      </c>
      <c r="CH30" s="19">
        <v>535000</v>
      </c>
      <c r="CI30" s="19">
        <v>0</v>
      </c>
      <c r="CJ30" s="19">
        <v>0</v>
      </c>
      <c r="CK30" s="19">
        <f t="shared" si="38"/>
        <v>0</v>
      </c>
      <c r="CL30" s="19">
        <v>0</v>
      </c>
      <c r="CM30" s="19">
        <v>0</v>
      </c>
      <c r="CN30" s="19">
        <v>0</v>
      </c>
      <c r="CO30" s="19"/>
      <c r="CP30" s="19"/>
      <c r="CQ30" s="19"/>
      <c r="CR30" s="19"/>
      <c r="CS30" s="19">
        <v>0</v>
      </c>
      <c r="CT30" s="19"/>
      <c r="CU30" s="19"/>
      <c r="CV30" s="19"/>
      <c r="CW30" s="19">
        <f t="shared" si="10"/>
        <v>0</v>
      </c>
      <c r="CX30" s="19">
        <f t="shared" si="11"/>
        <v>0</v>
      </c>
      <c r="CY30" s="19">
        <v>0</v>
      </c>
      <c r="CZ30" s="20">
        <v>0</v>
      </c>
    </row>
    <row r="31" spans="1:105" ht="15.75" x14ac:dyDescent="0.25">
      <c r="A31" s="80" t="s">
        <v>1</v>
      </c>
      <c r="B31" s="21" t="s">
        <v>94</v>
      </c>
      <c r="C31" s="22" t="s">
        <v>95</v>
      </c>
      <c r="D31" s="18">
        <f t="shared" si="26"/>
        <v>1249092</v>
      </c>
      <c r="E31" s="19">
        <f t="shared" si="27"/>
        <v>1239290</v>
      </c>
      <c r="F31" s="19">
        <f t="shared" si="28"/>
        <v>1239290</v>
      </c>
      <c r="G31" s="23">
        <v>931630</v>
      </c>
      <c r="H31" s="23">
        <v>219585</v>
      </c>
      <c r="I31" s="19">
        <f t="shared" si="6"/>
        <v>48545</v>
      </c>
      <c r="J31" s="23">
        <v>0</v>
      </c>
      <c r="K31" s="23">
        <v>0</v>
      </c>
      <c r="L31" s="23"/>
      <c r="M31" s="23"/>
      <c r="N31" s="23">
        <v>22593</v>
      </c>
      <c r="O31" s="23">
        <v>25952</v>
      </c>
      <c r="P31" s="19">
        <f t="shared" si="7"/>
        <v>0</v>
      </c>
      <c r="Q31" s="23">
        <v>0</v>
      </c>
      <c r="R31" s="23">
        <v>0</v>
      </c>
      <c r="S31" s="23">
        <v>0</v>
      </c>
      <c r="T31" s="23">
        <v>16957</v>
      </c>
      <c r="U31" s="19">
        <f t="shared" si="29"/>
        <v>8841</v>
      </c>
      <c r="V31" s="23">
        <v>0</v>
      </c>
      <c r="W31" s="23">
        <v>3568</v>
      </c>
      <c r="X31" s="23">
        <v>4369</v>
      </c>
      <c r="Y31" s="23">
        <v>904</v>
      </c>
      <c r="Z31" s="23">
        <v>0</v>
      </c>
      <c r="AA31" s="23">
        <v>0</v>
      </c>
      <c r="AB31" s="23">
        <v>0</v>
      </c>
      <c r="AC31" s="23">
        <v>0</v>
      </c>
      <c r="AD31" s="19">
        <f t="shared" si="30"/>
        <v>13732</v>
      </c>
      <c r="AE31" s="19">
        <v>0</v>
      </c>
      <c r="AF31" s="24">
        <v>0</v>
      </c>
      <c r="AG31" s="23">
        <v>2600</v>
      </c>
      <c r="AH31" s="23">
        <v>0</v>
      </c>
      <c r="AI31" s="23">
        <v>0</v>
      </c>
      <c r="AJ31" s="23">
        <v>1258</v>
      </c>
      <c r="AK31" s="23">
        <v>0</v>
      </c>
      <c r="AL31" s="23">
        <v>0</v>
      </c>
      <c r="AM31" s="23">
        <v>0</v>
      </c>
      <c r="AN31" s="23">
        <v>5238</v>
      </c>
      <c r="AO31" s="23">
        <v>0</v>
      </c>
      <c r="AP31" s="23"/>
      <c r="AQ31" s="23">
        <v>0</v>
      </c>
      <c r="AR31" s="23">
        <v>0</v>
      </c>
      <c r="AS31" s="23">
        <v>0</v>
      </c>
      <c r="AT31" s="23"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4636</v>
      </c>
      <c r="BA31" s="19">
        <f t="shared" si="31"/>
        <v>0</v>
      </c>
      <c r="BB31" s="19">
        <f t="shared" si="32"/>
        <v>0</v>
      </c>
      <c r="BC31" s="19">
        <v>0</v>
      </c>
      <c r="BD31" s="19">
        <v>0</v>
      </c>
      <c r="BE31" s="19">
        <v>0</v>
      </c>
      <c r="BF31" s="19">
        <f t="shared" si="33"/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f t="shared" si="8"/>
        <v>0</v>
      </c>
      <c r="BL31" s="19">
        <v>0</v>
      </c>
      <c r="BM31" s="19">
        <v>0</v>
      </c>
      <c r="BN31" s="19">
        <f t="shared" si="34"/>
        <v>0</v>
      </c>
      <c r="BO31" s="19">
        <v>0</v>
      </c>
      <c r="BP31" s="19">
        <v>0</v>
      </c>
      <c r="BQ31" s="19">
        <v>0</v>
      </c>
      <c r="BR31" s="19">
        <v>0</v>
      </c>
      <c r="BS31" s="19">
        <v>0</v>
      </c>
      <c r="BT31" s="19">
        <v>0</v>
      </c>
      <c r="BU31" s="19">
        <v>0</v>
      </c>
      <c r="BV31" s="19">
        <v>0</v>
      </c>
      <c r="BW31" s="19">
        <v>0</v>
      </c>
      <c r="BX31" s="23">
        <v>0</v>
      </c>
      <c r="BY31" s="23">
        <v>0</v>
      </c>
      <c r="BZ31" s="19">
        <f t="shared" si="35"/>
        <v>9802</v>
      </c>
      <c r="CA31" s="19">
        <f t="shared" si="36"/>
        <v>9802</v>
      </c>
      <c r="CB31" s="19">
        <f t="shared" si="9"/>
        <v>9802</v>
      </c>
      <c r="CC31" s="19">
        <v>0</v>
      </c>
      <c r="CD31" s="23">
        <v>9802</v>
      </c>
      <c r="CE31" s="19">
        <f t="shared" si="37"/>
        <v>0</v>
      </c>
      <c r="CF31" s="19">
        <v>0</v>
      </c>
      <c r="CG31" s="19">
        <v>0</v>
      </c>
      <c r="CH31" s="19">
        <v>0</v>
      </c>
      <c r="CI31" s="19">
        <v>0</v>
      </c>
      <c r="CJ31" s="19">
        <v>0</v>
      </c>
      <c r="CK31" s="19">
        <f t="shared" si="38"/>
        <v>0</v>
      </c>
      <c r="CL31" s="19">
        <v>0</v>
      </c>
      <c r="CM31" s="19">
        <v>0</v>
      </c>
      <c r="CN31" s="19">
        <v>0</v>
      </c>
      <c r="CO31" s="19"/>
      <c r="CP31" s="19"/>
      <c r="CQ31" s="19"/>
      <c r="CR31" s="19"/>
      <c r="CS31" s="19">
        <v>0</v>
      </c>
      <c r="CT31" s="19"/>
      <c r="CU31" s="19"/>
      <c r="CV31" s="19"/>
      <c r="CW31" s="19">
        <f t="shared" si="10"/>
        <v>0</v>
      </c>
      <c r="CX31" s="19">
        <f t="shared" si="11"/>
        <v>0</v>
      </c>
      <c r="CY31" s="19">
        <v>0</v>
      </c>
      <c r="CZ31" s="20">
        <v>0</v>
      </c>
    </row>
    <row r="32" spans="1:105" ht="31.5" x14ac:dyDescent="0.25">
      <c r="A32" s="80" t="s">
        <v>1</v>
      </c>
      <c r="B32" s="21" t="s">
        <v>96</v>
      </c>
      <c r="C32" s="22" t="s">
        <v>97</v>
      </c>
      <c r="D32" s="18">
        <f t="shared" si="26"/>
        <v>2050384</v>
      </c>
      <c r="E32" s="19">
        <f t="shared" si="27"/>
        <v>2025006</v>
      </c>
      <c r="F32" s="19">
        <f t="shared" si="28"/>
        <v>2025006</v>
      </c>
      <c r="G32" s="23">
        <f>1405323-27076</f>
        <v>1378247</v>
      </c>
      <c r="H32" s="23">
        <f>339391-6769</f>
        <v>332622</v>
      </c>
      <c r="I32" s="19">
        <f t="shared" si="6"/>
        <v>44880</v>
      </c>
      <c r="J32" s="23">
        <v>0</v>
      </c>
      <c r="K32" s="23">
        <v>0</v>
      </c>
      <c r="L32" s="23"/>
      <c r="M32" s="23"/>
      <c r="N32" s="23">
        <v>25444</v>
      </c>
      <c r="O32" s="23">
        <v>19436</v>
      </c>
      <c r="P32" s="19">
        <f t="shared" si="7"/>
        <v>10008</v>
      </c>
      <c r="Q32" s="23">
        <v>0</v>
      </c>
      <c r="R32" s="23">
        <v>10008</v>
      </c>
      <c r="S32" s="23">
        <v>0</v>
      </c>
      <c r="T32" s="23">
        <v>29563</v>
      </c>
      <c r="U32" s="19">
        <f t="shared" si="29"/>
        <v>62883</v>
      </c>
      <c r="V32" s="23">
        <v>7204</v>
      </c>
      <c r="W32" s="23">
        <v>52626</v>
      </c>
      <c r="X32" s="23">
        <v>420</v>
      </c>
      <c r="Y32" s="23">
        <v>42</v>
      </c>
      <c r="Z32" s="23">
        <v>2591</v>
      </c>
      <c r="AA32" s="23">
        <v>0</v>
      </c>
      <c r="AB32" s="23">
        <v>0</v>
      </c>
      <c r="AC32" s="23">
        <v>0</v>
      </c>
      <c r="AD32" s="19">
        <f t="shared" si="30"/>
        <v>166803</v>
      </c>
      <c r="AE32" s="19">
        <v>0</v>
      </c>
      <c r="AF32" s="24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0</v>
      </c>
      <c r="AM32" s="23">
        <v>1048</v>
      </c>
      <c r="AN32" s="23">
        <v>5244</v>
      </c>
      <c r="AO32" s="23">
        <v>0</v>
      </c>
      <c r="AP32" s="23"/>
      <c r="AQ32" s="23">
        <v>0</v>
      </c>
      <c r="AR32" s="23">
        <v>0</v>
      </c>
      <c r="AS32" s="23">
        <v>8400</v>
      </c>
      <c r="AT32" s="23">
        <v>0</v>
      </c>
      <c r="AU32" s="23">
        <v>0</v>
      </c>
      <c r="AV32" s="23">
        <v>0</v>
      </c>
      <c r="AW32" s="23">
        <v>0</v>
      </c>
      <c r="AX32" s="23">
        <v>151378</v>
      </c>
      <c r="AY32" s="23">
        <v>0</v>
      </c>
      <c r="AZ32" s="23">
        <v>733</v>
      </c>
      <c r="BA32" s="19">
        <f t="shared" si="31"/>
        <v>0</v>
      </c>
      <c r="BB32" s="19">
        <f t="shared" si="32"/>
        <v>0</v>
      </c>
      <c r="BC32" s="19">
        <v>0</v>
      </c>
      <c r="BD32" s="19">
        <v>0</v>
      </c>
      <c r="BE32" s="19">
        <v>0</v>
      </c>
      <c r="BF32" s="19">
        <f t="shared" si="33"/>
        <v>0</v>
      </c>
      <c r="BG32" s="19">
        <v>0</v>
      </c>
      <c r="BH32" s="19">
        <v>0</v>
      </c>
      <c r="BI32" s="19">
        <v>0</v>
      </c>
      <c r="BJ32" s="19">
        <v>0</v>
      </c>
      <c r="BK32" s="19">
        <f t="shared" si="8"/>
        <v>0</v>
      </c>
      <c r="BL32" s="19">
        <v>0</v>
      </c>
      <c r="BM32" s="19">
        <v>0</v>
      </c>
      <c r="BN32" s="19">
        <f t="shared" si="34"/>
        <v>0</v>
      </c>
      <c r="BO32" s="19">
        <v>0</v>
      </c>
      <c r="BP32" s="19">
        <v>0</v>
      </c>
      <c r="BQ32" s="19">
        <v>0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0</v>
      </c>
      <c r="BX32" s="23">
        <v>0</v>
      </c>
      <c r="BY32" s="23">
        <v>0</v>
      </c>
      <c r="BZ32" s="19">
        <f t="shared" si="35"/>
        <v>25378</v>
      </c>
      <c r="CA32" s="19">
        <f t="shared" si="36"/>
        <v>25378</v>
      </c>
      <c r="CB32" s="19">
        <f t="shared" si="9"/>
        <v>25378</v>
      </c>
      <c r="CC32" s="19">
        <v>0</v>
      </c>
      <c r="CD32" s="23">
        <v>25378</v>
      </c>
      <c r="CE32" s="19">
        <f t="shared" si="37"/>
        <v>0</v>
      </c>
      <c r="CF32" s="19">
        <v>0</v>
      </c>
      <c r="CG32" s="19">
        <v>0</v>
      </c>
      <c r="CH32" s="19">
        <v>0</v>
      </c>
      <c r="CI32" s="19">
        <v>0</v>
      </c>
      <c r="CJ32" s="19">
        <v>0</v>
      </c>
      <c r="CK32" s="19">
        <f t="shared" si="38"/>
        <v>0</v>
      </c>
      <c r="CL32" s="19">
        <v>0</v>
      </c>
      <c r="CM32" s="19">
        <v>0</v>
      </c>
      <c r="CN32" s="19">
        <v>0</v>
      </c>
      <c r="CO32" s="19"/>
      <c r="CP32" s="19"/>
      <c r="CQ32" s="19"/>
      <c r="CR32" s="19"/>
      <c r="CS32" s="19">
        <v>0</v>
      </c>
      <c r="CT32" s="19"/>
      <c r="CU32" s="19"/>
      <c r="CV32" s="19"/>
      <c r="CW32" s="19">
        <f t="shared" si="10"/>
        <v>0</v>
      </c>
      <c r="CX32" s="19">
        <f t="shared" si="11"/>
        <v>0</v>
      </c>
      <c r="CY32" s="19">
        <v>0</v>
      </c>
      <c r="CZ32" s="20">
        <v>0</v>
      </c>
    </row>
    <row r="33" spans="1:105" ht="31.5" x14ac:dyDescent="0.25">
      <c r="A33" s="80" t="s">
        <v>1</v>
      </c>
      <c r="B33" s="21" t="s">
        <v>98</v>
      </c>
      <c r="C33" s="22" t="s">
        <v>99</v>
      </c>
      <c r="D33" s="18">
        <f t="shared" si="26"/>
        <v>2933568</v>
      </c>
      <c r="E33" s="19">
        <f t="shared" si="27"/>
        <v>2429362</v>
      </c>
      <c r="F33" s="19">
        <f t="shared" si="28"/>
        <v>2424761</v>
      </c>
      <c r="G33" s="23">
        <f>1979914-247462</f>
        <v>1732452</v>
      </c>
      <c r="H33" s="23">
        <f>476004-40095</f>
        <v>435909</v>
      </c>
      <c r="I33" s="19">
        <f t="shared" si="6"/>
        <v>38351</v>
      </c>
      <c r="J33" s="23">
        <v>0</v>
      </c>
      <c r="K33" s="23">
        <v>0</v>
      </c>
      <c r="L33" s="23"/>
      <c r="M33" s="23"/>
      <c r="N33" s="23">
        <v>31911</v>
      </c>
      <c r="O33" s="23">
        <v>6440</v>
      </c>
      <c r="P33" s="19">
        <f t="shared" si="7"/>
        <v>0</v>
      </c>
      <c r="Q33" s="23">
        <v>0</v>
      </c>
      <c r="R33" s="23">
        <v>0</v>
      </c>
      <c r="S33" s="23">
        <v>0</v>
      </c>
      <c r="T33" s="23">
        <v>20879</v>
      </c>
      <c r="U33" s="19">
        <f t="shared" si="29"/>
        <v>57325</v>
      </c>
      <c r="V33" s="23">
        <v>12000</v>
      </c>
      <c r="W33" s="23">
        <v>29611</v>
      </c>
      <c r="X33" s="23">
        <v>8752</v>
      </c>
      <c r="Y33" s="23">
        <v>2260</v>
      </c>
      <c r="Z33" s="23">
        <v>4702</v>
      </c>
      <c r="AA33" s="23">
        <v>0</v>
      </c>
      <c r="AB33" s="23">
        <v>0</v>
      </c>
      <c r="AC33" s="23">
        <v>0</v>
      </c>
      <c r="AD33" s="19">
        <f t="shared" si="30"/>
        <v>139845</v>
      </c>
      <c r="AE33" s="19">
        <v>0</v>
      </c>
      <c r="AF33" s="24">
        <v>0</v>
      </c>
      <c r="AG33" s="23">
        <v>1297</v>
      </c>
      <c r="AH33" s="23">
        <v>0</v>
      </c>
      <c r="AI33" s="23">
        <v>0</v>
      </c>
      <c r="AJ33" s="23">
        <v>140</v>
      </c>
      <c r="AK33" s="23">
        <v>0</v>
      </c>
      <c r="AL33" s="23">
        <v>0</v>
      </c>
      <c r="AM33" s="23">
        <v>25000</v>
      </c>
      <c r="AN33" s="23">
        <v>12212</v>
      </c>
      <c r="AO33" s="23">
        <v>0</v>
      </c>
      <c r="AP33" s="23"/>
      <c r="AQ33" s="23">
        <v>0</v>
      </c>
      <c r="AR33" s="23">
        <v>101196</v>
      </c>
      <c r="AS33" s="23">
        <v>0</v>
      </c>
      <c r="AT33" s="23">
        <v>0</v>
      </c>
      <c r="AU33" s="23">
        <v>0</v>
      </c>
      <c r="AV33" s="23">
        <v>0</v>
      </c>
      <c r="AW33" s="23">
        <v>0</v>
      </c>
      <c r="AX33" s="23">
        <v>0</v>
      </c>
      <c r="AY33" s="23">
        <v>0</v>
      </c>
      <c r="AZ33" s="23">
        <v>0</v>
      </c>
      <c r="BA33" s="19">
        <f t="shared" si="31"/>
        <v>4601</v>
      </c>
      <c r="BB33" s="19">
        <f t="shared" si="32"/>
        <v>0</v>
      </c>
      <c r="BC33" s="19">
        <v>0</v>
      </c>
      <c r="BD33" s="19">
        <v>0</v>
      </c>
      <c r="BE33" s="19">
        <v>0</v>
      </c>
      <c r="BF33" s="19">
        <f t="shared" si="33"/>
        <v>0</v>
      </c>
      <c r="BG33" s="19">
        <v>0</v>
      </c>
      <c r="BH33" s="19">
        <v>0</v>
      </c>
      <c r="BI33" s="19">
        <v>0</v>
      </c>
      <c r="BJ33" s="19">
        <v>0</v>
      </c>
      <c r="BK33" s="19">
        <f t="shared" si="8"/>
        <v>0</v>
      </c>
      <c r="BL33" s="19">
        <v>0</v>
      </c>
      <c r="BM33" s="19">
        <v>0</v>
      </c>
      <c r="BN33" s="19">
        <f t="shared" si="34"/>
        <v>4601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0</v>
      </c>
      <c r="BX33" s="23">
        <v>4601</v>
      </c>
      <c r="BY33" s="19">
        <v>0</v>
      </c>
      <c r="BZ33" s="19">
        <f t="shared" si="35"/>
        <v>504206</v>
      </c>
      <c r="CA33" s="19">
        <f t="shared" si="36"/>
        <v>504206</v>
      </c>
      <c r="CB33" s="19">
        <f t="shared" si="9"/>
        <v>504206</v>
      </c>
      <c r="CC33" s="19">
        <v>0</v>
      </c>
      <c r="CD33" s="23">
        <v>504206</v>
      </c>
      <c r="CE33" s="19">
        <f t="shared" si="37"/>
        <v>0</v>
      </c>
      <c r="CF33" s="19">
        <v>0</v>
      </c>
      <c r="CG33" s="19">
        <v>0</v>
      </c>
      <c r="CH33" s="19">
        <v>0</v>
      </c>
      <c r="CI33" s="19">
        <v>0</v>
      </c>
      <c r="CJ33" s="19">
        <v>0</v>
      </c>
      <c r="CK33" s="19">
        <f t="shared" si="38"/>
        <v>0</v>
      </c>
      <c r="CL33" s="19">
        <v>0</v>
      </c>
      <c r="CM33" s="19">
        <v>0</v>
      </c>
      <c r="CN33" s="19">
        <v>0</v>
      </c>
      <c r="CO33" s="19"/>
      <c r="CP33" s="19"/>
      <c r="CQ33" s="19"/>
      <c r="CR33" s="19"/>
      <c r="CS33" s="19">
        <v>0</v>
      </c>
      <c r="CT33" s="19"/>
      <c r="CU33" s="19"/>
      <c r="CV33" s="19"/>
      <c r="CW33" s="19">
        <f t="shared" si="10"/>
        <v>0</v>
      </c>
      <c r="CX33" s="19">
        <f t="shared" si="11"/>
        <v>0</v>
      </c>
      <c r="CY33" s="19">
        <v>0</v>
      </c>
      <c r="CZ33" s="20">
        <v>0</v>
      </c>
    </row>
    <row r="34" spans="1:105" ht="31.5" x14ac:dyDescent="0.25">
      <c r="A34" s="80" t="s">
        <v>1</v>
      </c>
      <c r="B34" s="21" t="s">
        <v>100</v>
      </c>
      <c r="C34" s="22" t="s">
        <v>475</v>
      </c>
      <c r="D34" s="18">
        <f t="shared" si="26"/>
        <v>6160277</v>
      </c>
      <c r="E34" s="19">
        <f t="shared" si="27"/>
        <v>5934364</v>
      </c>
      <c r="F34" s="19">
        <f t="shared" si="28"/>
        <v>5934364</v>
      </c>
      <c r="G34" s="23">
        <v>4124316</v>
      </c>
      <c r="H34" s="23">
        <v>982126</v>
      </c>
      <c r="I34" s="19">
        <f t="shared" si="6"/>
        <v>594514</v>
      </c>
      <c r="J34" s="23">
        <v>0</v>
      </c>
      <c r="K34" s="23">
        <v>96800</v>
      </c>
      <c r="L34" s="23"/>
      <c r="M34" s="23"/>
      <c r="N34" s="23">
        <v>430748</v>
      </c>
      <c r="O34" s="23">
        <v>66966</v>
      </c>
      <c r="P34" s="19">
        <f t="shared" si="7"/>
        <v>0</v>
      </c>
      <c r="Q34" s="23">
        <v>0</v>
      </c>
      <c r="R34" s="23">
        <v>0</v>
      </c>
      <c r="S34" s="23">
        <v>0</v>
      </c>
      <c r="T34" s="23">
        <v>49557</v>
      </c>
      <c r="U34" s="19">
        <f t="shared" si="29"/>
        <v>80095</v>
      </c>
      <c r="V34" s="23">
        <v>0</v>
      </c>
      <c r="W34" s="23">
        <v>49237</v>
      </c>
      <c r="X34" s="23">
        <v>25076</v>
      </c>
      <c r="Y34" s="23">
        <v>1540</v>
      </c>
      <c r="Z34" s="23">
        <v>4242</v>
      </c>
      <c r="AA34" s="23">
        <v>0</v>
      </c>
      <c r="AB34" s="23">
        <v>0</v>
      </c>
      <c r="AC34" s="23">
        <v>0</v>
      </c>
      <c r="AD34" s="19">
        <f t="shared" si="30"/>
        <v>103756</v>
      </c>
      <c r="AE34" s="19">
        <v>0</v>
      </c>
      <c r="AF34" s="24">
        <v>0</v>
      </c>
      <c r="AG34" s="23">
        <v>3300</v>
      </c>
      <c r="AH34" s="23">
        <v>0</v>
      </c>
      <c r="AI34" s="23">
        <v>0</v>
      </c>
      <c r="AJ34" s="23">
        <v>0</v>
      </c>
      <c r="AK34" s="23">
        <v>0</v>
      </c>
      <c r="AL34" s="23">
        <v>0</v>
      </c>
      <c r="AM34" s="23">
        <v>0</v>
      </c>
      <c r="AN34" s="23">
        <v>8730</v>
      </c>
      <c r="AO34" s="23">
        <v>0</v>
      </c>
      <c r="AP34" s="23"/>
      <c r="AQ34" s="23">
        <v>0</v>
      </c>
      <c r="AR34" s="23">
        <v>485</v>
      </c>
      <c r="AS34" s="23">
        <v>0</v>
      </c>
      <c r="AT34" s="23">
        <v>0</v>
      </c>
      <c r="AU34" s="23">
        <v>0</v>
      </c>
      <c r="AV34" s="23">
        <v>0</v>
      </c>
      <c r="AW34" s="23">
        <v>0</v>
      </c>
      <c r="AX34" s="23">
        <v>0</v>
      </c>
      <c r="AY34" s="23">
        <v>0</v>
      </c>
      <c r="AZ34" s="23">
        <v>91241</v>
      </c>
      <c r="BA34" s="19">
        <f t="shared" si="31"/>
        <v>0</v>
      </c>
      <c r="BB34" s="19">
        <f t="shared" si="32"/>
        <v>0</v>
      </c>
      <c r="BC34" s="19">
        <v>0</v>
      </c>
      <c r="BD34" s="19">
        <v>0</v>
      </c>
      <c r="BE34" s="19">
        <v>0</v>
      </c>
      <c r="BF34" s="19">
        <f t="shared" si="33"/>
        <v>0</v>
      </c>
      <c r="BG34" s="19">
        <v>0</v>
      </c>
      <c r="BH34" s="19">
        <v>0</v>
      </c>
      <c r="BI34" s="19">
        <v>0</v>
      </c>
      <c r="BJ34" s="19">
        <v>0</v>
      </c>
      <c r="BK34" s="19">
        <f t="shared" si="8"/>
        <v>0</v>
      </c>
      <c r="BL34" s="19">
        <v>0</v>
      </c>
      <c r="BM34" s="19">
        <v>0</v>
      </c>
      <c r="BN34" s="19">
        <f t="shared" si="34"/>
        <v>0</v>
      </c>
      <c r="BO34" s="19">
        <v>0</v>
      </c>
      <c r="BP34" s="19">
        <v>0</v>
      </c>
      <c r="BQ34" s="19">
        <v>0</v>
      </c>
      <c r="BR34" s="19">
        <v>0</v>
      </c>
      <c r="BS34" s="19">
        <v>0</v>
      </c>
      <c r="BT34" s="19">
        <v>0</v>
      </c>
      <c r="BU34" s="19">
        <v>0</v>
      </c>
      <c r="BV34" s="19">
        <v>0</v>
      </c>
      <c r="BW34" s="19">
        <v>0</v>
      </c>
      <c r="BX34" s="23">
        <v>0</v>
      </c>
      <c r="BY34" s="19">
        <v>0</v>
      </c>
      <c r="BZ34" s="19">
        <f t="shared" si="35"/>
        <v>225913</v>
      </c>
      <c r="CA34" s="19">
        <f t="shared" si="36"/>
        <v>225913</v>
      </c>
      <c r="CB34" s="19">
        <f t="shared" si="9"/>
        <v>225913</v>
      </c>
      <c r="CC34" s="19">
        <v>0</v>
      </c>
      <c r="CD34" s="23">
        <v>225913</v>
      </c>
      <c r="CE34" s="19">
        <f t="shared" si="37"/>
        <v>0</v>
      </c>
      <c r="CF34" s="19">
        <v>0</v>
      </c>
      <c r="CG34" s="19">
        <v>0</v>
      </c>
      <c r="CH34" s="19">
        <v>0</v>
      </c>
      <c r="CI34" s="19">
        <v>0</v>
      </c>
      <c r="CJ34" s="19">
        <v>0</v>
      </c>
      <c r="CK34" s="19">
        <f t="shared" si="38"/>
        <v>0</v>
      </c>
      <c r="CL34" s="19">
        <v>0</v>
      </c>
      <c r="CM34" s="19">
        <v>0</v>
      </c>
      <c r="CN34" s="19">
        <v>0</v>
      </c>
      <c r="CO34" s="19"/>
      <c r="CP34" s="19"/>
      <c r="CQ34" s="19"/>
      <c r="CR34" s="19"/>
      <c r="CS34" s="19">
        <v>0</v>
      </c>
      <c r="CT34" s="19"/>
      <c r="CU34" s="19"/>
      <c r="CV34" s="19"/>
      <c r="CW34" s="19">
        <f t="shared" si="10"/>
        <v>0</v>
      </c>
      <c r="CX34" s="19">
        <f t="shared" si="11"/>
        <v>0</v>
      </c>
      <c r="CY34" s="19">
        <v>0</v>
      </c>
      <c r="CZ34" s="20">
        <v>0</v>
      </c>
    </row>
    <row r="35" spans="1:105" ht="31.5" x14ac:dyDescent="0.25">
      <c r="A35" s="80" t="s">
        <v>1</v>
      </c>
      <c r="B35" s="21" t="s">
        <v>101</v>
      </c>
      <c r="C35" s="22" t="s">
        <v>102</v>
      </c>
      <c r="D35" s="18">
        <f t="shared" si="26"/>
        <v>951864</v>
      </c>
      <c r="E35" s="19">
        <f t="shared" si="27"/>
        <v>925264</v>
      </c>
      <c r="F35" s="19">
        <f t="shared" si="28"/>
        <v>920663</v>
      </c>
      <c r="G35" s="23">
        <v>652147</v>
      </c>
      <c r="H35" s="23">
        <v>147450</v>
      </c>
      <c r="I35" s="19">
        <f t="shared" si="6"/>
        <v>16736</v>
      </c>
      <c r="J35" s="23">
        <v>0</v>
      </c>
      <c r="K35" s="23"/>
      <c r="L35" s="23"/>
      <c r="M35" s="23"/>
      <c r="N35" s="23">
        <v>0</v>
      </c>
      <c r="O35" s="23">
        <v>16736</v>
      </c>
      <c r="P35" s="19">
        <f t="shared" si="7"/>
        <v>0</v>
      </c>
      <c r="Q35" s="23">
        <v>0</v>
      </c>
      <c r="R35" s="23">
        <v>0</v>
      </c>
      <c r="S35" s="23">
        <v>0</v>
      </c>
      <c r="T35" s="23">
        <v>12000</v>
      </c>
      <c r="U35" s="19">
        <f t="shared" si="29"/>
        <v>11945</v>
      </c>
      <c r="V35" s="23">
        <v>3060</v>
      </c>
      <c r="W35" s="23">
        <v>4610</v>
      </c>
      <c r="X35" s="23">
        <v>3028</v>
      </c>
      <c r="Y35" s="23">
        <v>593</v>
      </c>
      <c r="Z35" s="23">
        <v>654</v>
      </c>
      <c r="AA35" s="23">
        <v>0</v>
      </c>
      <c r="AB35" s="23">
        <v>0</v>
      </c>
      <c r="AC35" s="23">
        <v>0</v>
      </c>
      <c r="AD35" s="19">
        <f t="shared" si="30"/>
        <v>80385</v>
      </c>
      <c r="AE35" s="19">
        <v>0</v>
      </c>
      <c r="AF35" s="24">
        <v>0</v>
      </c>
      <c r="AG35" s="23">
        <v>919</v>
      </c>
      <c r="AH35" s="23">
        <v>0</v>
      </c>
      <c r="AI35" s="23">
        <v>0</v>
      </c>
      <c r="AJ35" s="23">
        <v>275</v>
      </c>
      <c r="AK35" s="23">
        <v>0</v>
      </c>
      <c r="AL35" s="23">
        <v>0</v>
      </c>
      <c r="AM35" s="23">
        <v>0</v>
      </c>
      <c r="AN35" s="23">
        <v>8730</v>
      </c>
      <c r="AO35" s="23">
        <v>0</v>
      </c>
      <c r="AP35" s="23"/>
      <c r="AQ35" s="23">
        <v>0</v>
      </c>
      <c r="AR35" s="23">
        <v>0</v>
      </c>
      <c r="AS35" s="23">
        <v>0</v>
      </c>
      <c r="AT35" s="23"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63644</v>
      </c>
      <c r="AZ35" s="23">
        <v>6817</v>
      </c>
      <c r="BA35" s="19">
        <f t="shared" si="31"/>
        <v>4601</v>
      </c>
      <c r="BB35" s="19">
        <f t="shared" si="32"/>
        <v>0</v>
      </c>
      <c r="BC35" s="19">
        <v>0</v>
      </c>
      <c r="BD35" s="19">
        <v>0</v>
      </c>
      <c r="BE35" s="19">
        <v>0</v>
      </c>
      <c r="BF35" s="19">
        <f t="shared" si="33"/>
        <v>0</v>
      </c>
      <c r="BG35" s="19">
        <v>0</v>
      </c>
      <c r="BH35" s="19">
        <v>0</v>
      </c>
      <c r="BI35" s="19">
        <v>0</v>
      </c>
      <c r="BJ35" s="19">
        <v>0</v>
      </c>
      <c r="BK35" s="19">
        <f t="shared" si="8"/>
        <v>0</v>
      </c>
      <c r="BL35" s="19">
        <v>0</v>
      </c>
      <c r="BM35" s="19">
        <v>0</v>
      </c>
      <c r="BN35" s="19">
        <f t="shared" si="34"/>
        <v>4601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19">
        <v>0</v>
      </c>
      <c r="BV35" s="19">
        <v>0</v>
      </c>
      <c r="BW35" s="19">
        <v>0</v>
      </c>
      <c r="BX35" s="23">
        <v>4601</v>
      </c>
      <c r="BY35" s="19">
        <v>0</v>
      </c>
      <c r="BZ35" s="19">
        <f t="shared" si="35"/>
        <v>26600</v>
      </c>
      <c r="CA35" s="19">
        <f t="shared" si="36"/>
        <v>26600</v>
      </c>
      <c r="CB35" s="19">
        <f t="shared" si="9"/>
        <v>26600</v>
      </c>
      <c r="CC35" s="19">
        <v>0</v>
      </c>
      <c r="CD35" s="23">
        <v>26600</v>
      </c>
      <c r="CE35" s="19">
        <f t="shared" si="37"/>
        <v>0</v>
      </c>
      <c r="CF35" s="19">
        <v>0</v>
      </c>
      <c r="CG35" s="19">
        <v>0</v>
      </c>
      <c r="CH35" s="19">
        <v>0</v>
      </c>
      <c r="CI35" s="19">
        <v>0</v>
      </c>
      <c r="CJ35" s="19">
        <v>0</v>
      </c>
      <c r="CK35" s="19">
        <f t="shared" si="38"/>
        <v>0</v>
      </c>
      <c r="CL35" s="19">
        <v>0</v>
      </c>
      <c r="CM35" s="19">
        <v>0</v>
      </c>
      <c r="CN35" s="19">
        <v>0</v>
      </c>
      <c r="CO35" s="19"/>
      <c r="CP35" s="19"/>
      <c r="CQ35" s="19"/>
      <c r="CR35" s="19"/>
      <c r="CS35" s="19">
        <v>0</v>
      </c>
      <c r="CT35" s="19"/>
      <c r="CU35" s="19"/>
      <c r="CV35" s="19"/>
      <c r="CW35" s="19">
        <f t="shared" si="10"/>
        <v>0</v>
      </c>
      <c r="CX35" s="19">
        <f t="shared" si="11"/>
        <v>0</v>
      </c>
      <c r="CY35" s="19">
        <v>0</v>
      </c>
      <c r="CZ35" s="20">
        <v>0</v>
      </c>
    </row>
    <row r="36" spans="1:105" ht="31.5" x14ac:dyDescent="0.25">
      <c r="A36" s="80" t="s">
        <v>1</v>
      </c>
      <c r="B36" s="21" t="s">
        <v>104</v>
      </c>
      <c r="C36" s="22" t="s">
        <v>105</v>
      </c>
      <c r="D36" s="18">
        <f t="shared" si="26"/>
        <v>7023535</v>
      </c>
      <c r="E36" s="19">
        <f t="shared" si="27"/>
        <v>6235686</v>
      </c>
      <c r="F36" s="19">
        <f t="shared" si="28"/>
        <v>6235686</v>
      </c>
      <c r="G36" s="23">
        <v>4111834</v>
      </c>
      <c r="H36" s="23">
        <v>972986</v>
      </c>
      <c r="I36" s="19">
        <f t="shared" si="6"/>
        <v>326490</v>
      </c>
      <c r="J36" s="23">
        <v>0</v>
      </c>
      <c r="K36" s="23"/>
      <c r="L36" s="23"/>
      <c r="M36" s="23"/>
      <c r="N36" s="23">
        <v>114992</v>
      </c>
      <c r="O36" s="23">
        <v>211498</v>
      </c>
      <c r="P36" s="19">
        <f t="shared" si="7"/>
        <v>380</v>
      </c>
      <c r="Q36" s="23">
        <v>0</v>
      </c>
      <c r="R36" s="23">
        <v>380</v>
      </c>
      <c r="S36" s="23">
        <v>0</v>
      </c>
      <c r="T36" s="23">
        <v>68115</v>
      </c>
      <c r="U36" s="19">
        <f t="shared" si="29"/>
        <v>191583</v>
      </c>
      <c r="V36" s="23">
        <v>17114</v>
      </c>
      <c r="W36" s="23">
        <v>85364</v>
      </c>
      <c r="X36" s="23">
        <v>79400</v>
      </c>
      <c r="Y36" s="23">
        <v>7004</v>
      </c>
      <c r="Z36" s="23">
        <v>2701</v>
      </c>
      <c r="AA36" s="23">
        <v>0</v>
      </c>
      <c r="AB36" s="23">
        <v>0</v>
      </c>
      <c r="AC36" s="23">
        <v>0</v>
      </c>
      <c r="AD36" s="19">
        <f t="shared" si="30"/>
        <v>564298</v>
      </c>
      <c r="AE36" s="19">
        <v>0</v>
      </c>
      <c r="AF36" s="24">
        <v>0</v>
      </c>
      <c r="AG36" s="23">
        <v>23223</v>
      </c>
      <c r="AH36" s="23">
        <v>189624</v>
      </c>
      <c r="AI36" s="23">
        <v>0</v>
      </c>
      <c r="AJ36" s="23">
        <v>1029</v>
      </c>
      <c r="AK36" s="23">
        <v>0</v>
      </c>
      <c r="AL36" s="23">
        <v>77</v>
      </c>
      <c r="AM36" s="23">
        <v>0</v>
      </c>
      <c r="AN36" s="23">
        <v>21534</v>
      </c>
      <c r="AO36" s="23">
        <v>0</v>
      </c>
      <c r="AP36" s="23"/>
      <c r="AQ36" s="23">
        <v>0</v>
      </c>
      <c r="AR36" s="23">
        <v>95169</v>
      </c>
      <c r="AS36" s="23">
        <v>69300</v>
      </c>
      <c r="AT36" s="23">
        <v>0</v>
      </c>
      <c r="AU36" s="23">
        <v>0</v>
      </c>
      <c r="AV36" s="23">
        <v>0</v>
      </c>
      <c r="AW36" s="23">
        <v>0</v>
      </c>
      <c r="AX36" s="23">
        <v>0</v>
      </c>
      <c r="AY36" s="23">
        <v>115938</v>
      </c>
      <c r="AZ36" s="23">
        <v>48404</v>
      </c>
      <c r="BA36" s="19">
        <f t="shared" si="31"/>
        <v>0</v>
      </c>
      <c r="BB36" s="19">
        <f t="shared" si="32"/>
        <v>0</v>
      </c>
      <c r="BC36" s="19">
        <v>0</v>
      </c>
      <c r="BD36" s="19">
        <v>0</v>
      </c>
      <c r="BE36" s="19">
        <v>0</v>
      </c>
      <c r="BF36" s="19">
        <f t="shared" si="33"/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f t="shared" si="8"/>
        <v>0</v>
      </c>
      <c r="BL36" s="19">
        <v>0</v>
      </c>
      <c r="BM36" s="19">
        <v>0</v>
      </c>
      <c r="BN36" s="19">
        <f t="shared" si="34"/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23">
        <v>0</v>
      </c>
      <c r="BY36" s="19">
        <v>0</v>
      </c>
      <c r="BZ36" s="19">
        <f t="shared" si="35"/>
        <v>787849</v>
      </c>
      <c r="CA36" s="19">
        <f t="shared" si="36"/>
        <v>787849</v>
      </c>
      <c r="CB36" s="19">
        <f t="shared" si="9"/>
        <v>397327</v>
      </c>
      <c r="CC36" s="19">
        <v>0</v>
      </c>
      <c r="CD36" s="23">
        <v>397327</v>
      </c>
      <c r="CE36" s="19">
        <f t="shared" si="37"/>
        <v>212556</v>
      </c>
      <c r="CF36" s="19">
        <v>0</v>
      </c>
      <c r="CG36" s="19">
        <v>0</v>
      </c>
      <c r="CH36" s="19">
        <v>212556</v>
      </c>
      <c r="CI36" s="19">
        <v>0</v>
      </c>
      <c r="CJ36" s="19">
        <v>0</v>
      </c>
      <c r="CK36" s="19">
        <f t="shared" si="38"/>
        <v>177966</v>
      </c>
      <c r="CL36" s="19">
        <v>0</v>
      </c>
      <c r="CM36" s="19">
        <v>0</v>
      </c>
      <c r="CN36" s="19">
        <v>177966</v>
      </c>
      <c r="CO36" s="19"/>
      <c r="CP36" s="19"/>
      <c r="CQ36" s="19"/>
      <c r="CR36" s="19"/>
      <c r="CS36" s="19">
        <v>0</v>
      </c>
      <c r="CT36" s="19"/>
      <c r="CU36" s="19"/>
      <c r="CV36" s="19"/>
      <c r="CW36" s="19">
        <f t="shared" si="10"/>
        <v>0</v>
      </c>
      <c r="CX36" s="19">
        <f t="shared" si="11"/>
        <v>0</v>
      </c>
      <c r="CY36" s="19">
        <v>0</v>
      </c>
      <c r="CZ36" s="20">
        <v>0</v>
      </c>
    </row>
    <row r="37" spans="1:105" s="58" customFormat="1" ht="31.5" x14ac:dyDescent="0.25">
      <c r="A37" s="79" t="s">
        <v>106</v>
      </c>
      <c r="B37" s="16" t="s">
        <v>1</v>
      </c>
      <c r="C37" s="17" t="s">
        <v>107</v>
      </c>
      <c r="D37" s="18">
        <f>SUM(D38)</f>
        <v>49859158</v>
      </c>
      <c r="E37" s="18">
        <f t="shared" ref="E37:BT37" si="39">SUM(E38)</f>
        <v>47128326</v>
      </c>
      <c r="F37" s="18">
        <f t="shared" si="39"/>
        <v>44819624</v>
      </c>
      <c r="G37" s="18">
        <f t="shared" si="39"/>
        <v>35265853</v>
      </c>
      <c r="H37" s="18">
        <f t="shared" si="39"/>
        <v>3541522</v>
      </c>
      <c r="I37" s="18">
        <f t="shared" si="39"/>
        <v>2257292</v>
      </c>
      <c r="J37" s="18">
        <f t="shared" si="39"/>
        <v>0</v>
      </c>
      <c r="K37" s="18">
        <f t="shared" si="39"/>
        <v>350034</v>
      </c>
      <c r="L37" s="18">
        <f t="shared" si="39"/>
        <v>0</v>
      </c>
      <c r="M37" s="18">
        <f t="shared" si="39"/>
        <v>0</v>
      </c>
      <c r="N37" s="18">
        <f t="shared" si="39"/>
        <v>841458</v>
      </c>
      <c r="O37" s="18">
        <f t="shared" si="39"/>
        <v>1065800</v>
      </c>
      <c r="P37" s="18">
        <f t="shared" si="39"/>
        <v>0</v>
      </c>
      <c r="Q37" s="18">
        <f t="shared" si="39"/>
        <v>0</v>
      </c>
      <c r="R37" s="18">
        <f t="shared" si="39"/>
        <v>0</v>
      </c>
      <c r="S37" s="18">
        <f t="shared" si="39"/>
        <v>0</v>
      </c>
      <c r="T37" s="18">
        <f t="shared" si="39"/>
        <v>825889</v>
      </c>
      <c r="U37" s="18">
        <f t="shared" si="39"/>
        <v>788423</v>
      </c>
      <c r="V37" s="18">
        <f t="shared" si="39"/>
        <v>339538</v>
      </c>
      <c r="W37" s="18">
        <f t="shared" si="39"/>
        <v>67832</v>
      </c>
      <c r="X37" s="18">
        <f t="shared" si="39"/>
        <v>286498</v>
      </c>
      <c r="Y37" s="18">
        <f t="shared" si="39"/>
        <v>36741</v>
      </c>
      <c r="Z37" s="18">
        <f t="shared" si="39"/>
        <v>17713</v>
      </c>
      <c r="AA37" s="18">
        <f t="shared" si="39"/>
        <v>0</v>
      </c>
      <c r="AB37" s="18">
        <f t="shared" si="39"/>
        <v>0</v>
      </c>
      <c r="AC37" s="18">
        <f t="shared" si="39"/>
        <v>40101</v>
      </c>
      <c r="AD37" s="18">
        <f t="shared" si="39"/>
        <v>2140645</v>
      </c>
      <c r="AE37" s="18">
        <f t="shared" si="39"/>
        <v>0</v>
      </c>
      <c r="AF37" s="18">
        <f t="shared" si="39"/>
        <v>0</v>
      </c>
      <c r="AG37" s="18">
        <f t="shared" si="39"/>
        <v>125000</v>
      </c>
      <c r="AH37" s="18">
        <f t="shared" si="39"/>
        <v>237139</v>
      </c>
      <c r="AI37" s="18">
        <f t="shared" si="39"/>
        <v>0</v>
      </c>
      <c r="AJ37" s="18">
        <f t="shared" si="39"/>
        <v>43024</v>
      </c>
      <c r="AK37" s="18">
        <f t="shared" si="39"/>
        <v>16972</v>
      </c>
      <c r="AL37" s="18">
        <f t="shared" si="39"/>
        <v>63561</v>
      </c>
      <c r="AM37" s="18">
        <f t="shared" si="39"/>
        <v>0</v>
      </c>
      <c r="AN37" s="18">
        <f t="shared" si="39"/>
        <v>22407</v>
      </c>
      <c r="AO37" s="18">
        <f t="shared" si="39"/>
        <v>0</v>
      </c>
      <c r="AP37" s="18"/>
      <c r="AQ37" s="18">
        <f t="shared" si="39"/>
        <v>0</v>
      </c>
      <c r="AR37" s="18">
        <f t="shared" si="39"/>
        <v>77117</v>
      </c>
      <c r="AS37" s="18">
        <f t="shared" si="39"/>
        <v>0</v>
      </c>
      <c r="AT37" s="18"/>
      <c r="AU37" s="18"/>
      <c r="AV37" s="18">
        <f t="shared" si="39"/>
        <v>0</v>
      </c>
      <c r="AW37" s="18">
        <f t="shared" si="39"/>
        <v>1016988</v>
      </c>
      <c r="AX37" s="18">
        <f t="shared" si="39"/>
        <v>0</v>
      </c>
      <c r="AY37" s="18"/>
      <c r="AZ37" s="18">
        <f t="shared" si="39"/>
        <v>538437</v>
      </c>
      <c r="BA37" s="18">
        <f t="shared" si="39"/>
        <v>2308702</v>
      </c>
      <c r="BB37" s="18">
        <f t="shared" si="39"/>
        <v>0</v>
      </c>
      <c r="BC37" s="18">
        <f t="shared" si="39"/>
        <v>0</v>
      </c>
      <c r="BD37" s="18">
        <f t="shared" si="39"/>
        <v>0</v>
      </c>
      <c r="BE37" s="18">
        <f t="shared" si="39"/>
        <v>0</v>
      </c>
      <c r="BF37" s="18">
        <f t="shared" si="39"/>
        <v>0</v>
      </c>
      <c r="BG37" s="18">
        <f t="shared" si="39"/>
        <v>0</v>
      </c>
      <c r="BH37" s="18">
        <f t="shared" si="39"/>
        <v>0</v>
      </c>
      <c r="BI37" s="18">
        <f t="shared" si="39"/>
        <v>0</v>
      </c>
      <c r="BJ37" s="18">
        <f t="shared" si="39"/>
        <v>0</v>
      </c>
      <c r="BK37" s="18">
        <f t="shared" si="39"/>
        <v>0</v>
      </c>
      <c r="BL37" s="18">
        <f t="shared" si="39"/>
        <v>0</v>
      </c>
      <c r="BM37" s="18">
        <f t="shared" si="39"/>
        <v>0</v>
      </c>
      <c r="BN37" s="18">
        <f t="shared" si="39"/>
        <v>2308702</v>
      </c>
      <c r="BO37" s="18">
        <f t="shared" si="39"/>
        <v>0</v>
      </c>
      <c r="BP37" s="18">
        <f t="shared" si="39"/>
        <v>0</v>
      </c>
      <c r="BQ37" s="18">
        <f t="shared" si="39"/>
        <v>0</v>
      </c>
      <c r="BR37" s="18">
        <f t="shared" si="39"/>
        <v>0</v>
      </c>
      <c r="BS37" s="18">
        <f t="shared" si="39"/>
        <v>0</v>
      </c>
      <c r="BT37" s="18">
        <f t="shared" si="39"/>
        <v>0</v>
      </c>
      <c r="BU37" s="18">
        <f t="shared" ref="BU37:CZ37" si="40">SUM(BU38)</f>
        <v>0</v>
      </c>
      <c r="BV37" s="18">
        <f t="shared" si="40"/>
        <v>0</v>
      </c>
      <c r="BW37" s="18">
        <f t="shared" si="40"/>
        <v>0</v>
      </c>
      <c r="BX37" s="18">
        <f t="shared" si="40"/>
        <v>2308702</v>
      </c>
      <c r="BY37" s="18">
        <f t="shared" si="40"/>
        <v>0</v>
      </c>
      <c r="BZ37" s="18">
        <f t="shared" si="40"/>
        <v>2730832</v>
      </c>
      <c r="CA37" s="18">
        <f t="shared" si="40"/>
        <v>2730832</v>
      </c>
      <c r="CB37" s="18">
        <f t="shared" si="40"/>
        <v>1397780</v>
      </c>
      <c r="CC37" s="18">
        <f t="shared" si="40"/>
        <v>0</v>
      </c>
      <c r="CD37" s="18">
        <f t="shared" si="40"/>
        <v>1397780</v>
      </c>
      <c r="CE37" s="18">
        <f t="shared" si="40"/>
        <v>0</v>
      </c>
      <c r="CF37" s="18">
        <f t="shared" si="40"/>
        <v>0</v>
      </c>
      <c r="CG37" s="18">
        <f t="shared" si="40"/>
        <v>0</v>
      </c>
      <c r="CH37" s="18">
        <f t="shared" si="40"/>
        <v>0</v>
      </c>
      <c r="CI37" s="18">
        <f t="shared" si="40"/>
        <v>0</v>
      </c>
      <c r="CJ37" s="18">
        <f t="shared" si="40"/>
        <v>0</v>
      </c>
      <c r="CK37" s="18">
        <f t="shared" si="40"/>
        <v>1333052</v>
      </c>
      <c r="CL37" s="18">
        <f t="shared" si="40"/>
        <v>0</v>
      </c>
      <c r="CM37" s="18">
        <f t="shared" si="40"/>
        <v>0</v>
      </c>
      <c r="CN37" s="18">
        <f t="shared" si="40"/>
        <v>1333052</v>
      </c>
      <c r="CO37" s="18"/>
      <c r="CP37" s="18"/>
      <c r="CQ37" s="18"/>
      <c r="CR37" s="18"/>
      <c r="CS37" s="18">
        <f t="shared" si="40"/>
        <v>0</v>
      </c>
      <c r="CT37" s="18"/>
      <c r="CU37" s="18"/>
      <c r="CV37" s="18"/>
      <c r="CW37" s="18">
        <f t="shared" si="40"/>
        <v>0</v>
      </c>
      <c r="CX37" s="18">
        <f t="shared" si="40"/>
        <v>0</v>
      </c>
      <c r="CY37" s="18">
        <f t="shared" si="40"/>
        <v>0</v>
      </c>
      <c r="CZ37" s="46">
        <f t="shared" si="40"/>
        <v>0</v>
      </c>
      <c r="DA37" s="57"/>
    </row>
    <row r="38" spans="1:105" ht="15.75" x14ac:dyDescent="0.25">
      <c r="A38" s="80" t="s">
        <v>1</v>
      </c>
      <c r="B38" s="21" t="s">
        <v>103</v>
      </c>
      <c r="C38" s="22" t="s">
        <v>504</v>
      </c>
      <c r="D38" s="18">
        <f>SUM(E38+BZ38+CW38)</f>
        <v>49859158</v>
      </c>
      <c r="E38" s="19">
        <f>SUM(F38+BA38)</f>
        <v>47128326</v>
      </c>
      <c r="F38" s="19">
        <f>SUM(G38+H38+I38+P38+S38+T38+U38+AD38)</f>
        <v>44819624</v>
      </c>
      <c r="G38" s="23">
        <v>35265853</v>
      </c>
      <c r="H38" s="23">
        <v>3541522</v>
      </c>
      <c r="I38" s="19">
        <f t="shared" si="6"/>
        <v>2257292</v>
      </c>
      <c r="J38" s="39">
        <v>0</v>
      </c>
      <c r="K38" s="23">
        <v>350034</v>
      </c>
      <c r="L38" s="23">
        <v>0</v>
      </c>
      <c r="M38" s="23">
        <v>0</v>
      </c>
      <c r="N38" s="23">
        <v>841458</v>
      </c>
      <c r="O38" s="23">
        <v>1065800</v>
      </c>
      <c r="P38" s="19">
        <f t="shared" si="7"/>
        <v>0</v>
      </c>
      <c r="Q38" s="23"/>
      <c r="R38" s="23"/>
      <c r="S38" s="23"/>
      <c r="T38" s="23">
        <v>825889</v>
      </c>
      <c r="U38" s="19">
        <f>SUM(V38:AC38)</f>
        <v>788423</v>
      </c>
      <c r="V38" s="23">
        <v>339538</v>
      </c>
      <c r="W38" s="23">
        <v>67832</v>
      </c>
      <c r="X38" s="23">
        <v>286498</v>
      </c>
      <c r="Y38" s="23">
        <v>36741</v>
      </c>
      <c r="Z38" s="23">
        <v>17713</v>
      </c>
      <c r="AA38" s="23">
        <v>0</v>
      </c>
      <c r="AB38" s="23">
        <v>0</v>
      </c>
      <c r="AC38" s="23">
        <v>40101</v>
      </c>
      <c r="AD38" s="19">
        <f>SUM(AE38:AZ38)</f>
        <v>2140645</v>
      </c>
      <c r="AE38" s="19">
        <v>0</v>
      </c>
      <c r="AF38" s="19">
        <v>0</v>
      </c>
      <c r="AG38" s="23">
        <v>125000</v>
      </c>
      <c r="AH38" s="23">
        <v>237139</v>
      </c>
      <c r="AI38" s="23">
        <v>0</v>
      </c>
      <c r="AJ38" s="23">
        <v>43024</v>
      </c>
      <c r="AK38" s="23">
        <v>16972</v>
      </c>
      <c r="AL38" s="23">
        <v>63561</v>
      </c>
      <c r="AM38" s="23">
        <v>0</v>
      </c>
      <c r="AN38" s="23">
        <v>22407</v>
      </c>
      <c r="AO38" s="23">
        <v>0</v>
      </c>
      <c r="AP38" s="23"/>
      <c r="AQ38" s="23">
        <v>0</v>
      </c>
      <c r="AR38" s="23">
        <v>77117</v>
      </c>
      <c r="AS38" s="23">
        <v>0</v>
      </c>
      <c r="AT38" s="23">
        <v>0</v>
      </c>
      <c r="AU38" s="23">
        <v>0</v>
      </c>
      <c r="AV38" s="23">
        <v>0</v>
      </c>
      <c r="AW38" s="23">
        <v>1016988</v>
      </c>
      <c r="AX38" s="23">
        <v>0</v>
      </c>
      <c r="AY38" s="23">
        <v>0</v>
      </c>
      <c r="AZ38" s="23">
        <v>538437</v>
      </c>
      <c r="BA38" s="19">
        <f>SUM(BB38+BF38+BI38+BK38+BN38)</f>
        <v>2308702</v>
      </c>
      <c r="BB38" s="19">
        <f>SUM(BC38:BE38)</f>
        <v>0</v>
      </c>
      <c r="BC38" s="19">
        <v>0</v>
      </c>
      <c r="BD38" s="19">
        <v>0</v>
      </c>
      <c r="BE38" s="19">
        <v>0</v>
      </c>
      <c r="BF38" s="19">
        <f>SUM(BH38:BH38)</f>
        <v>0</v>
      </c>
      <c r="BG38" s="19">
        <v>0</v>
      </c>
      <c r="BH38" s="19">
        <v>0</v>
      </c>
      <c r="BI38" s="19">
        <v>0</v>
      </c>
      <c r="BJ38" s="19">
        <v>0</v>
      </c>
      <c r="BK38" s="19">
        <f t="shared" si="8"/>
        <v>0</v>
      </c>
      <c r="BL38" s="19">
        <v>0</v>
      </c>
      <c r="BM38" s="19">
        <v>0</v>
      </c>
      <c r="BN38" s="19">
        <f>SUM(BO38:BY38)</f>
        <v>2308702</v>
      </c>
      <c r="BO38" s="19">
        <v>0</v>
      </c>
      <c r="BP38" s="19">
        <v>0</v>
      </c>
      <c r="BQ38" s="19">
        <v>0</v>
      </c>
      <c r="BR38" s="19">
        <v>0</v>
      </c>
      <c r="BS38" s="19">
        <v>0</v>
      </c>
      <c r="BT38" s="19">
        <v>0</v>
      </c>
      <c r="BU38" s="19">
        <v>0</v>
      </c>
      <c r="BV38" s="19">
        <v>0</v>
      </c>
      <c r="BW38" s="19">
        <v>0</v>
      </c>
      <c r="BX38" s="23">
        <v>2308702</v>
      </c>
      <c r="BY38" s="19">
        <v>0</v>
      </c>
      <c r="BZ38" s="19">
        <f>SUM(CA38+CS38)</f>
        <v>2730832</v>
      </c>
      <c r="CA38" s="19">
        <f>SUM(CB38+CE38+CK38)</f>
        <v>2730832</v>
      </c>
      <c r="CB38" s="19">
        <f t="shared" si="9"/>
        <v>1397780</v>
      </c>
      <c r="CC38" s="19">
        <v>0</v>
      </c>
      <c r="CD38" s="23">
        <v>1397780</v>
      </c>
      <c r="CE38" s="19">
        <f>SUM(CF38:CJ38)</f>
        <v>0</v>
      </c>
      <c r="CF38" s="19">
        <v>0</v>
      </c>
      <c r="CG38" s="19">
        <v>0</v>
      </c>
      <c r="CH38" s="19">
        <v>0</v>
      </c>
      <c r="CI38" s="19">
        <v>0</v>
      </c>
      <c r="CJ38" s="19">
        <v>0</v>
      </c>
      <c r="CK38" s="19">
        <f>SUM(CL38:CP38)</f>
        <v>1333052</v>
      </c>
      <c r="CL38" s="19"/>
      <c r="CM38" s="19"/>
      <c r="CN38" s="23">
        <v>1333052</v>
      </c>
      <c r="CO38" s="19"/>
      <c r="CP38" s="19"/>
      <c r="CQ38" s="19"/>
      <c r="CR38" s="19"/>
      <c r="CS38" s="19">
        <v>0</v>
      </c>
      <c r="CT38" s="19"/>
      <c r="CU38" s="19"/>
      <c r="CV38" s="19"/>
      <c r="CW38" s="19">
        <f t="shared" si="10"/>
        <v>0</v>
      </c>
      <c r="CX38" s="19">
        <f t="shared" si="11"/>
        <v>0</v>
      </c>
      <c r="CY38" s="19">
        <v>0</v>
      </c>
      <c r="CZ38" s="20">
        <v>0</v>
      </c>
    </row>
    <row r="39" spans="1:105" s="58" customFormat="1" ht="31.5" x14ac:dyDescent="0.25">
      <c r="A39" s="79" t="s">
        <v>108</v>
      </c>
      <c r="B39" s="16" t="s">
        <v>1</v>
      </c>
      <c r="C39" s="17" t="s">
        <v>109</v>
      </c>
      <c r="D39" s="18">
        <f t="shared" ref="D39:AS39" si="41">SUM(D40:D43)</f>
        <v>18416472</v>
      </c>
      <c r="E39" s="18">
        <f t="shared" si="41"/>
        <v>18268243</v>
      </c>
      <c r="F39" s="18">
        <f t="shared" si="41"/>
        <v>18265559</v>
      </c>
      <c r="G39" s="18">
        <f t="shared" si="41"/>
        <v>12764788</v>
      </c>
      <c r="H39" s="18">
        <f t="shared" si="41"/>
        <v>3113182</v>
      </c>
      <c r="I39" s="18">
        <f t="shared" si="41"/>
        <v>623666</v>
      </c>
      <c r="J39" s="18">
        <f t="shared" si="41"/>
        <v>0</v>
      </c>
      <c r="K39" s="18">
        <f t="shared" si="41"/>
        <v>0</v>
      </c>
      <c r="L39" s="18">
        <f t="shared" si="41"/>
        <v>0</v>
      </c>
      <c r="M39" s="18">
        <f t="shared" si="41"/>
        <v>0</v>
      </c>
      <c r="N39" s="18">
        <f t="shared" si="41"/>
        <v>291055</v>
      </c>
      <c r="O39" s="18">
        <f t="shared" si="41"/>
        <v>332611</v>
      </c>
      <c r="P39" s="18">
        <f t="shared" si="41"/>
        <v>109405</v>
      </c>
      <c r="Q39" s="18">
        <f t="shared" si="41"/>
        <v>11795</v>
      </c>
      <c r="R39" s="18">
        <f t="shared" si="41"/>
        <v>97610</v>
      </c>
      <c r="S39" s="18">
        <f t="shared" si="41"/>
        <v>35000</v>
      </c>
      <c r="T39" s="18">
        <f t="shared" si="41"/>
        <v>258355</v>
      </c>
      <c r="U39" s="18">
        <f t="shared" si="41"/>
        <v>626787</v>
      </c>
      <c r="V39" s="18">
        <f t="shared" si="41"/>
        <v>62922</v>
      </c>
      <c r="W39" s="18">
        <f t="shared" si="41"/>
        <v>77396</v>
      </c>
      <c r="X39" s="18">
        <f t="shared" si="41"/>
        <v>80901</v>
      </c>
      <c r="Y39" s="18">
        <f t="shared" si="41"/>
        <v>16817</v>
      </c>
      <c r="Z39" s="18">
        <f t="shared" si="41"/>
        <v>13337</v>
      </c>
      <c r="AA39" s="18">
        <f t="shared" si="41"/>
        <v>363982</v>
      </c>
      <c r="AB39" s="18">
        <f t="shared" si="41"/>
        <v>0</v>
      </c>
      <c r="AC39" s="18">
        <f t="shared" si="41"/>
        <v>11432</v>
      </c>
      <c r="AD39" s="18">
        <f t="shared" si="41"/>
        <v>734376</v>
      </c>
      <c r="AE39" s="18">
        <f t="shared" si="41"/>
        <v>0</v>
      </c>
      <c r="AF39" s="18">
        <f t="shared" si="41"/>
        <v>0</v>
      </c>
      <c r="AG39" s="18">
        <f t="shared" si="41"/>
        <v>42881</v>
      </c>
      <c r="AH39" s="18">
        <f t="shared" si="41"/>
        <v>238023</v>
      </c>
      <c r="AI39" s="18">
        <f t="shared" si="41"/>
        <v>0</v>
      </c>
      <c r="AJ39" s="18">
        <f t="shared" si="41"/>
        <v>8198</v>
      </c>
      <c r="AK39" s="18">
        <f t="shared" si="41"/>
        <v>505</v>
      </c>
      <c r="AL39" s="18">
        <f t="shared" si="41"/>
        <v>4800</v>
      </c>
      <c r="AM39" s="18">
        <f t="shared" si="41"/>
        <v>93955</v>
      </c>
      <c r="AN39" s="18">
        <f t="shared" si="41"/>
        <v>7566</v>
      </c>
      <c r="AO39" s="18">
        <f t="shared" si="41"/>
        <v>1005</v>
      </c>
      <c r="AP39" s="18"/>
      <c r="AQ39" s="18">
        <f t="shared" si="41"/>
        <v>0</v>
      </c>
      <c r="AR39" s="18">
        <f t="shared" si="41"/>
        <v>66994</v>
      </c>
      <c r="AS39" s="18">
        <f t="shared" si="41"/>
        <v>0</v>
      </c>
      <c r="AT39" s="18"/>
      <c r="AU39" s="18"/>
      <c r="AV39" s="18">
        <f>SUM(AV40:AV43)</f>
        <v>0</v>
      </c>
      <c r="AW39" s="18">
        <f>SUM(AW40:AW43)</f>
        <v>0</v>
      </c>
      <c r="AX39" s="18">
        <f>SUM(AX40:AX43)</f>
        <v>153538</v>
      </c>
      <c r="AY39" s="18"/>
      <c r="AZ39" s="18">
        <f t="shared" ref="AZ39:CN39" si="42">SUM(AZ40:AZ43)</f>
        <v>116911</v>
      </c>
      <c r="BA39" s="18">
        <f t="shared" si="42"/>
        <v>2684</v>
      </c>
      <c r="BB39" s="18">
        <f t="shared" si="42"/>
        <v>0</v>
      </c>
      <c r="BC39" s="18">
        <f t="shared" si="42"/>
        <v>0</v>
      </c>
      <c r="BD39" s="18">
        <f t="shared" si="42"/>
        <v>0</v>
      </c>
      <c r="BE39" s="18">
        <f t="shared" si="42"/>
        <v>0</v>
      </c>
      <c r="BF39" s="18">
        <f t="shared" si="42"/>
        <v>0</v>
      </c>
      <c r="BG39" s="18">
        <f t="shared" si="42"/>
        <v>0</v>
      </c>
      <c r="BH39" s="18">
        <f t="shared" si="42"/>
        <v>0</v>
      </c>
      <c r="BI39" s="18">
        <f t="shared" si="42"/>
        <v>0</v>
      </c>
      <c r="BJ39" s="18">
        <f t="shared" ref="BJ39" si="43">SUM(BJ40:BJ43)</f>
        <v>0</v>
      </c>
      <c r="BK39" s="18">
        <f t="shared" si="42"/>
        <v>0</v>
      </c>
      <c r="BL39" s="18">
        <f t="shared" si="42"/>
        <v>0</v>
      </c>
      <c r="BM39" s="18">
        <f t="shared" si="42"/>
        <v>0</v>
      </c>
      <c r="BN39" s="18">
        <f t="shared" si="42"/>
        <v>2684</v>
      </c>
      <c r="BO39" s="18">
        <f t="shared" si="42"/>
        <v>0</v>
      </c>
      <c r="BP39" s="18">
        <f t="shared" si="42"/>
        <v>0</v>
      </c>
      <c r="BQ39" s="18">
        <f t="shared" si="42"/>
        <v>0</v>
      </c>
      <c r="BR39" s="18">
        <f t="shared" si="42"/>
        <v>0</v>
      </c>
      <c r="BS39" s="18">
        <f t="shared" si="42"/>
        <v>0</v>
      </c>
      <c r="BT39" s="18">
        <f t="shared" si="42"/>
        <v>0</v>
      </c>
      <c r="BU39" s="18">
        <f t="shared" si="42"/>
        <v>0</v>
      </c>
      <c r="BV39" s="18">
        <f t="shared" si="42"/>
        <v>0</v>
      </c>
      <c r="BW39" s="18">
        <f t="shared" si="42"/>
        <v>0</v>
      </c>
      <c r="BX39" s="18">
        <f t="shared" si="42"/>
        <v>2684</v>
      </c>
      <c r="BY39" s="18">
        <f t="shared" si="42"/>
        <v>0</v>
      </c>
      <c r="BZ39" s="18">
        <f t="shared" si="42"/>
        <v>148229</v>
      </c>
      <c r="CA39" s="18">
        <f t="shared" si="42"/>
        <v>148229</v>
      </c>
      <c r="CB39" s="18">
        <f t="shared" si="42"/>
        <v>148229</v>
      </c>
      <c r="CC39" s="18">
        <f t="shared" si="42"/>
        <v>0</v>
      </c>
      <c r="CD39" s="18">
        <f t="shared" si="42"/>
        <v>148229</v>
      </c>
      <c r="CE39" s="18">
        <f t="shared" si="42"/>
        <v>0</v>
      </c>
      <c r="CF39" s="18">
        <f t="shared" si="42"/>
        <v>0</v>
      </c>
      <c r="CG39" s="18">
        <f t="shared" si="42"/>
        <v>0</v>
      </c>
      <c r="CH39" s="18">
        <f t="shared" si="42"/>
        <v>0</v>
      </c>
      <c r="CI39" s="18">
        <f t="shared" si="42"/>
        <v>0</v>
      </c>
      <c r="CJ39" s="18">
        <f t="shared" si="42"/>
        <v>0</v>
      </c>
      <c r="CK39" s="18">
        <f t="shared" si="42"/>
        <v>0</v>
      </c>
      <c r="CL39" s="18">
        <f t="shared" si="42"/>
        <v>0</v>
      </c>
      <c r="CM39" s="18">
        <f t="shared" si="42"/>
        <v>0</v>
      </c>
      <c r="CN39" s="18">
        <f t="shared" si="42"/>
        <v>0</v>
      </c>
      <c r="CO39" s="18"/>
      <c r="CP39" s="18"/>
      <c r="CQ39" s="18"/>
      <c r="CR39" s="18"/>
      <c r="CS39" s="18">
        <f>SUM(CS40:CS43)</f>
        <v>0</v>
      </c>
      <c r="CT39" s="18"/>
      <c r="CU39" s="18"/>
      <c r="CV39" s="18"/>
      <c r="CW39" s="18">
        <f>SUM(CW40:CW43)</f>
        <v>0</v>
      </c>
      <c r="CX39" s="18">
        <f>SUM(CX40:CX43)</f>
        <v>0</v>
      </c>
      <c r="CY39" s="18">
        <f>SUM(CY40:CY43)</f>
        <v>0</v>
      </c>
      <c r="CZ39" s="46">
        <f>SUM(CZ40:CZ43)</f>
        <v>0</v>
      </c>
      <c r="DA39" s="57"/>
    </row>
    <row r="40" spans="1:105" ht="15.75" x14ac:dyDescent="0.25">
      <c r="A40" s="80" t="s">
        <v>1</v>
      </c>
      <c r="B40" s="21" t="s">
        <v>80</v>
      </c>
      <c r="C40" s="22" t="s">
        <v>357</v>
      </c>
      <c r="D40" s="18">
        <f>SUM(E40+BZ40+CW40)</f>
        <v>1851549</v>
      </c>
      <c r="E40" s="19">
        <f>SUM(F40+BA40)</f>
        <v>1833083</v>
      </c>
      <c r="F40" s="19">
        <f t="shared" ref="F40:F43" si="44">SUM(G40+H40+I40+P40+S40+T40+U40+AD40)</f>
        <v>1833083</v>
      </c>
      <c r="G40" s="23">
        <v>1015440</v>
      </c>
      <c r="H40" s="23">
        <v>253860</v>
      </c>
      <c r="I40" s="19">
        <f t="shared" si="6"/>
        <v>45174</v>
      </c>
      <c r="J40" s="19">
        <v>0</v>
      </c>
      <c r="K40" s="19">
        <v>0</v>
      </c>
      <c r="L40" s="19">
        <v>0</v>
      </c>
      <c r="M40" s="19">
        <v>0</v>
      </c>
      <c r="N40" s="23">
        <v>19788</v>
      </c>
      <c r="O40" s="23">
        <v>25386</v>
      </c>
      <c r="P40" s="19">
        <f t="shared" si="7"/>
        <v>109405</v>
      </c>
      <c r="Q40" s="23">
        <v>11795</v>
      </c>
      <c r="R40" s="23">
        <v>97610</v>
      </c>
      <c r="S40" s="23">
        <v>35000</v>
      </c>
      <c r="T40" s="23">
        <v>28154</v>
      </c>
      <c r="U40" s="19">
        <f t="shared" ref="U40:U43" si="45">SUM(V40:AC40)</f>
        <v>212520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212520</v>
      </c>
      <c r="AB40" s="23">
        <v>0</v>
      </c>
      <c r="AC40" s="23">
        <v>0</v>
      </c>
      <c r="AD40" s="19">
        <f>SUM(AE40:AZ40)</f>
        <v>133530</v>
      </c>
      <c r="AE40" s="19">
        <v>0</v>
      </c>
      <c r="AF40" s="19">
        <v>0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23">
        <v>0</v>
      </c>
      <c r="AM40" s="23">
        <v>75130</v>
      </c>
      <c r="AN40" s="23">
        <v>0</v>
      </c>
      <c r="AO40" s="23">
        <v>0</v>
      </c>
      <c r="AP40" s="23"/>
      <c r="AQ40" s="23">
        <v>0</v>
      </c>
      <c r="AR40" s="23">
        <v>0</v>
      </c>
      <c r="AS40" s="23">
        <v>0</v>
      </c>
      <c r="AT40" s="23">
        <v>0</v>
      </c>
      <c r="AU40" s="23">
        <v>0</v>
      </c>
      <c r="AV40" s="23">
        <v>0</v>
      </c>
      <c r="AW40" s="23">
        <v>0</v>
      </c>
      <c r="AX40" s="23">
        <v>0</v>
      </c>
      <c r="AY40" s="23">
        <v>0</v>
      </c>
      <c r="AZ40" s="23">
        <v>58400</v>
      </c>
      <c r="BA40" s="19">
        <f t="shared" ref="BA40:BA43" si="46">SUM(BB40+BF40+BI40+BK40+BN40)</f>
        <v>0</v>
      </c>
      <c r="BB40" s="19">
        <f>SUM(BC40:BE40)</f>
        <v>0</v>
      </c>
      <c r="BC40" s="19">
        <v>0</v>
      </c>
      <c r="BD40" s="19">
        <v>0</v>
      </c>
      <c r="BE40" s="19">
        <v>0</v>
      </c>
      <c r="BF40" s="19">
        <f>SUM(BH40:BH40)</f>
        <v>0</v>
      </c>
      <c r="BG40" s="19">
        <v>0</v>
      </c>
      <c r="BH40" s="19">
        <v>0</v>
      </c>
      <c r="BI40" s="19">
        <v>0</v>
      </c>
      <c r="BJ40" s="19">
        <v>0</v>
      </c>
      <c r="BK40" s="19">
        <f t="shared" si="8"/>
        <v>0</v>
      </c>
      <c r="BL40" s="19">
        <v>0</v>
      </c>
      <c r="BM40" s="19">
        <v>0</v>
      </c>
      <c r="BN40" s="19">
        <f>SUM(BO40:BY40)</f>
        <v>0</v>
      </c>
      <c r="BO40" s="19">
        <v>0</v>
      </c>
      <c r="BP40" s="19">
        <v>0</v>
      </c>
      <c r="BQ40" s="19">
        <v>0</v>
      </c>
      <c r="BR40" s="19">
        <v>0</v>
      </c>
      <c r="BS40" s="19">
        <v>0</v>
      </c>
      <c r="BT40" s="19">
        <v>0</v>
      </c>
      <c r="BU40" s="19">
        <v>0</v>
      </c>
      <c r="BV40" s="19">
        <v>0</v>
      </c>
      <c r="BW40" s="19">
        <v>0</v>
      </c>
      <c r="BX40" s="23">
        <v>0</v>
      </c>
      <c r="BY40" s="19">
        <v>0</v>
      </c>
      <c r="BZ40" s="19">
        <f>SUM(CA40+CS40)</f>
        <v>18466</v>
      </c>
      <c r="CA40" s="19">
        <f>SUM(CB40+CE40+CK40)</f>
        <v>18466</v>
      </c>
      <c r="CB40" s="19">
        <f t="shared" si="9"/>
        <v>18466</v>
      </c>
      <c r="CC40" s="19">
        <v>0</v>
      </c>
      <c r="CD40" s="23">
        <v>18466</v>
      </c>
      <c r="CE40" s="19">
        <f t="shared" ref="CE40:CE43" si="47">SUM(CF40:CJ40)</f>
        <v>0</v>
      </c>
      <c r="CF40" s="19">
        <v>0</v>
      </c>
      <c r="CG40" s="19">
        <v>0</v>
      </c>
      <c r="CH40" s="19">
        <v>0</v>
      </c>
      <c r="CI40" s="19">
        <v>0</v>
      </c>
      <c r="CJ40" s="19">
        <v>0</v>
      </c>
      <c r="CK40" s="19">
        <f>SUM(CL40:CP40)</f>
        <v>0</v>
      </c>
      <c r="CL40" s="19">
        <v>0</v>
      </c>
      <c r="CM40" s="19">
        <v>0</v>
      </c>
      <c r="CN40" s="19">
        <v>0</v>
      </c>
      <c r="CO40" s="19"/>
      <c r="CP40" s="19"/>
      <c r="CQ40" s="19"/>
      <c r="CR40" s="19"/>
      <c r="CS40" s="19">
        <v>0</v>
      </c>
      <c r="CT40" s="19"/>
      <c r="CU40" s="19"/>
      <c r="CV40" s="19"/>
      <c r="CW40" s="19">
        <f t="shared" si="10"/>
        <v>0</v>
      </c>
      <c r="CX40" s="19">
        <f t="shared" si="11"/>
        <v>0</v>
      </c>
      <c r="CY40" s="19">
        <v>0</v>
      </c>
      <c r="CZ40" s="20">
        <v>0</v>
      </c>
    </row>
    <row r="41" spans="1:105" ht="15.75" x14ac:dyDescent="0.25">
      <c r="A41" s="80" t="s">
        <v>1</v>
      </c>
      <c r="B41" s="21" t="s">
        <v>80</v>
      </c>
      <c r="C41" s="22" t="s">
        <v>358</v>
      </c>
      <c r="D41" s="18">
        <f>SUM(E41+BZ41+CW41)</f>
        <v>896252</v>
      </c>
      <c r="E41" s="19">
        <f>SUM(F41+BA41)</f>
        <v>875253</v>
      </c>
      <c r="F41" s="19">
        <f t="shared" si="44"/>
        <v>875253</v>
      </c>
      <c r="G41" s="23">
        <v>624000</v>
      </c>
      <c r="H41" s="23">
        <v>156000</v>
      </c>
      <c r="I41" s="19">
        <f t="shared" si="6"/>
        <v>44860</v>
      </c>
      <c r="J41" s="19">
        <v>0</v>
      </c>
      <c r="K41" s="19">
        <v>0</v>
      </c>
      <c r="L41" s="19">
        <v>0</v>
      </c>
      <c r="M41" s="19">
        <v>0</v>
      </c>
      <c r="N41" s="23">
        <v>14800</v>
      </c>
      <c r="O41" s="23">
        <v>30060</v>
      </c>
      <c r="P41" s="19">
        <f t="shared" si="7"/>
        <v>0</v>
      </c>
      <c r="Q41" s="23"/>
      <c r="R41" s="23"/>
      <c r="S41" s="23"/>
      <c r="T41" s="23">
        <v>1393</v>
      </c>
      <c r="U41" s="19">
        <f t="shared" si="45"/>
        <v>5953</v>
      </c>
      <c r="V41" s="23">
        <v>3130</v>
      </c>
      <c r="W41" s="23">
        <v>1088</v>
      </c>
      <c r="X41" s="23">
        <v>1735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19">
        <f>SUM(AE41:AZ41)</f>
        <v>43047</v>
      </c>
      <c r="AE41" s="19">
        <v>0</v>
      </c>
      <c r="AF41" s="19">
        <v>0</v>
      </c>
      <c r="AG41" s="23">
        <v>1885</v>
      </c>
      <c r="AH41" s="23">
        <v>2975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/>
      <c r="AQ41" s="23">
        <v>0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38187</v>
      </c>
      <c r="AY41" s="23">
        <v>0</v>
      </c>
      <c r="AZ41" s="23">
        <v>0</v>
      </c>
      <c r="BA41" s="19">
        <f t="shared" si="46"/>
        <v>0</v>
      </c>
      <c r="BB41" s="19">
        <f>SUM(BC41:BE41)</f>
        <v>0</v>
      </c>
      <c r="BC41" s="19">
        <v>0</v>
      </c>
      <c r="BD41" s="19">
        <v>0</v>
      </c>
      <c r="BE41" s="19">
        <v>0</v>
      </c>
      <c r="BF41" s="19">
        <f>SUM(BH41:BH41)</f>
        <v>0</v>
      </c>
      <c r="BG41" s="19">
        <v>0</v>
      </c>
      <c r="BH41" s="19">
        <v>0</v>
      </c>
      <c r="BI41" s="19">
        <v>0</v>
      </c>
      <c r="BJ41" s="19">
        <v>0</v>
      </c>
      <c r="BK41" s="19">
        <f t="shared" si="8"/>
        <v>0</v>
      </c>
      <c r="BL41" s="19">
        <v>0</v>
      </c>
      <c r="BM41" s="19">
        <v>0</v>
      </c>
      <c r="BN41" s="19">
        <f>SUM(BO41:BY41)</f>
        <v>0</v>
      </c>
      <c r="BO41" s="19">
        <v>0</v>
      </c>
      <c r="BP41" s="19">
        <v>0</v>
      </c>
      <c r="BQ41" s="19">
        <v>0</v>
      </c>
      <c r="BR41" s="19">
        <v>0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23">
        <v>0</v>
      </c>
      <c r="BY41" s="19">
        <v>0</v>
      </c>
      <c r="BZ41" s="19">
        <f>SUM(CA41+CS41)</f>
        <v>20999</v>
      </c>
      <c r="CA41" s="19">
        <f>SUM(CB41+CE41+CK41)</f>
        <v>20999</v>
      </c>
      <c r="CB41" s="19">
        <f t="shared" si="9"/>
        <v>20999</v>
      </c>
      <c r="CC41" s="19">
        <v>0</v>
      </c>
      <c r="CD41" s="23">
        <v>20999</v>
      </c>
      <c r="CE41" s="19">
        <f t="shared" si="47"/>
        <v>0</v>
      </c>
      <c r="CF41" s="19">
        <v>0</v>
      </c>
      <c r="CG41" s="19">
        <v>0</v>
      </c>
      <c r="CH41" s="19">
        <v>0</v>
      </c>
      <c r="CI41" s="19">
        <v>0</v>
      </c>
      <c r="CJ41" s="19">
        <v>0</v>
      </c>
      <c r="CK41" s="19">
        <f>SUM(CL41:CP41)</f>
        <v>0</v>
      </c>
      <c r="CL41" s="19">
        <v>0</v>
      </c>
      <c r="CM41" s="19">
        <v>0</v>
      </c>
      <c r="CN41" s="19">
        <v>0</v>
      </c>
      <c r="CO41" s="19"/>
      <c r="CP41" s="19"/>
      <c r="CQ41" s="19"/>
      <c r="CR41" s="19"/>
      <c r="CS41" s="19">
        <v>0</v>
      </c>
      <c r="CT41" s="19"/>
      <c r="CU41" s="19"/>
      <c r="CV41" s="19"/>
      <c r="CW41" s="19">
        <f t="shared" si="10"/>
        <v>0</v>
      </c>
      <c r="CX41" s="19">
        <f t="shared" si="11"/>
        <v>0</v>
      </c>
      <c r="CY41" s="19">
        <v>0</v>
      </c>
      <c r="CZ41" s="20">
        <v>0</v>
      </c>
    </row>
    <row r="42" spans="1:105" ht="31.5" x14ac:dyDescent="0.25">
      <c r="A42" s="80" t="s">
        <v>1</v>
      </c>
      <c r="B42" s="21" t="s">
        <v>88</v>
      </c>
      <c r="C42" s="22" t="s">
        <v>507</v>
      </c>
      <c r="D42" s="18">
        <f>SUM(E42+BZ42+CW42)</f>
        <v>10286501</v>
      </c>
      <c r="E42" s="19">
        <f>SUM(F42+BA42)</f>
        <v>10246555</v>
      </c>
      <c r="F42" s="19">
        <f t="shared" si="44"/>
        <v>10243871</v>
      </c>
      <c r="G42" s="23">
        <v>7390621</v>
      </c>
      <c r="H42" s="23">
        <v>1773543</v>
      </c>
      <c r="I42" s="19">
        <f t="shared" si="6"/>
        <v>312479</v>
      </c>
      <c r="J42" s="19">
        <v>0</v>
      </c>
      <c r="K42" s="19">
        <v>0</v>
      </c>
      <c r="L42" s="19">
        <v>0</v>
      </c>
      <c r="M42" s="19">
        <v>0</v>
      </c>
      <c r="N42" s="23">
        <v>86305</v>
      </c>
      <c r="O42" s="23">
        <v>226174</v>
      </c>
      <c r="P42" s="19">
        <f t="shared" si="7"/>
        <v>0</v>
      </c>
      <c r="Q42" s="23"/>
      <c r="R42" s="23"/>
      <c r="S42" s="23"/>
      <c r="T42" s="23">
        <v>136489</v>
      </c>
      <c r="U42" s="19">
        <f t="shared" si="45"/>
        <v>223654</v>
      </c>
      <c r="V42" s="23">
        <v>56966</v>
      </c>
      <c r="W42" s="23">
        <f>45255+169</f>
        <v>45424</v>
      </c>
      <c r="X42" s="23">
        <v>63132</v>
      </c>
      <c r="Y42" s="23">
        <v>12355</v>
      </c>
      <c r="Z42" s="23">
        <v>6607</v>
      </c>
      <c r="AA42" s="23">
        <v>28720</v>
      </c>
      <c r="AB42" s="23">
        <v>0</v>
      </c>
      <c r="AC42" s="23">
        <v>10450</v>
      </c>
      <c r="AD42" s="19">
        <f>SUM(AE42:AZ42)</f>
        <v>407085</v>
      </c>
      <c r="AE42" s="19">
        <v>0</v>
      </c>
      <c r="AF42" s="19">
        <v>0</v>
      </c>
      <c r="AG42" s="23">
        <v>35828</v>
      </c>
      <c r="AH42" s="23">
        <v>224097</v>
      </c>
      <c r="AI42" s="23">
        <v>0</v>
      </c>
      <c r="AJ42" s="23">
        <v>7681</v>
      </c>
      <c r="AK42" s="23">
        <v>505</v>
      </c>
      <c r="AL42" s="23">
        <v>4800</v>
      </c>
      <c r="AM42" s="23">
        <v>18825</v>
      </c>
      <c r="AN42" s="23">
        <v>7566</v>
      </c>
      <c r="AO42" s="23">
        <v>1005</v>
      </c>
      <c r="AP42" s="23"/>
      <c r="AQ42" s="23">
        <v>0</v>
      </c>
      <c r="AR42" s="23">
        <v>43471</v>
      </c>
      <c r="AS42" s="23">
        <v>0</v>
      </c>
      <c r="AT42" s="23">
        <v>0</v>
      </c>
      <c r="AU42" s="23">
        <v>0</v>
      </c>
      <c r="AV42" s="23">
        <v>0</v>
      </c>
      <c r="AW42" s="23">
        <v>0</v>
      </c>
      <c r="AX42" s="23">
        <v>7747</v>
      </c>
      <c r="AY42" s="23">
        <v>0</v>
      </c>
      <c r="AZ42" s="23">
        <v>55560</v>
      </c>
      <c r="BA42" s="19">
        <f t="shared" si="46"/>
        <v>2684</v>
      </c>
      <c r="BB42" s="19">
        <f>SUM(BC42:BE42)</f>
        <v>0</v>
      </c>
      <c r="BC42" s="19">
        <v>0</v>
      </c>
      <c r="BD42" s="19">
        <v>0</v>
      </c>
      <c r="BE42" s="19">
        <v>0</v>
      </c>
      <c r="BF42" s="19">
        <f>SUM(BH42:BH42)</f>
        <v>0</v>
      </c>
      <c r="BG42" s="19">
        <v>0</v>
      </c>
      <c r="BH42" s="19">
        <v>0</v>
      </c>
      <c r="BI42" s="19">
        <v>0</v>
      </c>
      <c r="BJ42" s="19">
        <v>0</v>
      </c>
      <c r="BK42" s="19">
        <f t="shared" si="8"/>
        <v>0</v>
      </c>
      <c r="BL42" s="19">
        <v>0</v>
      </c>
      <c r="BM42" s="19">
        <v>0</v>
      </c>
      <c r="BN42" s="19">
        <f>SUM(BO42:BY42)</f>
        <v>2684</v>
      </c>
      <c r="BO42" s="19">
        <v>0</v>
      </c>
      <c r="BP42" s="19">
        <v>0</v>
      </c>
      <c r="BQ42" s="19">
        <v>0</v>
      </c>
      <c r="BR42" s="19">
        <v>0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23">
        <v>2684</v>
      </c>
      <c r="BY42" s="19">
        <v>0</v>
      </c>
      <c r="BZ42" s="19">
        <f>SUM(CA42+CS42)</f>
        <v>39946</v>
      </c>
      <c r="CA42" s="19">
        <f>SUM(CB42+CE42+CK42)</f>
        <v>39946</v>
      </c>
      <c r="CB42" s="19">
        <f t="shared" si="9"/>
        <v>39946</v>
      </c>
      <c r="CC42" s="19">
        <v>0</v>
      </c>
      <c r="CD42" s="23">
        <v>39946</v>
      </c>
      <c r="CE42" s="19">
        <f t="shared" si="47"/>
        <v>0</v>
      </c>
      <c r="CF42" s="19">
        <v>0</v>
      </c>
      <c r="CG42" s="19">
        <v>0</v>
      </c>
      <c r="CH42" s="19">
        <v>0</v>
      </c>
      <c r="CI42" s="19">
        <v>0</v>
      </c>
      <c r="CJ42" s="19">
        <v>0</v>
      </c>
      <c r="CK42" s="19">
        <f>SUM(CL42:CP42)</f>
        <v>0</v>
      </c>
      <c r="CL42" s="19">
        <v>0</v>
      </c>
      <c r="CM42" s="19">
        <v>0</v>
      </c>
      <c r="CN42" s="19">
        <v>0</v>
      </c>
      <c r="CO42" s="19"/>
      <c r="CP42" s="19"/>
      <c r="CQ42" s="19"/>
      <c r="CR42" s="19"/>
      <c r="CS42" s="19">
        <v>0</v>
      </c>
      <c r="CT42" s="19"/>
      <c r="CU42" s="19"/>
      <c r="CV42" s="19"/>
      <c r="CW42" s="19">
        <f t="shared" si="10"/>
        <v>0</v>
      </c>
      <c r="CX42" s="19">
        <f t="shared" si="11"/>
        <v>0</v>
      </c>
      <c r="CY42" s="19">
        <v>0</v>
      </c>
      <c r="CZ42" s="20">
        <v>0</v>
      </c>
    </row>
    <row r="43" spans="1:105" ht="31.5" x14ac:dyDescent="0.25">
      <c r="A43" s="80" t="s">
        <v>1</v>
      </c>
      <c r="B43" s="21" t="s">
        <v>92</v>
      </c>
      <c r="C43" s="22" t="s">
        <v>110</v>
      </c>
      <c r="D43" s="18">
        <f>SUM(E43+BZ43+CW43)</f>
        <v>5382170</v>
      </c>
      <c r="E43" s="19">
        <f>SUM(F43+BA43)</f>
        <v>5313352</v>
      </c>
      <c r="F43" s="19">
        <f t="shared" si="44"/>
        <v>5313352</v>
      </c>
      <c r="G43" s="23">
        <v>3734727</v>
      </c>
      <c r="H43" s="23">
        <v>929779</v>
      </c>
      <c r="I43" s="19">
        <f t="shared" si="6"/>
        <v>221153</v>
      </c>
      <c r="J43" s="19">
        <v>0</v>
      </c>
      <c r="K43" s="19">
        <v>0</v>
      </c>
      <c r="L43" s="19">
        <v>0</v>
      </c>
      <c r="M43" s="19">
        <v>0</v>
      </c>
      <c r="N43" s="23">
        <v>170162</v>
      </c>
      <c r="O43" s="23">
        <v>50991</v>
      </c>
      <c r="P43" s="19">
        <f t="shared" si="7"/>
        <v>0</v>
      </c>
      <c r="Q43" s="23"/>
      <c r="R43" s="23"/>
      <c r="S43" s="23"/>
      <c r="T43" s="23">
        <v>92319</v>
      </c>
      <c r="U43" s="19">
        <f t="shared" si="45"/>
        <v>184660</v>
      </c>
      <c r="V43" s="23">
        <v>2826</v>
      </c>
      <c r="W43" s="23">
        <f>30689+195</f>
        <v>30884</v>
      </c>
      <c r="X43" s="23">
        <v>16034</v>
      </c>
      <c r="Y43" s="23">
        <v>4462</v>
      </c>
      <c r="Z43" s="23">
        <v>6730</v>
      </c>
      <c r="AA43" s="23">
        <v>122742</v>
      </c>
      <c r="AB43" s="23">
        <v>0</v>
      </c>
      <c r="AC43" s="23">
        <v>982</v>
      </c>
      <c r="AD43" s="19">
        <f>SUM(AE43:AZ43)</f>
        <v>150714</v>
      </c>
      <c r="AE43" s="19">
        <v>0</v>
      </c>
      <c r="AF43" s="19">
        <v>0</v>
      </c>
      <c r="AG43" s="23">
        <v>5168</v>
      </c>
      <c r="AH43" s="23">
        <v>10951</v>
      </c>
      <c r="AI43" s="23">
        <v>0</v>
      </c>
      <c r="AJ43" s="23">
        <v>517</v>
      </c>
      <c r="AK43" s="23">
        <v>0</v>
      </c>
      <c r="AL43" s="23">
        <v>0</v>
      </c>
      <c r="AM43" s="23">
        <v>0</v>
      </c>
      <c r="AN43" s="23">
        <v>0</v>
      </c>
      <c r="AO43" s="23">
        <v>0</v>
      </c>
      <c r="AP43" s="23"/>
      <c r="AQ43" s="23">
        <v>0</v>
      </c>
      <c r="AR43" s="23">
        <v>23523</v>
      </c>
      <c r="AS43" s="23">
        <v>0</v>
      </c>
      <c r="AT43" s="23">
        <v>0</v>
      </c>
      <c r="AU43" s="23">
        <v>0</v>
      </c>
      <c r="AV43" s="23">
        <v>0</v>
      </c>
      <c r="AW43" s="23">
        <v>0</v>
      </c>
      <c r="AX43" s="23">
        <v>107604</v>
      </c>
      <c r="AY43" s="23">
        <v>0</v>
      </c>
      <c r="AZ43" s="23">
        <v>2951</v>
      </c>
      <c r="BA43" s="19">
        <f t="shared" si="46"/>
        <v>0</v>
      </c>
      <c r="BB43" s="19">
        <f>SUM(BC43:BE43)</f>
        <v>0</v>
      </c>
      <c r="BC43" s="19">
        <v>0</v>
      </c>
      <c r="BD43" s="19">
        <v>0</v>
      </c>
      <c r="BE43" s="19">
        <v>0</v>
      </c>
      <c r="BF43" s="19">
        <f>SUM(BH43:BH43)</f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f t="shared" si="8"/>
        <v>0</v>
      </c>
      <c r="BL43" s="19">
        <v>0</v>
      </c>
      <c r="BM43" s="19">
        <v>0</v>
      </c>
      <c r="BN43" s="19">
        <f>SUM(BO43:BY43)</f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0</v>
      </c>
      <c r="BW43" s="19">
        <v>0</v>
      </c>
      <c r="BX43" s="23">
        <v>0</v>
      </c>
      <c r="BY43" s="19">
        <v>0</v>
      </c>
      <c r="BZ43" s="19">
        <f>SUM(CA43+CS43)</f>
        <v>68818</v>
      </c>
      <c r="CA43" s="19">
        <f>SUM(CB43+CE43+CK43)</f>
        <v>68818</v>
      </c>
      <c r="CB43" s="19">
        <f t="shared" si="9"/>
        <v>68818</v>
      </c>
      <c r="CC43" s="19">
        <v>0</v>
      </c>
      <c r="CD43" s="23">
        <v>68818</v>
      </c>
      <c r="CE43" s="19">
        <f t="shared" si="47"/>
        <v>0</v>
      </c>
      <c r="CF43" s="19">
        <v>0</v>
      </c>
      <c r="CG43" s="19">
        <v>0</v>
      </c>
      <c r="CH43" s="19">
        <v>0</v>
      </c>
      <c r="CI43" s="19">
        <v>0</v>
      </c>
      <c r="CJ43" s="19">
        <v>0</v>
      </c>
      <c r="CK43" s="19">
        <f>SUM(CL43:CP43)</f>
        <v>0</v>
      </c>
      <c r="CL43" s="19">
        <v>0</v>
      </c>
      <c r="CM43" s="19">
        <v>0</v>
      </c>
      <c r="CN43" s="19">
        <v>0</v>
      </c>
      <c r="CO43" s="19"/>
      <c r="CP43" s="19"/>
      <c r="CQ43" s="19"/>
      <c r="CR43" s="19"/>
      <c r="CS43" s="19">
        <v>0</v>
      </c>
      <c r="CT43" s="19"/>
      <c r="CU43" s="19"/>
      <c r="CV43" s="19"/>
      <c r="CW43" s="19">
        <f t="shared" si="10"/>
        <v>0</v>
      </c>
      <c r="CX43" s="19">
        <f t="shared" si="11"/>
        <v>0</v>
      </c>
      <c r="CY43" s="19">
        <v>0</v>
      </c>
      <c r="CZ43" s="20">
        <v>0</v>
      </c>
    </row>
    <row r="44" spans="1:105" s="58" customFormat="1" ht="31.5" x14ac:dyDescent="0.25">
      <c r="A44" s="79" t="s">
        <v>111</v>
      </c>
      <c r="B44" s="16" t="s">
        <v>1</v>
      </c>
      <c r="C44" s="17" t="s">
        <v>112</v>
      </c>
      <c r="D44" s="18">
        <f t="shared" ref="D44:AX44" si="48">SUM(D45:D45)</f>
        <v>4852292</v>
      </c>
      <c r="E44" s="18">
        <f t="shared" si="48"/>
        <v>4679277</v>
      </c>
      <c r="F44" s="18">
        <f t="shared" si="48"/>
        <v>4679277</v>
      </c>
      <c r="G44" s="18">
        <f t="shared" si="48"/>
        <v>3520240</v>
      </c>
      <c r="H44" s="18">
        <f t="shared" si="48"/>
        <v>843705</v>
      </c>
      <c r="I44" s="18">
        <f t="shared" si="48"/>
        <v>46840</v>
      </c>
      <c r="J44" s="18">
        <f t="shared" si="48"/>
        <v>0</v>
      </c>
      <c r="K44" s="18">
        <f t="shared" si="48"/>
        <v>0</v>
      </c>
      <c r="L44" s="18">
        <f t="shared" si="48"/>
        <v>0</v>
      </c>
      <c r="M44" s="18">
        <f t="shared" si="48"/>
        <v>0</v>
      </c>
      <c r="N44" s="18">
        <f t="shared" si="48"/>
        <v>0</v>
      </c>
      <c r="O44" s="18">
        <f t="shared" si="48"/>
        <v>46840</v>
      </c>
      <c r="P44" s="18">
        <f t="shared" si="48"/>
        <v>146</v>
      </c>
      <c r="Q44" s="18">
        <f t="shared" si="48"/>
        <v>146</v>
      </c>
      <c r="R44" s="18">
        <f t="shared" si="48"/>
        <v>0</v>
      </c>
      <c r="S44" s="18">
        <f t="shared" si="48"/>
        <v>0</v>
      </c>
      <c r="T44" s="18">
        <f t="shared" si="48"/>
        <v>81920</v>
      </c>
      <c r="U44" s="18">
        <f t="shared" si="48"/>
        <v>79708</v>
      </c>
      <c r="V44" s="18">
        <f t="shared" si="48"/>
        <v>8183</v>
      </c>
      <c r="W44" s="18">
        <f t="shared" si="48"/>
        <v>15465</v>
      </c>
      <c r="X44" s="18">
        <f t="shared" si="48"/>
        <v>11070</v>
      </c>
      <c r="Y44" s="18">
        <f t="shared" si="48"/>
        <v>3397</v>
      </c>
      <c r="Z44" s="18">
        <f t="shared" si="48"/>
        <v>430</v>
      </c>
      <c r="AA44" s="18">
        <f t="shared" si="48"/>
        <v>41163</v>
      </c>
      <c r="AB44" s="18">
        <f t="shared" si="48"/>
        <v>0</v>
      </c>
      <c r="AC44" s="18">
        <f t="shared" si="48"/>
        <v>0</v>
      </c>
      <c r="AD44" s="18">
        <f t="shared" si="48"/>
        <v>106718</v>
      </c>
      <c r="AE44" s="18">
        <f t="shared" si="48"/>
        <v>0</v>
      </c>
      <c r="AF44" s="18">
        <f t="shared" si="48"/>
        <v>0</v>
      </c>
      <c r="AG44" s="18">
        <f t="shared" si="48"/>
        <v>5341</v>
      </c>
      <c r="AH44" s="18">
        <f t="shared" si="48"/>
        <v>100000</v>
      </c>
      <c r="AI44" s="18">
        <f t="shared" si="48"/>
        <v>0</v>
      </c>
      <c r="AJ44" s="18">
        <f t="shared" si="48"/>
        <v>0</v>
      </c>
      <c r="AK44" s="18">
        <f t="shared" si="48"/>
        <v>0</v>
      </c>
      <c r="AL44" s="18">
        <f t="shared" si="48"/>
        <v>0</v>
      </c>
      <c r="AM44" s="18">
        <f t="shared" si="48"/>
        <v>1377</v>
      </c>
      <c r="AN44" s="18">
        <f t="shared" si="48"/>
        <v>0</v>
      </c>
      <c r="AO44" s="18">
        <f t="shared" si="48"/>
        <v>0</v>
      </c>
      <c r="AP44" s="18"/>
      <c r="AQ44" s="18">
        <f t="shared" si="48"/>
        <v>0</v>
      </c>
      <c r="AR44" s="18">
        <f t="shared" si="48"/>
        <v>0</v>
      </c>
      <c r="AS44" s="18">
        <f t="shared" si="48"/>
        <v>0</v>
      </c>
      <c r="AT44" s="18">
        <f t="shared" si="48"/>
        <v>0</v>
      </c>
      <c r="AU44" s="18">
        <f t="shared" si="48"/>
        <v>0</v>
      </c>
      <c r="AV44" s="18">
        <f t="shared" si="48"/>
        <v>0</v>
      </c>
      <c r="AW44" s="18">
        <f t="shared" si="48"/>
        <v>0</v>
      </c>
      <c r="AX44" s="18">
        <f t="shared" si="48"/>
        <v>0</v>
      </c>
      <c r="AY44" s="18"/>
      <c r="AZ44" s="18">
        <f t="shared" ref="AZ44:CZ44" si="49">SUM(AZ45:AZ45)</f>
        <v>0</v>
      </c>
      <c r="BA44" s="18">
        <f t="shared" si="49"/>
        <v>0</v>
      </c>
      <c r="BB44" s="18">
        <f t="shared" si="49"/>
        <v>0</v>
      </c>
      <c r="BC44" s="18">
        <f t="shared" si="49"/>
        <v>0</v>
      </c>
      <c r="BD44" s="18">
        <f t="shared" si="49"/>
        <v>0</v>
      </c>
      <c r="BE44" s="18">
        <f t="shared" si="49"/>
        <v>0</v>
      </c>
      <c r="BF44" s="18">
        <f t="shared" si="49"/>
        <v>0</v>
      </c>
      <c r="BG44" s="18">
        <f t="shared" si="49"/>
        <v>0</v>
      </c>
      <c r="BH44" s="18">
        <f t="shared" si="49"/>
        <v>0</v>
      </c>
      <c r="BI44" s="18">
        <f t="shared" si="49"/>
        <v>0</v>
      </c>
      <c r="BJ44" s="18">
        <f t="shared" si="49"/>
        <v>0</v>
      </c>
      <c r="BK44" s="18">
        <f t="shared" si="49"/>
        <v>0</v>
      </c>
      <c r="BL44" s="18">
        <f t="shared" si="49"/>
        <v>0</v>
      </c>
      <c r="BM44" s="18">
        <f t="shared" si="49"/>
        <v>0</v>
      </c>
      <c r="BN44" s="18">
        <f t="shared" si="49"/>
        <v>0</v>
      </c>
      <c r="BO44" s="18">
        <f t="shared" si="49"/>
        <v>0</v>
      </c>
      <c r="BP44" s="18">
        <f t="shared" si="49"/>
        <v>0</v>
      </c>
      <c r="BQ44" s="18">
        <f t="shared" si="49"/>
        <v>0</v>
      </c>
      <c r="BR44" s="18">
        <f t="shared" si="49"/>
        <v>0</v>
      </c>
      <c r="BS44" s="18">
        <f t="shared" si="49"/>
        <v>0</v>
      </c>
      <c r="BT44" s="18">
        <f t="shared" si="49"/>
        <v>0</v>
      </c>
      <c r="BU44" s="18">
        <f t="shared" si="49"/>
        <v>0</v>
      </c>
      <c r="BV44" s="18">
        <f t="shared" si="49"/>
        <v>0</v>
      </c>
      <c r="BW44" s="18">
        <f t="shared" si="49"/>
        <v>0</v>
      </c>
      <c r="BX44" s="18">
        <f t="shared" si="49"/>
        <v>0</v>
      </c>
      <c r="BY44" s="18">
        <f t="shared" si="49"/>
        <v>0</v>
      </c>
      <c r="BZ44" s="18">
        <f t="shared" si="49"/>
        <v>173015</v>
      </c>
      <c r="CA44" s="18">
        <f t="shared" si="49"/>
        <v>173015</v>
      </c>
      <c r="CB44" s="18">
        <f t="shared" si="49"/>
        <v>173015</v>
      </c>
      <c r="CC44" s="18">
        <f t="shared" si="49"/>
        <v>0</v>
      </c>
      <c r="CD44" s="18">
        <f t="shared" si="49"/>
        <v>173015</v>
      </c>
      <c r="CE44" s="18">
        <f t="shared" si="49"/>
        <v>0</v>
      </c>
      <c r="CF44" s="18">
        <f t="shared" si="49"/>
        <v>0</v>
      </c>
      <c r="CG44" s="18">
        <f t="shared" si="49"/>
        <v>0</v>
      </c>
      <c r="CH44" s="18">
        <f t="shared" si="49"/>
        <v>0</v>
      </c>
      <c r="CI44" s="18">
        <f t="shared" si="49"/>
        <v>0</v>
      </c>
      <c r="CJ44" s="18">
        <f t="shared" si="49"/>
        <v>0</v>
      </c>
      <c r="CK44" s="18">
        <f t="shared" si="49"/>
        <v>0</v>
      </c>
      <c r="CL44" s="18">
        <f t="shared" si="49"/>
        <v>0</v>
      </c>
      <c r="CM44" s="18">
        <f t="shared" si="49"/>
        <v>0</v>
      </c>
      <c r="CN44" s="18">
        <f t="shared" si="49"/>
        <v>0</v>
      </c>
      <c r="CO44" s="18">
        <f t="shared" si="49"/>
        <v>0</v>
      </c>
      <c r="CP44" s="18">
        <f t="shared" si="49"/>
        <v>0</v>
      </c>
      <c r="CQ44" s="18"/>
      <c r="CR44" s="18"/>
      <c r="CS44" s="18">
        <f t="shared" si="49"/>
        <v>0</v>
      </c>
      <c r="CT44" s="18"/>
      <c r="CU44" s="18"/>
      <c r="CV44" s="18"/>
      <c r="CW44" s="18">
        <f t="shared" si="49"/>
        <v>0</v>
      </c>
      <c r="CX44" s="18">
        <f t="shared" si="49"/>
        <v>0</v>
      </c>
      <c r="CY44" s="18">
        <f t="shared" si="49"/>
        <v>0</v>
      </c>
      <c r="CZ44" s="46">
        <f t="shared" si="49"/>
        <v>0</v>
      </c>
      <c r="DA44" s="57"/>
    </row>
    <row r="45" spans="1:105" ht="15.75" x14ac:dyDescent="0.25">
      <c r="A45" s="80" t="s">
        <v>1</v>
      </c>
      <c r="B45" s="21" t="s">
        <v>80</v>
      </c>
      <c r="C45" s="22" t="s">
        <v>587</v>
      </c>
      <c r="D45" s="18">
        <f>SUM(E45+BZ45+CW45)</f>
        <v>4852292</v>
      </c>
      <c r="E45" s="19">
        <f>SUM(F45+BA45)</f>
        <v>4679277</v>
      </c>
      <c r="F45" s="19">
        <f>SUM(G45+H45+I45+P45+S45+T45+U45+AD45)</f>
        <v>4679277</v>
      </c>
      <c r="G45" s="23">
        <v>3520240</v>
      </c>
      <c r="H45" s="23">
        <v>843705</v>
      </c>
      <c r="I45" s="19">
        <f t="shared" ref="I45" si="50">SUM(J45:O45)</f>
        <v>46840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23">
        <v>46840</v>
      </c>
      <c r="P45" s="19">
        <f t="shared" ref="P45" si="51">SUM(Q45:R45)</f>
        <v>146</v>
      </c>
      <c r="Q45" s="19">
        <v>146</v>
      </c>
      <c r="R45" s="19">
        <v>0</v>
      </c>
      <c r="S45" s="19">
        <v>0</v>
      </c>
      <c r="T45" s="23">
        <v>81920</v>
      </c>
      <c r="U45" s="19">
        <f>SUM(V45:AC45)</f>
        <v>79708</v>
      </c>
      <c r="V45" s="23">
        <v>8183</v>
      </c>
      <c r="W45" s="23">
        <f>15346+119</f>
        <v>15465</v>
      </c>
      <c r="X45" s="23">
        <v>11070</v>
      </c>
      <c r="Y45" s="23">
        <v>3397</v>
      </c>
      <c r="Z45" s="23">
        <v>430</v>
      </c>
      <c r="AA45" s="23">
        <v>41163</v>
      </c>
      <c r="AB45" s="23">
        <v>0</v>
      </c>
      <c r="AC45" s="23">
        <v>0</v>
      </c>
      <c r="AD45" s="19">
        <f>SUM(AE45:AZ45)</f>
        <v>106718</v>
      </c>
      <c r="AE45" s="19">
        <v>0</v>
      </c>
      <c r="AF45" s="19">
        <v>0</v>
      </c>
      <c r="AG45" s="23">
        <v>5341</v>
      </c>
      <c r="AH45" s="23">
        <v>100000</v>
      </c>
      <c r="AI45" s="23">
        <v>0</v>
      </c>
      <c r="AJ45" s="23">
        <v>0</v>
      </c>
      <c r="AK45" s="23">
        <v>0</v>
      </c>
      <c r="AL45" s="23">
        <v>0</v>
      </c>
      <c r="AM45" s="23">
        <v>1377</v>
      </c>
      <c r="AN45" s="23">
        <v>0</v>
      </c>
      <c r="AO45" s="23">
        <v>0</v>
      </c>
      <c r="AP45" s="23"/>
      <c r="AQ45" s="23">
        <v>0</v>
      </c>
      <c r="AR45" s="23">
        <v>0</v>
      </c>
      <c r="AS45" s="23">
        <v>0</v>
      </c>
      <c r="AT45" s="23">
        <v>0</v>
      </c>
      <c r="AU45" s="23">
        <v>0</v>
      </c>
      <c r="AV45" s="23">
        <v>0</v>
      </c>
      <c r="AW45" s="23">
        <v>0</v>
      </c>
      <c r="AX45" s="23">
        <v>0</v>
      </c>
      <c r="AY45" s="23">
        <v>0</v>
      </c>
      <c r="AZ45" s="23">
        <v>0</v>
      </c>
      <c r="BA45" s="19">
        <f>SUM(BB45+BF45+BI45+BK45+BN45)</f>
        <v>0</v>
      </c>
      <c r="BB45" s="19">
        <f>SUM(BC45:BE45)</f>
        <v>0</v>
      </c>
      <c r="BC45" s="19">
        <v>0</v>
      </c>
      <c r="BD45" s="19">
        <v>0</v>
      </c>
      <c r="BE45" s="19">
        <v>0</v>
      </c>
      <c r="BF45" s="19">
        <f>SUM(BH45:BH45)</f>
        <v>0</v>
      </c>
      <c r="BG45" s="19">
        <v>0</v>
      </c>
      <c r="BH45" s="19">
        <v>0</v>
      </c>
      <c r="BI45" s="19">
        <v>0</v>
      </c>
      <c r="BJ45" s="19">
        <v>0</v>
      </c>
      <c r="BK45" s="19">
        <f t="shared" ref="BK45" si="52">SUM(BL45)</f>
        <v>0</v>
      </c>
      <c r="BL45" s="19">
        <v>0</v>
      </c>
      <c r="BM45" s="19">
        <v>0</v>
      </c>
      <c r="BN45" s="19">
        <f>SUM(BO45:BY45)</f>
        <v>0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0</v>
      </c>
      <c r="BU45" s="19">
        <v>0</v>
      </c>
      <c r="BV45" s="19">
        <v>0</v>
      </c>
      <c r="BW45" s="19">
        <v>0</v>
      </c>
      <c r="BX45" s="19">
        <v>0</v>
      </c>
      <c r="BY45" s="19">
        <v>0</v>
      </c>
      <c r="BZ45" s="19">
        <f>SUM(CA45+CS45)</f>
        <v>173015</v>
      </c>
      <c r="CA45" s="19">
        <f>SUM(CB45+CE45+CK45)</f>
        <v>173015</v>
      </c>
      <c r="CB45" s="19">
        <f t="shared" ref="CB45" si="53">SUM(CC45:CD45)</f>
        <v>173015</v>
      </c>
      <c r="CC45" s="19">
        <v>0</v>
      </c>
      <c r="CD45" s="23">
        <v>173015</v>
      </c>
      <c r="CE45" s="19">
        <f>SUM(CF45:CJ45)</f>
        <v>0</v>
      </c>
      <c r="CF45" s="19">
        <v>0</v>
      </c>
      <c r="CG45" s="19">
        <v>0</v>
      </c>
      <c r="CH45" s="19">
        <v>0</v>
      </c>
      <c r="CI45" s="19">
        <v>0</v>
      </c>
      <c r="CJ45" s="19">
        <v>0</v>
      </c>
      <c r="CK45" s="19">
        <f>SUM(CL45:CP45)</f>
        <v>0</v>
      </c>
      <c r="CL45" s="19">
        <v>0</v>
      </c>
      <c r="CM45" s="19">
        <v>0</v>
      </c>
      <c r="CN45" s="19">
        <v>0</v>
      </c>
      <c r="CO45" s="19"/>
      <c r="CP45" s="19"/>
      <c r="CQ45" s="19"/>
      <c r="CR45" s="19"/>
      <c r="CS45" s="19">
        <v>0</v>
      </c>
      <c r="CT45" s="19"/>
      <c r="CU45" s="19"/>
      <c r="CV45" s="19"/>
      <c r="CW45" s="19">
        <f t="shared" ref="CW45" si="54">SUM(CX45)</f>
        <v>0</v>
      </c>
      <c r="CX45" s="19">
        <f t="shared" ref="CX45" si="55">SUM(CY45:CZ45)</f>
        <v>0</v>
      </c>
      <c r="CY45" s="19">
        <v>0</v>
      </c>
      <c r="CZ45" s="20">
        <v>0</v>
      </c>
    </row>
    <row r="46" spans="1:105" s="58" customFormat="1" ht="31.5" x14ac:dyDescent="0.25">
      <c r="A46" s="79" t="s">
        <v>113</v>
      </c>
      <c r="B46" s="16" t="s">
        <v>1</v>
      </c>
      <c r="C46" s="17" t="s">
        <v>114</v>
      </c>
      <c r="D46" s="18">
        <f t="shared" ref="D46:AJ46" si="56">SUM(D47)</f>
        <v>15374224</v>
      </c>
      <c r="E46" s="18">
        <f t="shared" si="56"/>
        <v>14973312</v>
      </c>
      <c r="F46" s="18">
        <f t="shared" si="56"/>
        <v>14955676</v>
      </c>
      <c r="G46" s="18">
        <f t="shared" si="56"/>
        <v>9725042</v>
      </c>
      <c r="H46" s="18">
        <f t="shared" si="56"/>
        <v>2324375</v>
      </c>
      <c r="I46" s="18">
        <f t="shared" si="56"/>
        <v>495978</v>
      </c>
      <c r="J46" s="18">
        <f t="shared" si="56"/>
        <v>450</v>
      </c>
      <c r="K46" s="18">
        <f t="shared" si="56"/>
        <v>0</v>
      </c>
      <c r="L46" s="18">
        <f t="shared" si="56"/>
        <v>0</v>
      </c>
      <c r="M46" s="18">
        <f t="shared" si="56"/>
        <v>0</v>
      </c>
      <c r="N46" s="18">
        <f t="shared" si="56"/>
        <v>320000</v>
      </c>
      <c r="O46" s="18">
        <f t="shared" si="56"/>
        <v>175528</v>
      </c>
      <c r="P46" s="18">
        <f t="shared" si="56"/>
        <v>151473</v>
      </c>
      <c r="Q46" s="18">
        <f t="shared" si="56"/>
        <v>0</v>
      </c>
      <c r="R46" s="18">
        <f t="shared" si="56"/>
        <v>151473</v>
      </c>
      <c r="S46" s="18">
        <f t="shared" si="56"/>
        <v>0</v>
      </c>
      <c r="T46" s="18">
        <f t="shared" si="56"/>
        <v>265028</v>
      </c>
      <c r="U46" s="18">
        <f t="shared" si="56"/>
        <v>525344</v>
      </c>
      <c r="V46" s="18">
        <f t="shared" si="56"/>
        <v>109851</v>
      </c>
      <c r="W46" s="18">
        <f t="shared" si="56"/>
        <v>210637</v>
      </c>
      <c r="X46" s="18">
        <f t="shared" si="56"/>
        <v>140699</v>
      </c>
      <c r="Y46" s="18">
        <f t="shared" si="56"/>
        <v>47755</v>
      </c>
      <c r="Z46" s="18">
        <f t="shared" si="56"/>
        <v>16402</v>
      </c>
      <c r="AA46" s="18">
        <f t="shared" si="56"/>
        <v>0</v>
      </c>
      <c r="AB46" s="18">
        <f t="shared" si="56"/>
        <v>0</v>
      </c>
      <c r="AC46" s="18">
        <f t="shared" si="56"/>
        <v>0</v>
      </c>
      <c r="AD46" s="18">
        <f t="shared" si="56"/>
        <v>1468436</v>
      </c>
      <c r="AE46" s="18">
        <f t="shared" si="56"/>
        <v>0</v>
      </c>
      <c r="AF46" s="18">
        <f t="shared" si="56"/>
        <v>0</v>
      </c>
      <c r="AG46" s="18">
        <f t="shared" si="56"/>
        <v>27184</v>
      </c>
      <c r="AH46" s="18">
        <f t="shared" si="56"/>
        <v>742348</v>
      </c>
      <c r="AI46" s="18">
        <f t="shared" si="56"/>
        <v>0</v>
      </c>
      <c r="AJ46" s="18">
        <f t="shared" si="56"/>
        <v>2308</v>
      </c>
      <c r="AK46" s="18">
        <f t="shared" ref="AK46:CZ46" si="57">SUM(AK47)</f>
        <v>20166</v>
      </c>
      <c r="AL46" s="18">
        <f t="shared" si="57"/>
        <v>5000</v>
      </c>
      <c r="AM46" s="18">
        <f t="shared" si="57"/>
        <v>0</v>
      </c>
      <c r="AN46" s="18">
        <f t="shared" si="57"/>
        <v>273721</v>
      </c>
      <c r="AO46" s="18">
        <f t="shared" si="57"/>
        <v>0</v>
      </c>
      <c r="AP46" s="18"/>
      <c r="AQ46" s="18">
        <f t="shared" si="57"/>
        <v>0</v>
      </c>
      <c r="AR46" s="18">
        <f t="shared" si="57"/>
        <v>32293</v>
      </c>
      <c r="AS46" s="18">
        <f t="shared" si="57"/>
        <v>13596</v>
      </c>
      <c r="AT46" s="18"/>
      <c r="AU46" s="18"/>
      <c r="AV46" s="18">
        <f t="shared" si="57"/>
        <v>0</v>
      </c>
      <c r="AW46" s="18">
        <f t="shared" si="57"/>
        <v>0</v>
      </c>
      <c r="AX46" s="18">
        <f t="shared" si="57"/>
        <v>75000</v>
      </c>
      <c r="AY46" s="18">
        <f t="shared" si="57"/>
        <v>266820</v>
      </c>
      <c r="AZ46" s="18">
        <f t="shared" si="57"/>
        <v>10000</v>
      </c>
      <c r="BA46" s="18">
        <f t="shared" si="57"/>
        <v>17636</v>
      </c>
      <c r="BB46" s="18">
        <f t="shared" si="57"/>
        <v>0</v>
      </c>
      <c r="BC46" s="18">
        <f t="shared" si="57"/>
        <v>0</v>
      </c>
      <c r="BD46" s="18">
        <f t="shared" si="57"/>
        <v>0</v>
      </c>
      <c r="BE46" s="18">
        <f t="shared" si="57"/>
        <v>0</v>
      </c>
      <c r="BF46" s="18">
        <f t="shared" si="57"/>
        <v>0</v>
      </c>
      <c r="BG46" s="18">
        <f t="shared" si="57"/>
        <v>0</v>
      </c>
      <c r="BH46" s="18">
        <f t="shared" si="57"/>
        <v>0</v>
      </c>
      <c r="BI46" s="18">
        <f t="shared" si="57"/>
        <v>0</v>
      </c>
      <c r="BJ46" s="18">
        <f t="shared" si="57"/>
        <v>0</v>
      </c>
      <c r="BK46" s="18">
        <f t="shared" si="57"/>
        <v>0</v>
      </c>
      <c r="BL46" s="18">
        <f t="shared" si="57"/>
        <v>0</v>
      </c>
      <c r="BM46" s="18">
        <f t="shared" si="57"/>
        <v>0</v>
      </c>
      <c r="BN46" s="18">
        <f t="shared" si="57"/>
        <v>17636</v>
      </c>
      <c r="BO46" s="18">
        <f t="shared" si="57"/>
        <v>0</v>
      </c>
      <c r="BP46" s="18">
        <f t="shared" si="57"/>
        <v>0</v>
      </c>
      <c r="BQ46" s="18">
        <f t="shared" si="57"/>
        <v>0</v>
      </c>
      <c r="BR46" s="18">
        <f t="shared" si="57"/>
        <v>0</v>
      </c>
      <c r="BS46" s="18">
        <f t="shared" si="57"/>
        <v>0</v>
      </c>
      <c r="BT46" s="18">
        <f t="shared" si="57"/>
        <v>0</v>
      </c>
      <c r="BU46" s="18">
        <f t="shared" si="57"/>
        <v>0</v>
      </c>
      <c r="BV46" s="18">
        <f t="shared" si="57"/>
        <v>0</v>
      </c>
      <c r="BW46" s="18">
        <f t="shared" si="57"/>
        <v>0</v>
      </c>
      <c r="BX46" s="18">
        <f t="shared" si="57"/>
        <v>17636</v>
      </c>
      <c r="BY46" s="18">
        <f t="shared" si="57"/>
        <v>0</v>
      </c>
      <c r="BZ46" s="18">
        <f t="shared" si="57"/>
        <v>400912</v>
      </c>
      <c r="CA46" s="18">
        <f t="shared" si="57"/>
        <v>400912</v>
      </c>
      <c r="CB46" s="18">
        <f t="shared" si="57"/>
        <v>200000</v>
      </c>
      <c r="CC46" s="18">
        <f t="shared" si="57"/>
        <v>0</v>
      </c>
      <c r="CD46" s="18">
        <f t="shared" si="57"/>
        <v>200000</v>
      </c>
      <c r="CE46" s="18">
        <f t="shared" si="57"/>
        <v>0</v>
      </c>
      <c r="CF46" s="18">
        <f t="shared" si="57"/>
        <v>0</v>
      </c>
      <c r="CG46" s="18">
        <f t="shared" si="57"/>
        <v>0</v>
      </c>
      <c r="CH46" s="18">
        <f t="shared" si="57"/>
        <v>0</v>
      </c>
      <c r="CI46" s="18">
        <f t="shared" si="57"/>
        <v>0</v>
      </c>
      <c r="CJ46" s="18">
        <f t="shared" si="57"/>
        <v>0</v>
      </c>
      <c r="CK46" s="18">
        <f t="shared" si="57"/>
        <v>200912</v>
      </c>
      <c r="CL46" s="18">
        <f t="shared" si="57"/>
        <v>0</v>
      </c>
      <c r="CM46" s="18">
        <f t="shared" si="57"/>
        <v>0</v>
      </c>
      <c r="CN46" s="18">
        <f t="shared" si="57"/>
        <v>200912</v>
      </c>
      <c r="CO46" s="18"/>
      <c r="CP46" s="18"/>
      <c r="CQ46" s="18"/>
      <c r="CR46" s="18"/>
      <c r="CS46" s="18">
        <f t="shared" si="57"/>
        <v>0</v>
      </c>
      <c r="CT46" s="18"/>
      <c r="CU46" s="18"/>
      <c r="CV46" s="18"/>
      <c r="CW46" s="18">
        <f t="shared" si="57"/>
        <v>0</v>
      </c>
      <c r="CX46" s="18">
        <f t="shared" si="57"/>
        <v>0</v>
      </c>
      <c r="CY46" s="18">
        <f t="shared" si="57"/>
        <v>0</v>
      </c>
      <c r="CZ46" s="46">
        <f t="shared" si="57"/>
        <v>0</v>
      </c>
      <c r="DA46" s="57"/>
    </row>
    <row r="47" spans="1:105" ht="15.75" x14ac:dyDescent="0.25">
      <c r="A47" s="80" t="s">
        <v>1</v>
      </c>
      <c r="B47" s="21" t="s">
        <v>115</v>
      </c>
      <c r="C47" s="22" t="s">
        <v>116</v>
      </c>
      <c r="D47" s="18">
        <f>SUM(E47+BZ47+CW47)</f>
        <v>15374224</v>
      </c>
      <c r="E47" s="19">
        <f>SUM(F47+BA47)</f>
        <v>14973312</v>
      </c>
      <c r="F47" s="19">
        <f>SUM(G47+H47+I47+P47+S47+T47+U47+AD47)</f>
        <v>14955676</v>
      </c>
      <c r="G47" s="23">
        <v>9725042</v>
      </c>
      <c r="H47" s="23">
        <v>2324375</v>
      </c>
      <c r="I47" s="19">
        <f t="shared" si="6"/>
        <v>495978</v>
      </c>
      <c r="J47" s="23">
        <v>450</v>
      </c>
      <c r="K47" s="23">
        <v>0</v>
      </c>
      <c r="L47" s="23">
        <v>0</v>
      </c>
      <c r="M47" s="23">
        <v>0</v>
      </c>
      <c r="N47" s="23">
        <v>320000</v>
      </c>
      <c r="O47" s="23">
        <v>175528</v>
      </c>
      <c r="P47" s="19">
        <f t="shared" si="7"/>
        <v>151473</v>
      </c>
      <c r="Q47" s="23">
        <v>0</v>
      </c>
      <c r="R47" s="23">
        <v>151473</v>
      </c>
      <c r="S47" s="23">
        <v>0</v>
      </c>
      <c r="T47" s="23">
        <v>265028</v>
      </c>
      <c r="U47" s="19">
        <f>SUM(V47:AC47)</f>
        <v>525344</v>
      </c>
      <c r="V47" s="23">
        <v>109851</v>
      </c>
      <c r="W47" s="23">
        <v>210637</v>
      </c>
      <c r="X47" s="23">
        <v>140699</v>
      </c>
      <c r="Y47" s="23">
        <v>47755</v>
      </c>
      <c r="Z47" s="23">
        <v>16402</v>
      </c>
      <c r="AA47" s="23">
        <v>0</v>
      </c>
      <c r="AB47" s="23">
        <v>0</v>
      </c>
      <c r="AC47" s="23">
        <v>0</v>
      </c>
      <c r="AD47" s="19">
        <f>SUM(AE47:AZ47)</f>
        <v>1468436</v>
      </c>
      <c r="AE47" s="23">
        <v>0</v>
      </c>
      <c r="AF47" s="23">
        <v>0</v>
      </c>
      <c r="AG47" s="23">
        <v>27184</v>
      </c>
      <c r="AH47" s="23">
        <v>742348</v>
      </c>
      <c r="AI47" s="23">
        <v>0</v>
      </c>
      <c r="AJ47" s="23">
        <v>2308</v>
      </c>
      <c r="AK47" s="23">
        <v>20166</v>
      </c>
      <c r="AL47" s="23">
        <v>5000</v>
      </c>
      <c r="AM47" s="23">
        <v>0</v>
      </c>
      <c r="AN47" s="23">
        <v>273721</v>
      </c>
      <c r="AO47" s="23">
        <v>0</v>
      </c>
      <c r="AP47" s="23"/>
      <c r="AQ47" s="23">
        <v>0</v>
      </c>
      <c r="AR47" s="23">
        <v>32293</v>
      </c>
      <c r="AS47" s="23">
        <v>13596</v>
      </c>
      <c r="AT47" s="23">
        <v>0</v>
      </c>
      <c r="AU47" s="23">
        <v>0</v>
      </c>
      <c r="AV47" s="23">
        <v>0</v>
      </c>
      <c r="AW47" s="23">
        <v>0</v>
      </c>
      <c r="AX47" s="23">
        <v>75000</v>
      </c>
      <c r="AY47" s="23">
        <v>266820</v>
      </c>
      <c r="AZ47" s="23">
        <v>10000</v>
      </c>
      <c r="BA47" s="19">
        <f>SUM(BB47+BF47+BI47+BK47+BN47)</f>
        <v>17636</v>
      </c>
      <c r="BB47" s="19">
        <f>SUM(BC47:BE47)</f>
        <v>0</v>
      </c>
      <c r="BC47" s="19">
        <v>0</v>
      </c>
      <c r="BD47" s="19">
        <v>0</v>
      </c>
      <c r="BE47" s="19">
        <v>0</v>
      </c>
      <c r="BF47" s="19">
        <f>SUM(BH47:BH47)</f>
        <v>0</v>
      </c>
      <c r="BG47" s="19">
        <v>0</v>
      </c>
      <c r="BH47" s="19">
        <v>0</v>
      </c>
      <c r="BI47" s="19">
        <v>0</v>
      </c>
      <c r="BJ47" s="19">
        <v>0</v>
      </c>
      <c r="BK47" s="19">
        <f t="shared" si="8"/>
        <v>0</v>
      </c>
      <c r="BL47" s="19">
        <v>0</v>
      </c>
      <c r="BM47" s="19">
        <v>0</v>
      </c>
      <c r="BN47" s="19">
        <f>SUM(BO47:BY47)</f>
        <v>17636</v>
      </c>
      <c r="BO47" s="19">
        <v>0</v>
      </c>
      <c r="BP47" s="19">
        <v>0</v>
      </c>
      <c r="BQ47" s="19">
        <v>0</v>
      </c>
      <c r="BR47" s="19">
        <v>0</v>
      </c>
      <c r="BS47" s="19">
        <v>0</v>
      </c>
      <c r="BT47" s="19">
        <v>0</v>
      </c>
      <c r="BU47" s="19">
        <v>0</v>
      </c>
      <c r="BV47" s="19">
        <v>0</v>
      </c>
      <c r="BW47" s="19">
        <v>0</v>
      </c>
      <c r="BX47" s="23">
        <v>17636</v>
      </c>
      <c r="BY47" s="19">
        <v>0</v>
      </c>
      <c r="BZ47" s="19">
        <f>SUM(CA47+CS47)</f>
        <v>400912</v>
      </c>
      <c r="CA47" s="19">
        <f>SUM(CB47+CE47+CK47)</f>
        <v>400912</v>
      </c>
      <c r="CB47" s="19">
        <f t="shared" si="9"/>
        <v>200000</v>
      </c>
      <c r="CC47" s="19">
        <v>0</v>
      </c>
      <c r="CD47" s="23">
        <v>200000</v>
      </c>
      <c r="CE47" s="19">
        <f>SUM(CF47:CJ47)</f>
        <v>0</v>
      </c>
      <c r="CF47" s="19">
        <v>0</v>
      </c>
      <c r="CG47" s="19">
        <v>0</v>
      </c>
      <c r="CH47" s="19">
        <v>0</v>
      </c>
      <c r="CI47" s="19">
        <v>0</v>
      </c>
      <c r="CJ47" s="19">
        <v>0</v>
      </c>
      <c r="CK47" s="19">
        <f>SUM(CL47:CP47)</f>
        <v>200912</v>
      </c>
      <c r="CL47" s="19"/>
      <c r="CM47" s="19"/>
      <c r="CN47" s="51">
        <v>200912</v>
      </c>
      <c r="CO47" s="19"/>
      <c r="CP47" s="19"/>
      <c r="CQ47" s="19"/>
      <c r="CR47" s="19"/>
      <c r="CS47" s="19">
        <v>0</v>
      </c>
      <c r="CT47" s="19"/>
      <c r="CU47" s="19"/>
      <c r="CV47" s="19"/>
      <c r="CW47" s="19">
        <f t="shared" si="10"/>
        <v>0</v>
      </c>
      <c r="CX47" s="19">
        <f t="shared" si="11"/>
        <v>0</v>
      </c>
      <c r="CY47" s="19">
        <v>0</v>
      </c>
      <c r="CZ47" s="20">
        <v>0</v>
      </c>
    </row>
    <row r="48" spans="1:105" s="58" customFormat="1" ht="15.75" x14ac:dyDescent="0.25">
      <c r="A48" s="81" t="s">
        <v>117</v>
      </c>
      <c r="B48" s="25" t="s">
        <v>1</v>
      </c>
      <c r="C48" s="26" t="s">
        <v>118</v>
      </c>
      <c r="D48" s="27">
        <f>SUM(D49+D51+D53+D55+D57)</f>
        <v>60624299</v>
      </c>
      <c r="E48" s="27">
        <f t="shared" ref="E48:BT48" si="58">SUM(E49+E51+E53+E55+E57)</f>
        <v>58055364</v>
      </c>
      <c r="F48" s="27">
        <f t="shared" si="58"/>
        <v>58015873</v>
      </c>
      <c r="G48" s="27">
        <f t="shared" si="58"/>
        <v>46330281</v>
      </c>
      <c r="H48" s="27">
        <f t="shared" si="58"/>
        <v>5711184</v>
      </c>
      <c r="I48" s="27">
        <f t="shared" si="58"/>
        <v>2125912</v>
      </c>
      <c r="J48" s="27">
        <f t="shared" si="58"/>
        <v>0</v>
      </c>
      <c r="K48" s="27">
        <f t="shared" si="58"/>
        <v>105896</v>
      </c>
      <c r="L48" s="27">
        <f t="shared" si="58"/>
        <v>0</v>
      </c>
      <c r="M48" s="27">
        <f t="shared" si="58"/>
        <v>0</v>
      </c>
      <c r="N48" s="27">
        <f t="shared" si="58"/>
        <v>1510888</v>
      </c>
      <c r="O48" s="27">
        <f t="shared" si="58"/>
        <v>509128</v>
      </c>
      <c r="P48" s="27">
        <f t="shared" si="58"/>
        <v>24550</v>
      </c>
      <c r="Q48" s="27">
        <f t="shared" si="58"/>
        <v>11542</v>
      </c>
      <c r="R48" s="27">
        <f t="shared" si="58"/>
        <v>13008</v>
      </c>
      <c r="S48" s="27">
        <f t="shared" si="58"/>
        <v>0</v>
      </c>
      <c r="T48" s="27">
        <f t="shared" si="58"/>
        <v>504237</v>
      </c>
      <c r="U48" s="27">
        <f t="shared" si="58"/>
        <v>599352</v>
      </c>
      <c r="V48" s="27">
        <f t="shared" si="58"/>
        <v>167424</v>
      </c>
      <c r="W48" s="27">
        <f t="shared" si="58"/>
        <v>109971</v>
      </c>
      <c r="X48" s="27">
        <f t="shared" si="58"/>
        <v>220649</v>
      </c>
      <c r="Y48" s="27">
        <f t="shared" si="58"/>
        <v>40470</v>
      </c>
      <c r="Z48" s="27">
        <f t="shared" si="58"/>
        <v>17775</v>
      </c>
      <c r="AA48" s="27">
        <f t="shared" si="58"/>
        <v>0</v>
      </c>
      <c r="AB48" s="27">
        <f t="shared" si="58"/>
        <v>0</v>
      </c>
      <c r="AC48" s="27">
        <f t="shared" si="58"/>
        <v>43063</v>
      </c>
      <c r="AD48" s="27">
        <f t="shared" si="58"/>
        <v>2720357</v>
      </c>
      <c r="AE48" s="27">
        <f t="shared" si="58"/>
        <v>0</v>
      </c>
      <c r="AF48" s="27">
        <f t="shared" si="58"/>
        <v>0</v>
      </c>
      <c r="AG48" s="27">
        <f t="shared" si="58"/>
        <v>29681</v>
      </c>
      <c r="AH48" s="27">
        <f t="shared" si="58"/>
        <v>255736</v>
      </c>
      <c r="AI48" s="27">
        <f t="shared" si="58"/>
        <v>0</v>
      </c>
      <c r="AJ48" s="27">
        <f t="shared" si="58"/>
        <v>15983</v>
      </c>
      <c r="AK48" s="27">
        <f t="shared" si="58"/>
        <v>0</v>
      </c>
      <c r="AL48" s="27">
        <f t="shared" si="58"/>
        <v>3990</v>
      </c>
      <c r="AM48" s="27">
        <f t="shared" si="58"/>
        <v>92388</v>
      </c>
      <c r="AN48" s="27">
        <f t="shared" si="58"/>
        <v>166064</v>
      </c>
      <c r="AO48" s="27">
        <f t="shared" si="58"/>
        <v>0</v>
      </c>
      <c r="AP48" s="27"/>
      <c r="AQ48" s="27">
        <f t="shared" si="58"/>
        <v>0</v>
      </c>
      <c r="AR48" s="27">
        <f t="shared" si="58"/>
        <v>944798</v>
      </c>
      <c r="AS48" s="27">
        <f t="shared" si="58"/>
        <v>46732</v>
      </c>
      <c r="AT48" s="27">
        <f t="shared" si="58"/>
        <v>689268</v>
      </c>
      <c r="AU48" s="27"/>
      <c r="AV48" s="27">
        <f t="shared" si="58"/>
        <v>0</v>
      </c>
      <c r="AW48" s="27">
        <f t="shared" si="58"/>
        <v>0</v>
      </c>
      <c r="AX48" s="27">
        <f t="shared" si="58"/>
        <v>107135</v>
      </c>
      <c r="AY48" s="27"/>
      <c r="AZ48" s="27">
        <f t="shared" si="58"/>
        <v>368582</v>
      </c>
      <c r="BA48" s="27">
        <f t="shared" si="58"/>
        <v>39491</v>
      </c>
      <c r="BB48" s="27">
        <f t="shared" si="58"/>
        <v>0</v>
      </c>
      <c r="BC48" s="27">
        <f t="shared" si="58"/>
        <v>0</v>
      </c>
      <c r="BD48" s="27">
        <f t="shared" si="58"/>
        <v>0</v>
      </c>
      <c r="BE48" s="27">
        <f t="shared" si="58"/>
        <v>0</v>
      </c>
      <c r="BF48" s="27">
        <f t="shared" si="58"/>
        <v>0</v>
      </c>
      <c r="BG48" s="27">
        <f t="shared" si="58"/>
        <v>0</v>
      </c>
      <c r="BH48" s="27">
        <f t="shared" si="58"/>
        <v>0</v>
      </c>
      <c r="BI48" s="27">
        <f t="shared" si="58"/>
        <v>0</v>
      </c>
      <c r="BJ48" s="27">
        <f t="shared" ref="BJ48" si="59">SUM(BJ49+BJ51+BJ53+BJ55+BJ57)</f>
        <v>0</v>
      </c>
      <c r="BK48" s="27">
        <f t="shared" si="58"/>
        <v>0</v>
      </c>
      <c r="BL48" s="27">
        <f t="shared" si="58"/>
        <v>0</v>
      </c>
      <c r="BM48" s="27">
        <f t="shared" ref="BM48" si="60">SUM(BM49+BM51+BM53+BM55+BM57)</f>
        <v>0</v>
      </c>
      <c r="BN48" s="27">
        <f t="shared" si="58"/>
        <v>39491</v>
      </c>
      <c r="BO48" s="27">
        <f t="shared" si="58"/>
        <v>0</v>
      </c>
      <c r="BP48" s="27">
        <f t="shared" si="58"/>
        <v>0</v>
      </c>
      <c r="BQ48" s="27">
        <f t="shared" si="58"/>
        <v>0</v>
      </c>
      <c r="BR48" s="27">
        <f t="shared" si="58"/>
        <v>0</v>
      </c>
      <c r="BS48" s="27">
        <f t="shared" si="58"/>
        <v>0</v>
      </c>
      <c r="BT48" s="27">
        <f t="shared" si="58"/>
        <v>0</v>
      </c>
      <c r="BU48" s="27">
        <f t="shared" ref="BU48:CZ48" si="61">SUM(BU49+BU51+BU53+BU55+BU57)</f>
        <v>0</v>
      </c>
      <c r="BV48" s="27">
        <f t="shared" si="61"/>
        <v>0</v>
      </c>
      <c r="BW48" s="27">
        <f t="shared" si="61"/>
        <v>0</v>
      </c>
      <c r="BX48" s="27">
        <f t="shared" si="61"/>
        <v>39491</v>
      </c>
      <c r="BY48" s="27">
        <f t="shared" si="61"/>
        <v>0</v>
      </c>
      <c r="BZ48" s="27">
        <f t="shared" si="61"/>
        <v>2568935</v>
      </c>
      <c r="CA48" s="27">
        <f t="shared" si="61"/>
        <v>2568935</v>
      </c>
      <c r="CB48" s="27">
        <f t="shared" si="61"/>
        <v>1236818</v>
      </c>
      <c r="CC48" s="27">
        <f t="shared" si="61"/>
        <v>0</v>
      </c>
      <c r="CD48" s="27">
        <f t="shared" si="61"/>
        <v>1236818</v>
      </c>
      <c r="CE48" s="27">
        <f t="shared" si="61"/>
        <v>0</v>
      </c>
      <c r="CF48" s="27">
        <f t="shared" si="61"/>
        <v>0</v>
      </c>
      <c r="CG48" s="27">
        <f t="shared" ref="CG48:CH48" si="62">SUM(CG49+CG51+CG53+CG55+CG57)</f>
        <v>0</v>
      </c>
      <c r="CH48" s="27">
        <f t="shared" si="62"/>
        <v>0</v>
      </c>
      <c r="CI48" s="27">
        <f t="shared" si="61"/>
        <v>0</v>
      </c>
      <c r="CJ48" s="27">
        <f t="shared" ref="CJ48" si="63">SUM(CJ49+CJ51+CJ53+CJ55+CJ57)</f>
        <v>0</v>
      </c>
      <c r="CK48" s="27">
        <f t="shared" si="61"/>
        <v>1332117</v>
      </c>
      <c r="CL48" s="27">
        <f t="shared" si="61"/>
        <v>0</v>
      </c>
      <c r="CM48" s="27">
        <f t="shared" ref="CM48" si="64">SUM(CM49+CM51+CM53+CM55+CM57)</f>
        <v>0</v>
      </c>
      <c r="CN48" s="27">
        <f t="shared" si="61"/>
        <v>1332117</v>
      </c>
      <c r="CO48" s="27"/>
      <c r="CP48" s="27"/>
      <c r="CQ48" s="27"/>
      <c r="CR48" s="27"/>
      <c r="CS48" s="27">
        <f t="shared" si="61"/>
        <v>0</v>
      </c>
      <c r="CT48" s="27"/>
      <c r="CU48" s="27"/>
      <c r="CV48" s="27"/>
      <c r="CW48" s="27">
        <f t="shared" si="61"/>
        <v>0</v>
      </c>
      <c r="CX48" s="27">
        <f t="shared" si="61"/>
        <v>0</v>
      </c>
      <c r="CY48" s="27">
        <f t="shared" si="61"/>
        <v>0</v>
      </c>
      <c r="CZ48" s="60">
        <f t="shared" si="61"/>
        <v>0</v>
      </c>
      <c r="DA48" s="57"/>
    </row>
    <row r="49" spans="1:105" s="58" customFormat="1" ht="15.75" x14ac:dyDescent="0.25">
      <c r="A49" s="79" t="s">
        <v>119</v>
      </c>
      <c r="B49" s="16" t="s">
        <v>1</v>
      </c>
      <c r="C49" s="17" t="s">
        <v>120</v>
      </c>
      <c r="D49" s="18">
        <f t="shared" ref="D49:BQ49" si="65">SUM(D50)</f>
        <v>5013360</v>
      </c>
      <c r="E49" s="18">
        <f t="shared" si="65"/>
        <v>4957383</v>
      </c>
      <c r="F49" s="18">
        <f t="shared" si="65"/>
        <v>4945497</v>
      </c>
      <c r="G49" s="18">
        <f t="shared" si="65"/>
        <v>4013382</v>
      </c>
      <c r="H49" s="18">
        <f t="shared" si="65"/>
        <v>616118</v>
      </c>
      <c r="I49" s="18">
        <f t="shared" si="65"/>
        <v>94831</v>
      </c>
      <c r="J49" s="18">
        <f t="shared" si="65"/>
        <v>0</v>
      </c>
      <c r="K49" s="18">
        <f t="shared" si="65"/>
        <v>0</v>
      </c>
      <c r="L49" s="18">
        <f t="shared" si="65"/>
        <v>0</v>
      </c>
      <c r="M49" s="18">
        <f t="shared" si="65"/>
        <v>0</v>
      </c>
      <c r="N49" s="18">
        <f t="shared" si="65"/>
        <v>67421</v>
      </c>
      <c r="O49" s="18">
        <f t="shared" si="65"/>
        <v>27410</v>
      </c>
      <c r="P49" s="18">
        <f t="shared" si="65"/>
        <v>0</v>
      </c>
      <c r="Q49" s="18">
        <f t="shared" si="65"/>
        <v>0</v>
      </c>
      <c r="R49" s="18">
        <f t="shared" si="65"/>
        <v>0</v>
      </c>
      <c r="S49" s="18">
        <f t="shared" si="65"/>
        <v>0</v>
      </c>
      <c r="T49" s="18">
        <f t="shared" si="65"/>
        <v>19415</v>
      </c>
      <c r="U49" s="18">
        <f t="shared" si="65"/>
        <v>81121</v>
      </c>
      <c r="V49" s="18">
        <f t="shared" si="65"/>
        <v>9967</v>
      </c>
      <c r="W49" s="18">
        <f t="shared" si="65"/>
        <v>0</v>
      </c>
      <c r="X49" s="18">
        <f t="shared" si="65"/>
        <v>52629</v>
      </c>
      <c r="Y49" s="18">
        <f t="shared" si="65"/>
        <v>7131</v>
      </c>
      <c r="Z49" s="18">
        <f t="shared" si="65"/>
        <v>1147</v>
      </c>
      <c r="AA49" s="18">
        <f t="shared" si="65"/>
        <v>0</v>
      </c>
      <c r="AB49" s="18">
        <f t="shared" si="65"/>
        <v>0</v>
      </c>
      <c r="AC49" s="18">
        <f t="shared" si="65"/>
        <v>10247</v>
      </c>
      <c r="AD49" s="18">
        <f t="shared" si="65"/>
        <v>120630</v>
      </c>
      <c r="AE49" s="18">
        <f t="shared" si="65"/>
        <v>0</v>
      </c>
      <c r="AF49" s="18">
        <f t="shared" si="65"/>
        <v>0</v>
      </c>
      <c r="AG49" s="18">
        <f t="shared" si="65"/>
        <v>4587</v>
      </c>
      <c r="AH49" s="18">
        <f t="shared" si="65"/>
        <v>2464</v>
      </c>
      <c r="AI49" s="18">
        <f t="shared" si="65"/>
        <v>0</v>
      </c>
      <c r="AJ49" s="18">
        <f t="shared" si="65"/>
        <v>5000</v>
      </c>
      <c r="AK49" s="18">
        <f t="shared" si="65"/>
        <v>0</v>
      </c>
      <c r="AL49" s="18">
        <f t="shared" si="65"/>
        <v>500</v>
      </c>
      <c r="AM49" s="18">
        <f t="shared" si="65"/>
        <v>10000</v>
      </c>
      <c r="AN49" s="18">
        <f t="shared" si="65"/>
        <v>69646</v>
      </c>
      <c r="AO49" s="18">
        <f t="shared" si="65"/>
        <v>0</v>
      </c>
      <c r="AP49" s="18"/>
      <c r="AQ49" s="18">
        <f t="shared" si="65"/>
        <v>0</v>
      </c>
      <c r="AR49" s="18">
        <f t="shared" si="65"/>
        <v>15523</v>
      </c>
      <c r="AS49" s="18">
        <f t="shared" si="65"/>
        <v>12400</v>
      </c>
      <c r="AT49" s="18"/>
      <c r="AU49" s="18"/>
      <c r="AV49" s="18">
        <f t="shared" si="65"/>
        <v>0</v>
      </c>
      <c r="AW49" s="18">
        <f t="shared" si="65"/>
        <v>0</v>
      </c>
      <c r="AX49" s="18">
        <f t="shared" si="65"/>
        <v>0</v>
      </c>
      <c r="AY49" s="18"/>
      <c r="AZ49" s="18">
        <f t="shared" si="65"/>
        <v>510</v>
      </c>
      <c r="BA49" s="18">
        <f t="shared" si="65"/>
        <v>11886</v>
      </c>
      <c r="BB49" s="18">
        <f t="shared" si="65"/>
        <v>0</v>
      </c>
      <c r="BC49" s="18">
        <f t="shared" si="65"/>
        <v>0</v>
      </c>
      <c r="BD49" s="18">
        <f t="shared" si="65"/>
        <v>0</v>
      </c>
      <c r="BE49" s="18">
        <f t="shared" si="65"/>
        <v>0</v>
      </c>
      <c r="BF49" s="18">
        <f t="shared" si="65"/>
        <v>0</v>
      </c>
      <c r="BG49" s="18">
        <f t="shared" si="65"/>
        <v>0</v>
      </c>
      <c r="BH49" s="18">
        <f t="shared" si="65"/>
        <v>0</v>
      </c>
      <c r="BI49" s="18">
        <f t="shared" si="65"/>
        <v>0</v>
      </c>
      <c r="BJ49" s="18">
        <f t="shared" si="65"/>
        <v>0</v>
      </c>
      <c r="BK49" s="18">
        <f t="shared" si="65"/>
        <v>0</v>
      </c>
      <c r="BL49" s="18">
        <f t="shared" si="65"/>
        <v>0</v>
      </c>
      <c r="BM49" s="18">
        <f t="shared" si="65"/>
        <v>0</v>
      </c>
      <c r="BN49" s="18">
        <f t="shared" si="65"/>
        <v>11886</v>
      </c>
      <c r="BO49" s="18">
        <f t="shared" si="65"/>
        <v>0</v>
      </c>
      <c r="BP49" s="18">
        <f t="shared" si="65"/>
        <v>0</v>
      </c>
      <c r="BQ49" s="18">
        <f t="shared" si="65"/>
        <v>0</v>
      </c>
      <c r="BR49" s="18">
        <f t="shared" ref="BR49:CZ49" si="66">SUM(BR50)</f>
        <v>0</v>
      </c>
      <c r="BS49" s="18">
        <f t="shared" si="66"/>
        <v>0</v>
      </c>
      <c r="BT49" s="18">
        <f t="shared" si="66"/>
        <v>0</v>
      </c>
      <c r="BU49" s="18">
        <f t="shared" si="66"/>
        <v>0</v>
      </c>
      <c r="BV49" s="18">
        <f t="shared" si="66"/>
        <v>0</v>
      </c>
      <c r="BW49" s="18">
        <f t="shared" si="66"/>
        <v>0</v>
      </c>
      <c r="BX49" s="18">
        <f t="shared" si="66"/>
        <v>11886</v>
      </c>
      <c r="BY49" s="18">
        <f t="shared" si="66"/>
        <v>0</v>
      </c>
      <c r="BZ49" s="18">
        <f t="shared" si="66"/>
        <v>55977</v>
      </c>
      <c r="CA49" s="18">
        <f t="shared" si="66"/>
        <v>55977</v>
      </c>
      <c r="CB49" s="18">
        <f t="shared" si="66"/>
        <v>55977</v>
      </c>
      <c r="CC49" s="18">
        <f t="shared" si="66"/>
        <v>0</v>
      </c>
      <c r="CD49" s="18">
        <f t="shared" si="66"/>
        <v>55977</v>
      </c>
      <c r="CE49" s="18">
        <f t="shared" si="66"/>
        <v>0</v>
      </c>
      <c r="CF49" s="18">
        <f t="shared" si="66"/>
        <v>0</v>
      </c>
      <c r="CG49" s="18">
        <f t="shared" si="66"/>
        <v>0</v>
      </c>
      <c r="CH49" s="18">
        <f t="shared" si="66"/>
        <v>0</v>
      </c>
      <c r="CI49" s="18">
        <f t="shared" si="66"/>
        <v>0</v>
      </c>
      <c r="CJ49" s="18">
        <f t="shared" si="66"/>
        <v>0</v>
      </c>
      <c r="CK49" s="18">
        <f t="shared" si="66"/>
        <v>0</v>
      </c>
      <c r="CL49" s="18">
        <f t="shared" si="66"/>
        <v>0</v>
      </c>
      <c r="CM49" s="18">
        <f t="shared" si="66"/>
        <v>0</v>
      </c>
      <c r="CN49" s="18">
        <f t="shared" si="66"/>
        <v>0</v>
      </c>
      <c r="CO49" s="18"/>
      <c r="CP49" s="18"/>
      <c r="CQ49" s="18"/>
      <c r="CR49" s="18"/>
      <c r="CS49" s="18">
        <f t="shared" si="66"/>
        <v>0</v>
      </c>
      <c r="CT49" s="18"/>
      <c r="CU49" s="18"/>
      <c r="CV49" s="18"/>
      <c r="CW49" s="18">
        <f t="shared" si="66"/>
        <v>0</v>
      </c>
      <c r="CX49" s="18">
        <f t="shared" si="66"/>
        <v>0</v>
      </c>
      <c r="CY49" s="18">
        <f t="shared" si="66"/>
        <v>0</v>
      </c>
      <c r="CZ49" s="46">
        <f t="shared" si="66"/>
        <v>0</v>
      </c>
      <c r="DA49" s="57"/>
    </row>
    <row r="50" spans="1:105" ht="15.75" x14ac:dyDescent="0.25">
      <c r="A50" s="80" t="s">
        <v>1</v>
      </c>
      <c r="B50" s="21" t="s">
        <v>121</v>
      </c>
      <c r="C50" s="22" t="s">
        <v>122</v>
      </c>
      <c r="D50" s="18">
        <f>SUM(E50+BZ50+CW50)</f>
        <v>5013360</v>
      </c>
      <c r="E50" s="19">
        <f>SUM(F50+BA50)</f>
        <v>4957383</v>
      </c>
      <c r="F50" s="19">
        <f>SUM(G50+H50+I50+P50+S50+T50+U50+AD50)</f>
        <v>4945497</v>
      </c>
      <c r="G50" s="23">
        <v>4013382</v>
      </c>
      <c r="H50" s="23">
        <v>616118</v>
      </c>
      <c r="I50" s="19">
        <f t="shared" si="6"/>
        <v>94831</v>
      </c>
      <c r="J50" s="23">
        <v>0</v>
      </c>
      <c r="K50" s="23">
        <v>0</v>
      </c>
      <c r="L50" s="23">
        <v>0</v>
      </c>
      <c r="M50" s="23">
        <v>0</v>
      </c>
      <c r="N50" s="23">
        <v>67421</v>
      </c>
      <c r="O50" s="23">
        <v>27410</v>
      </c>
      <c r="P50" s="19">
        <f t="shared" si="7"/>
        <v>0</v>
      </c>
      <c r="Q50" s="19">
        <v>0</v>
      </c>
      <c r="R50" s="19">
        <v>0</v>
      </c>
      <c r="S50" s="19">
        <v>0</v>
      </c>
      <c r="T50" s="23">
        <v>19415</v>
      </c>
      <c r="U50" s="19">
        <f>SUM(V50:AC50)</f>
        <v>81121</v>
      </c>
      <c r="V50" s="23">
        <v>9967</v>
      </c>
      <c r="W50" s="23">
        <v>0</v>
      </c>
      <c r="X50" s="23">
        <v>52629</v>
      </c>
      <c r="Y50" s="23">
        <v>7131</v>
      </c>
      <c r="Z50" s="23">
        <v>1147</v>
      </c>
      <c r="AA50" s="23">
        <v>0</v>
      </c>
      <c r="AB50" s="23">
        <v>0</v>
      </c>
      <c r="AC50" s="23">
        <v>10247</v>
      </c>
      <c r="AD50" s="19">
        <f>SUM(AE50:AZ50)</f>
        <v>120630</v>
      </c>
      <c r="AE50" s="19">
        <v>0</v>
      </c>
      <c r="AF50" s="19">
        <v>0</v>
      </c>
      <c r="AG50" s="23">
        <v>4587</v>
      </c>
      <c r="AH50" s="23">
        <v>2464</v>
      </c>
      <c r="AI50" s="23">
        <v>0</v>
      </c>
      <c r="AJ50" s="23">
        <v>5000</v>
      </c>
      <c r="AK50" s="23">
        <v>0</v>
      </c>
      <c r="AL50" s="23">
        <v>500</v>
      </c>
      <c r="AM50" s="23">
        <v>10000</v>
      </c>
      <c r="AN50" s="23">
        <v>69646</v>
      </c>
      <c r="AO50" s="23">
        <v>0</v>
      </c>
      <c r="AP50" s="23"/>
      <c r="AQ50" s="23">
        <v>0</v>
      </c>
      <c r="AR50" s="23">
        <v>15523</v>
      </c>
      <c r="AS50" s="23">
        <v>12400</v>
      </c>
      <c r="AT50" s="23">
        <v>0</v>
      </c>
      <c r="AU50" s="23">
        <v>0</v>
      </c>
      <c r="AV50" s="23">
        <v>0</v>
      </c>
      <c r="AW50" s="23">
        <v>0</v>
      </c>
      <c r="AX50" s="23">
        <v>0</v>
      </c>
      <c r="AY50" s="23">
        <v>0</v>
      </c>
      <c r="AZ50" s="23">
        <v>510</v>
      </c>
      <c r="BA50" s="19">
        <f>SUM(BB50+BF50+BI50+BK50+BN50)</f>
        <v>11886</v>
      </c>
      <c r="BB50" s="19">
        <f>SUM(BC50:BE50)</f>
        <v>0</v>
      </c>
      <c r="BC50" s="19">
        <v>0</v>
      </c>
      <c r="BD50" s="19">
        <v>0</v>
      </c>
      <c r="BE50" s="19">
        <v>0</v>
      </c>
      <c r="BF50" s="19">
        <f>SUM(BH50:BH50)</f>
        <v>0</v>
      </c>
      <c r="BG50" s="19">
        <v>0</v>
      </c>
      <c r="BH50" s="19">
        <v>0</v>
      </c>
      <c r="BI50" s="19">
        <v>0</v>
      </c>
      <c r="BJ50" s="19">
        <v>0</v>
      </c>
      <c r="BK50" s="19">
        <f t="shared" si="8"/>
        <v>0</v>
      </c>
      <c r="BL50" s="19">
        <v>0</v>
      </c>
      <c r="BM50" s="19">
        <v>0</v>
      </c>
      <c r="BN50" s="19">
        <f>SUM(BO50:BY50)</f>
        <v>11886</v>
      </c>
      <c r="BO50" s="19">
        <v>0</v>
      </c>
      <c r="BP50" s="19">
        <v>0</v>
      </c>
      <c r="BQ50" s="19">
        <v>0</v>
      </c>
      <c r="BR50" s="19">
        <v>0</v>
      </c>
      <c r="BS50" s="19">
        <v>0</v>
      </c>
      <c r="BT50" s="19">
        <v>0</v>
      </c>
      <c r="BU50" s="19">
        <v>0</v>
      </c>
      <c r="BV50" s="19">
        <v>0</v>
      </c>
      <c r="BW50" s="19">
        <v>0</v>
      </c>
      <c r="BX50" s="19">
        <v>11886</v>
      </c>
      <c r="BY50" s="19">
        <v>0</v>
      </c>
      <c r="BZ50" s="19">
        <f>SUM(CA50+CS50)</f>
        <v>55977</v>
      </c>
      <c r="CA50" s="19">
        <f>SUM(CB50+CE50+CK50)</f>
        <v>55977</v>
      </c>
      <c r="CB50" s="19">
        <f t="shared" si="9"/>
        <v>55977</v>
      </c>
      <c r="CC50" s="19">
        <v>0</v>
      </c>
      <c r="CD50" s="23">
        <v>55977</v>
      </c>
      <c r="CE50" s="19">
        <f>SUM(CF50:CJ50)</f>
        <v>0</v>
      </c>
      <c r="CF50" s="19">
        <v>0</v>
      </c>
      <c r="CG50" s="19">
        <v>0</v>
      </c>
      <c r="CH50" s="19">
        <v>0</v>
      </c>
      <c r="CI50" s="19">
        <v>0</v>
      </c>
      <c r="CJ50" s="19">
        <v>0</v>
      </c>
      <c r="CK50" s="19">
        <f>SUM(CL50:CP50)</f>
        <v>0</v>
      </c>
      <c r="CL50" s="19">
        <v>0</v>
      </c>
      <c r="CM50" s="19">
        <v>0</v>
      </c>
      <c r="CN50" s="19">
        <v>0</v>
      </c>
      <c r="CO50" s="19"/>
      <c r="CP50" s="19"/>
      <c r="CQ50" s="19"/>
      <c r="CR50" s="19"/>
      <c r="CS50" s="19">
        <v>0</v>
      </c>
      <c r="CT50" s="19"/>
      <c r="CU50" s="19"/>
      <c r="CV50" s="19"/>
      <c r="CW50" s="19">
        <f t="shared" si="10"/>
        <v>0</v>
      </c>
      <c r="CX50" s="19">
        <f t="shared" si="11"/>
        <v>0</v>
      </c>
      <c r="CY50" s="19">
        <v>0</v>
      </c>
      <c r="CZ50" s="20">
        <v>0</v>
      </c>
    </row>
    <row r="51" spans="1:105" s="58" customFormat="1" ht="15.75" x14ac:dyDescent="0.25">
      <c r="A51" s="79" t="s">
        <v>123</v>
      </c>
      <c r="B51" s="16" t="s">
        <v>1</v>
      </c>
      <c r="C51" s="17" t="s">
        <v>124</v>
      </c>
      <c r="D51" s="18">
        <f t="shared" ref="D51:AJ51" si="67">SUM(D52)</f>
        <v>14828979</v>
      </c>
      <c r="E51" s="18">
        <f t="shared" si="67"/>
        <v>14557731</v>
      </c>
      <c r="F51" s="18">
        <f t="shared" si="67"/>
        <v>14557731</v>
      </c>
      <c r="G51" s="18">
        <f t="shared" si="67"/>
        <v>12097977</v>
      </c>
      <c r="H51" s="18">
        <f t="shared" si="67"/>
        <v>1203808</v>
      </c>
      <c r="I51" s="18">
        <f t="shared" si="67"/>
        <v>514937</v>
      </c>
      <c r="J51" s="18">
        <f t="shared" si="67"/>
        <v>0</v>
      </c>
      <c r="K51" s="18">
        <f t="shared" si="67"/>
        <v>79520</v>
      </c>
      <c r="L51" s="18">
        <f t="shared" si="67"/>
        <v>0</v>
      </c>
      <c r="M51" s="18">
        <f t="shared" si="67"/>
        <v>0</v>
      </c>
      <c r="N51" s="18">
        <f t="shared" si="67"/>
        <v>386708</v>
      </c>
      <c r="O51" s="18">
        <f t="shared" si="67"/>
        <v>48709</v>
      </c>
      <c r="P51" s="18">
        <f t="shared" si="67"/>
        <v>24550</v>
      </c>
      <c r="Q51" s="18">
        <f t="shared" si="67"/>
        <v>11542</v>
      </c>
      <c r="R51" s="18">
        <f t="shared" si="67"/>
        <v>13008</v>
      </c>
      <c r="S51" s="18">
        <f t="shared" si="67"/>
        <v>0</v>
      </c>
      <c r="T51" s="18">
        <f t="shared" si="67"/>
        <v>29244</v>
      </c>
      <c r="U51" s="18">
        <f t="shared" si="67"/>
        <v>94118</v>
      </c>
      <c r="V51" s="18">
        <f t="shared" si="67"/>
        <v>9631</v>
      </c>
      <c r="W51" s="18">
        <f t="shared" si="67"/>
        <v>44702</v>
      </c>
      <c r="X51" s="18">
        <f t="shared" si="67"/>
        <v>31208</v>
      </c>
      <c r="Y51" s="18">
        <f t="shared" si="67"/>
        <v>5253</v>
      </c>
      <c r="Z51" s="18">
        <f t="shared" si="67"/>
        <v>3324</v>
      </c>
      <c r="AA51" s="18">
        <f t="shared" si="67"/>
        <v>0</v>
      </c>
      <c r="AB51" s="18">
        <f t="shared" si="67"/>
        <v>0</v>
      </c>
      <c r="AC51" s="18">
        <f t="shared" si="67"/>
        <v>0</v>
      </c>
      <c r="AD51" s="18">
        <f t="shared" si="67"/>
        <v>593097</v>
      </c>
      <c r="AE51" s="18">
        <f t="shared" si="67"/>
        <v>0</v>
      </c>
      <c r="AF51" s="18">
        <f t="shared" si="67"/>
        <v>0</v>
      </c>
      <c r="AG51" s="18">
        <f t="shared" si="67"/>
        <v>574</v>
      </c>
      <c r="AH51" s="18">
        <f t="shared" si="67"/>
        <v>157565</v>
      </c>
      <c r="AI51" s="18">
        <f t="shared" si="67"/>
        <v>0</v>
      </c>
      <c r="AJ51" s="18">
        <f t="shared" si="67"/>
        <v>0</v>
      </c>
      <c r="AK51" s="18">
        <f t="shared" ref="AK51:CZ51" si="68">SUM(AK52)</f>
        <v>0</v>
      </c>
      <c r="AL51" s="18">
        <f t="shared" si="68"/>
        <v>141</v>
      </c>
      <c r="AM51" s="18">
        <f t="shared" si="68"/>
        <v>10458</v>
      </c>
      <c r="AN51" s="18">
        <f t="shared" si="68"/>
        <v>57424</v>
      </c>
      <c r="AO51" s="18">
        <f t="shared" si="68"/>
        <v>0</v>
      </c>
      <c r="AP51" s="18"/>
      <c r="AQ51" s="18">
        <f t="shared" si="68"/>
        <v>0</v>
      </c>
      <c r="AR51" s="18">
        <f t="shared" si="68"/>
        <v>297509</v>
      </c>
      <c r="AS51" s="18">
        <f t="shared" si="68"/>
        <v>216</v>
      </c>
      <c r="AT51" s="18"/>
      <c r="AU51" s="18"/>
      <c r="AV51" s="18">
        <f t="shared" si="68"/>
        <v>0</v>
      </c>
      <c r="AW51" s="18">
        <f t="shared" si="68"/>
        <v>0</v>
      </c>
      <c r="AX51" s="18">
        <f t="shared" si="68"/>
        <v>45000</v>
      </c>
      <c r="AY51" s="18"/>
      <c r="AZ51" s="18">
        <f t="shared" si="68"/>
        <v>24210</v>
      </c>
      <c r="BA51" s="18">
        <f t="shared" si="68"/>
        <v>0</v>
      </c>
      <c r="BB51" s="18">
        <f t="shared" si="68"/>
        <v>0</v>
      </c>
      <c r="BC51" s="18">
        <f t="shared" si="68"/>
        <v>0</v>
      </c>
      <c r="BD51" s="18">
        <f t="shared" si="68"/>
        <v>0</v>
      </c>
      <c r="BE51" s="18">
        <f t="shared" si="68"/>
        <v>0</v>
      </c>
      <c r="BF51" s="18">
        <f t="shared" si="68"/>
        <v>0</v>
      </c>
      <c r="BG51" s="18">
        <f t="shared" si="68"/>
        <v>0</v>
      </c>
      <c r="BH51" s="18">
        <f t="shared" si="68"/>
        <v>0</v>
      </c>
      <c r="BI51" s="18">
        <f t="shared" si="68"/>
        <v>0</v>
      </c>
      <c r="BJ51" s="18">
        <f t="shared" si="68"/>
        <v>0</v>
      </c>
      <c r="BK51" s="18">
        <f t="shared" si="68"/>
        <v>0</v>
      </c>
      <c r="BL51" s="18">
        <f t="shared" si="68"/>
        <v>0</v>
      </c>
      <c r="BM51" s="18">
        <f t="shared" si="68"/>
        <v>0</v>
      </c>
      <c r="BN51" s="18">
        <f t="shared" si="68"/>
        <v>0</v>
      </c>
      <c r="BO51" s="18">
        <f t="shared" si="68"/>
        <v>0</v>
      </c>
      <c r="BP51" s="18">
        <f t="shared" si="68"/>
        <v>0</v>
      </c>
      <c r="BQ51" s="18">
        <f t="shared" si="68"/>
        <v>0</v>
      </c>
      <c r="BR51" s="18">
        <f t="shared" si="68"/>
        <v>0</v>
      </c>
      <c r="BS51" s="18">
        <f t="shared" si="68"/>
        <v>0</v>
      </c>
      <c r="BT51" s="18">
        <f t="shared" si="68"/>
        <v>0</v>
      </c>
      <c r="BU51" s="18">
        <f t="shared" si="68"/>
        <v>0</v>
      </c>
      <c r="BV51" s="18">
        <f t="shared" si="68"/>
        <v>0</v>
      </c>
      <c r="BW51" s="18">
        <f t="shared" si="68"/>
        <v>0</v>
      </c>
      <c r="BX51" s="18">
        <f t="shared" si="68"/>
        <v>0</v>
      </c>
      <c r="BY51" s="18">
        <f t="shared" si="68"/>
        <v>0</v>
      </c>
      <c r="BZ51" s="18">
        <f t="shared" si="68"/>
        <v>271248</v>
      </c>
      <c r="CA51" s="18">
        <f t="shared" si="68"/>
        <v>271248</v>
      </c>
      <c r="CB51" s="18">
        <f t="shared" si="68"/>
        <v>271248</v>
      </c>
      <c r="CC51" s="18">
        <f t="shared" si="68"/>
        <v>0</v>
      </c>
      <c r="CD51" s="18">
        <f t="shared" si="68"/>
        <v>271248</v>
      </c>
      <c r="CE51" s="18">
        <f t="shared" si="68"/>
        <v>0</v>
      </c>
      <c r="CF51" s="18">
        <f t="shared" si="68"/>
        <v>0</v>
      </c>
      <c r="CG51" s="18">
        <f t="shared" si="68"/>
        <v>0</v>
      </c>
      <c r="CH51" s="18">
        <f t="shared" si="68"/>
        <v>0</v>
      </c>
      <c r="CI51" s="18">
        <f t="shared" si="68"/>
        <v>0</v>
      </c>
      <c r="CJ51" s="18">
        <f t="shared" si="68"/>
        <v>0</v>
      </c>
      <c r="CK51" s="18">
        <f t="shared" si="68"/>
        <v>0</v>
      </c>
      <c r="CL51" s="18">
        <f t="shared" si="68"/>
        <v>0</v>
      </c>
      <c r="CM51" s="18">
        <f t="shared" si="68"/>
        <v>0</v>
      </c>
      <c r="CN51" s="18">
        <f t="shared" si="68"/>
        <v>0</v>
      </c>
      <c r="CO51" s="18"/>
      <c r="CP51" s="18"/>
      <c r="CQ51" s="18"/>
      <c r="CR51" s="18"/>
      <c r="CS51" s="18">
        <f t="shared" si="68"/>
        <v>0</v>
      </c>
      <c r="CT51" s="18"/>
      <c r="CU51" s="18"/>
      <c r="CV51" s="18"/>
      <c r="CW51" s="18">
        <f t="shared" si="68"/>
        <v>0</v>
      </c>
      <c r="CX51" s="18">
        <f t="shared" si="68"/>
        <v>0</v>
      </c>
      <c r="CY51" s="18">
        <f t="shared" si="68"/>
        <v>0</v>
      </c>
      <c r="CZ51" s="46">
        <f t="shared" si="68"/>
        <v>0</v>
      </c>
      <c r="DA51" s="57"/>
    </row>
    <row r="52" spans="1:105" ht="15.75" x14ac:dyDescent="0.25">
      <c r="A52" s="80" t="s">
        <v>1</v>
      </c>
      <c r="B52" s="21" t="s">
        <v>125</v>
      </c>
      <c r="C52" s="22" t="s">
        <v>126</v>
      </c>
      <c r="D52" s="18">
        <f>SUM(E52+BZ52+CW52)</f>
        <v>14828979</v>
      </c>
      <c r="E52" s="19">
        <f>SUM(F52+BA52)</f>
        <v>14557731</v>
      </c>
      <c r="F52" s="19">
        <f>SUM(G52+H52+I52+P52+S52+T52+U52+AD52)</f>
        <v>14557731</v>
      </c>
      <c r="G52" s="23">
        <v>12097977</v>
      </c>
      <c r="H52" s="23">
        <v>1203808</v>
      </c>
      <c r="I52" s="19">
        <f t="shared" si="6"/>
        <v>514937</v>
      </c>
      <c r="J52" s="23">
        <v>0</v>
      </c>
      <c r="K52" s="23">
        <v>79520</v>
      </c>
      <c r="L52" s="23">
        <v>0</v>
      </c>
      <c r="M52" s="23">
        <v>0</v>
      </c>
      <c r="N52" s="23">
        <v>386708</v>
      </c>
      <c r="O52" s="23">
        <v>48709</v>
      </c>
      <c r="P52" s="19">
        <f t="shared" si="7"/>
        <v>24550</v>
      </c>
      <c r="Q52" s="23">
        <v>11542</v>
      </c>
      <c r="R52" s="23">
        <v>13008</v>
      </c>
      <c r="S52" s="23">
        <v>0</v>
      </c>
      <c r="T52" s="23">
        <v>29244</v>
      </c>
      <c r="U52" s="19">
        <f>SUM(V52:AC52)</f>
        <v>94118</v>
      </c>
      <c r="V52" s="23">
        <v>9631</v>
      </c>
      <c r="W52" s="23">
        <v>44702</v>
      </c>
      <c r="X52" s="23">
        <v>31208</v>
      </c>
      <c r="Y52" s="23">
        <v>5253</v>
      </c>
      <c r="Z52" s="23">
        <v>3324</v>
      </c>
      <c r="AA52" s="23">
        <v>0</v>
      </c>
      <c r="AB52" s="23">
        <v>0</v>
      </c>
      <c r="AC52" s="23">
        <v>0</v>
      </c>
      <c r="AD52" s="19">
        <f>SUM(AE52:AZ52)</f>
        <v>593097</v>
      </c>
      <c r="AE52" s="19">
        <v>0</v>
      </c>
      <c r="AF52" s="19">
        <v>0</v>
      </c>
      <c r="AG52" s="23">
        <v>574</v>
      </c>
      <c r="AH52" s="23">
        <v>157565</v>
      </c>
      <c r="AI52" s="23">
        <v>0</v>
      </c>
      <c r="AJ52" s="23">
        <v>0</v>
      </c>
      <c r="AK52" s="23">
        <v>0</v>
      </c>
      <c r="AL52" s="23">
        <v>141</v>
      </c>
      <c r="AM52" s="23">
        <v>10458</v>
      </c>
      <c r="AN52" s="23">
        <v>57424</v>
      </c>
      <c r="AO52" s="23">
        <v>0</v>
      </c>
      <c r="AP52" s="23"/>
      <c r="AQ52" s="23">
        <v>0</v>
      </c>
      <c r="AR52" s="23">
        <v>297509</v>
      </c>
      <c r="AS52" s="23">
        <v>216</v>
      </c>
      <c r="AT52" s="23">
        <v>0</v>
      </c>
      <c r="AU52" s="23">
        <v>0</v>
      </c>
      <c r="AV52" s="23">
        <v>0</v>
      </c>
      <c r="AW52" s="23">
        <v>0</v>
      </c>
      <c r="AX52" s="23">
        <v>45000</v>
      </c>
      <c r="AY52" s="23">
        <v>0</v>
      </c>
      <c r="AZ52" s="23">
        <v>24210</v>
      </c>
      <c r="BA52" s="19">
        <f>SUM(BB52+BF52+BI52+BK52+BN52)</f>
        <v>0</v>
      </c>
      <c r="BB52" s="19">
        <f>SUM(BC52:BE52)</f>
        <v>0</v>
      </c>
      <c r="BC52" s="19">
        <v>0</v>
      </c>
      <c r="BD52" s="19">
        <v>0</v>
      </c>
      <c r="BE52" s="19">
        <v>0</v>
      </c>
      <c r="BF52" s="19">
        <f>SUM(BH52:BH52)</f>
        <v>0</v>
      </c>
      <c r="BG52" s="19">
        <v>0</v>
      </c>
      <c r="BH52" s="19">
        <v>0</v>
      </c>
      <c r="BI52" s="19">
        <v>0</v>
      </c>
      <c r="BJ52" s="19">
        <v>0</v>
      </c>
      <c r="BK52" s="19">
        <f t="shared" si="8"/>
        <v>0</v>
      </c>
      <c r="BL52" s="19">
        <v>0</v>
      </c>
      <c r="BM52" s="19">
        <v>0</v>
      </c>
      <c r="BN52" s="19">
        <f>SUM(BO52:BY52)</f>
        <v>0</v>
      </c>
      <c r="BO52" s="19">
        <v>0</v>
      </c>
      <c r="BP52" s="19">
        <v>0</v>
      </c>
      <c r="BQ52" s="19">
        <v>0</v>
      </c>
      <c r="BR52" s="19">
        <v>0</v>
      </c>
      <c r="BS52" s="19">
        <v>0</v>
      </c>
      <c r="BT52" s="19">
        <v>0</v>
      </c>
      <c r="BU52" s="19">
        <v>0</v>
      </c>
      <c r="BV52" s="19">
        <v>0</v>
      </c>
      <c r="BW52" s="19">
        <v>0</v>
      </c>
      <c r="BX52" s="19">
        <v>0</v>
      </c>
      <c r="BY52" s="19">
        <v>0</v>
      </c>
      <c r="BZ52" s="19">
        <f>SUM(CA52+CS52)</f>
        <v>271248</v>
      </c>
      <c r="CA52" s="19">
        <f>SUM(CB52+CE52+CK52)</f>
        <v>271248</v>
      </c>
      <c r="CB52" s="19">
        <f t="shared" si="9"/>
        <v>271248</v>
      </c>
      <c r="CC52" s="19">
        <v>0</v>
      </c>
      <c r="CD52" s="23">
        <v>271248</v>
      </c>
      <c r="CE52" s="19">
        <f>SUM(CF52:CJ52)</f>
        <v>0</v>
      </c>
      <c r="CF52" s="19">
        <v>0</v>
      </c>
      <c r="CG52" s="19">
        <v>0</v>
      </c>
      <c r="CH52" s="19">
        <v>0</v>
      </c>
      <c r="CI52" s="19">
        <v>0</v>
      </c>
      <c r="CJ52" s="19">
        <v>0</v>
      </c>
      <c r="CK52" s="19">
        <f>SUM(CL52:CP52)</f>
        <v>0</v>
      </c>
      <c r="CL52" s="19">
        <v>0</v>
      </c>
      <c r="CM52" s="19">
        <v>0</v>
      </c>
      <c r="CN52" s="19">
        <v>0</v>
      </c>
      <c r="CO52" s="19"/>
      <c r="CP52" s="19"/>
      <c r="CQ52" s="19"/>
      <c r="CR52" s="19"/>
      <c r="CS52" s="19">
        <v>0</v>
      </c>
      <c r="CT52" s="19"/>
      <c r="CU52" s="19"/>
      <c r="CV52" s="19"/>
      <c r="CW52" s="19">
        <f t="shared" si="10"/>
        <v>0</v>
      </c>
      <c r="CX52" s="19">
        <f t="shared" si="11"/>
        <v>0</v>
      </c>
      <c r="CY52" s="19">
        <v>0</v>
      </c>
      <c r="CZ52" s="20">
        <v>0</v>
      </c>
    </row>
    <row r="53" spans="1:105" s="58" customFormat="1" ht="15.75" x14ac:dyDescent="0.25">
      <c r="A53" s="79" t="s">
        <v>127</v>
      </c>
      <c r="B53" s="16" t="s">
        <v>1</v>
      </c>
      <c r="C53" s="17" t="s">
        <v>128</v>
      </c>
      <c r="D53" s="18">
        <f t="shared" ref="D53:AJ53" si="69">SUM(D54)</f>
        <v>33584998</v>
      </c>
      <c r="E53" s="18">
        <f t="shared" si="69"/>
        <v>31383288</v>
      </c>
      <c r="F53" s="18">
        <f t="shared" si="69"/>
        <v>31383288</v>
      </c>
      <c r="G53" s="18">
        <f t="shared" si="69"/>
        <v>25380271</v>
      </c>
      <c r="H53" s="18">
        <f t="shared" si="69"/>
        <v>3349246</v>
      </c>
      <c r="I53" s="18">
        <f t="shared" si="69"/>
        <v>995322</v>
      </c>
      <c r="J53" s="18">
        <f t="shared" si="69"/>
        <v>0</v>
      </c>
      <c r="K53" s="18">
        <f t="shared" si="69"/>
        <v>26376</v>
      </c>
      <c r="L53" s="18">
        <f t="shared" si="69"/>
        <v>0</v>
      </c>
      <c r="M53" s="18">
        <f t="shared" si="69"/>
        <v>0</v>
      </c>
      <c r="N53" s="18">
        <f t="shared" si="69"/>
        <v>611106</v>
      </c>
      <c r="O53" s="18">
        <f t="shared" si="69"/>
        <v>357840</v>
      </c>
      <c r="P53" s="18">
        <f t="shared" si="69"/>
        <v>0</v>
      </c>
      <c r="Q53" s="18">
        <f t="shared" si="69"/>
        <v>0</v>
      </c>
      <c r="R53" s="18">
        <f t="shared" si="69"/>
        <v>0</v>
      </c>
      <c r="S53" s="18">
        <f t="shared" si="69"/>
        <v>0</v>
      </c>
      <c r="T53" s="18">
        <f t="shared" si="69"/>
        <v>345578</v>
      </c>
      <c r="U53" s="18">
        <f t="shared" si="69"/>
        <v>354511</v>
      </c>
      <c r="V53" s="18">
        <f t="shared" si="69"/>
        <v>117308</v>
      </c>
      <c r="W53" s="18">
        <f t="shared" si="69"/>
        <v>65269</v>
      </c>
      <c r="X53" s="18">
        <f t="shared" si="69"/>
        <v>108091</v>
      </c>
      <c r="Y53" s="18">
        <f t="shared" si="69"/>
        <v>25007</v>
      </c>
      <c r="Z53" s="18">
        <f t="shared" si="69"/>
        <v>13304</v>
      </c>
      <c r="AA53" s="18">
        <f t="shared" si="69"/>
        <v>0</v>
      </c>
      <c r="AB53" s="18">
        <f t="shared" si="69"/>
        <v>0</v>
      </c>
      <c r="AC53" s="18">
        <f t="shared" si="69"/>
        <v>25532</v>
      </c>
      <c r="AD53" s="18">
        <f t="shared" si="69"/>
        <v>958360</v>
      </c>
      <c r="AE53" s="18">
        <f t="shared" si="69"/>
        <v>0</v>
      </c>
      <c r="AF53" s="18">
        <f t="shared" si="69"/>
        <v>0</v>
      </c>
      <c r="AG53" s="18">
        <f t="shared" si="69"/>
        <v>9520</v>
      </c>
      <c r="AH53" s="18">
        <f t="shared" si="69"/>
        <v>60707</v>
      </c>
      <c r="AI53" s="18">
        <f t="shared" si="69"/>
        <v>0</v>
      </c>
      <c r="AJ53" s="18">
        <f t="shared" si="69"/>
        <v>5983</v>
      </c>
      <c r="AK53" s="18">
        <f t="shared" ref="AK53:CZ53" si="70">SUM(AK54)</f>
        <v>0</v>
      </c>
      <c r="AL53" s="18">
        <f t="shared" si="70"/>
        <v>2749</v>
      </c>
      <c r="AM53" s="18">
        <f t="shared" si="70"/>
        <v>71930</v>
      </c>
      <c r="AN53" s="18">
        <f t="shared" si="70"/>
        <v>5238</v>
      </c>
      <c r="AO53" s="18">
        <f t="shared" si="70"/>
        <v>0</v>
      </c>
      <c r="AP53" s="18"/>
      <c r="AQ53" s="18">
        <f t="shared" si="70"/>
        <v>0</v>
      </c>
      <c r="AR53" s="18">
        <f t="shared" si="70"/>
        <v>599766</v>
      </c>
      <c r="AS53" s="18">
        <f t="shared" si="70"/>
        <v>0</v>
      </c>
      <c r="AT53" s="18"/>
      <c r="AU53" s="18"/>
      <c r="AV53" s="18">
        <f t="shared" si="70"/>
        <v>0</v>
      </c>
      <c r="AW53" s="18">
        <f t="shared" si="70"/>
        <v>0</v>
      </c>
      <c r="AX53" s="18">
        <f t="shared" si="70"/>
        <v>7535</v>
      </c>
      <c r="AY53" s="18"/>
      <c r="AZ53" s="18">
        <f t="shared" si="70"/>
        <v>194932</v>
      </c>
      <c r="BA53" s="18">
        <f t="shared" si="70"/>
        <v>0</v>
      </c>
      <c r="BB53" s="18">
        <f t="shared" si="70"/>
        <v>0</v>
      </c>
      <c r="BC53" s="18">
        <f t="shared" si="70"/>
        <v>0</v>
      </c>
      <c r="BD53" s="18">
        <f t="shared" si="70"/>
        <v>0</v>
      </c>
      <c r="BE53" s="18">
        <f t="shared" si="70"/>
        <v>0</v>
      </c>
      <c r="BF53" s="18">
        <f t="shared" si="70"/>
        <v>0</v>
      </c>
      <c r="BG53" s="18">
        <f t="shared" si="70"/>
        <v>0</v>
      </c>
      <c r="BH53" s="18">
        <f t="shared" si="70"/>
        <v>0</v>
      </c>
      <c r="BI53" s="18">
        <f t="shared" si="70"/>
        <v>0</v>
      </c>
      <c r="BJ53" s="18">
        <f t="shared" si="70"/>
        <v>0</v>
      </c>
      <c r="BK53" s="18">
        <f t="shared" si="70"/>
        <v>0</v>
      </c>
      <c r="BL53" s="18">
        <f t="shared" si="70"/>
        <v>0</v>
      </c>
      <c r="BM53" s="18">
        <f t="shared" si="70"/>
        <v>0</v>
      </c>
      <c r="BN53" s="18">
        <f t="shared" ref="AK53:CZ55" si="71">SUM(BN54)</f>
        <v>0</v>
      </c>
      <c r="BO53" s="18">
        <f t="shared" si="70"/>
        <v>0</v>
      </c>
      <c r="BP53" s="18">
        <f t="shared" si="70"/>
        <v>0</v>
      </c>
      <c r="BQ53" s="18">
        <f t="shared" si="70"/>
        <v>0</v>
      </c>
      <c r="BR53" s="18">
        <f t="shared" si="70"/>
        <v>0</v>
      </c>
      <c r="BS53" s="18">
        <f t="shared" si="70"/>
        <v>0</v>
      </c>
      <c r="BT53" s="18">
        <f t="shared" si="70"/>
        <v>0</v>
      </c>
      <c r="BU53" s="18">
        <f t="shared" si="70"/>
        <v>0</v>
      </c>
      <c r="BV53" s="18">
        <f t="shared" si="70"/>
        <v>0</v>
      </c>
      <c r="BW53" s="18">
        <f t="shared" si="70"/>
        <v>0</v>
      </c>
      <c r="BX53" s="18">
        <f t="shared" si="70"/>
        <v>0</v>
      </c>
      <c r="BY53" s="18">
        <f t="shared" si="70"/>
        <v>0</v>
      </c>
      <c r="BZ53" s="18">
        <f t="shared" si="70"/>
        <v>2201710</v>
      </c>
      <c r="CA53" s="18">
        <f t="shared" si="70"/>
        <v>2201710</v>
      </c>
      <c r="CB53" s="18">
        <f t="shared" si="70"/>
        <v>869593</v>
      </c>
      <c r="CC53" s="18">
        <f t="shared" si="70"/>
        <v>0</v>
      </c>
      <c r="CD53" s="18">
        <f t="shared" si="70"/>
        <v>869593</v>
      </c>
      <c r="CE53" s="18">
        <f t="shared" si="70"/>
        <v>0</v>
      </c>
      <c r="CF53" s="18">
        <f t="shared" si="70"/>
        <v>0</v>
      </c>
      <c r="CG53" s="18">
        <f t="shared" si="70"/>
        <v>0</v>
      </c>
      <c r="CH53" s="18">
        <f t="shared" si="70"/>
        <v>0</v>
      </c>
      <c r="CI53" s="18">
        <f t="shared" si="70"/>
        <v>0</v>
      </c>
      <c r="CJ53" s="18">
        <f t="shared" si="70"/>
        <v>0</v>
      </c>
      <c r="CK53" s="18">
        <f t="shared" si="70"/>
        <v>1332117</v>
      </c>
      <c r="CL53" s="18">
        <f t="shared" si="70"/>
        <v>0</v>
      </c>
      <c r="CM53" s="18">
        <f t="shared" si="70"/>
        <v>0</v>
      </c>
      <c r="CN53" s="18">
        <f t="shared" si="70"/>
        <v>1332117</v>
      </c>
      <c r="CO53" s="18"/>
      <c r="CP53" s="18"/>
      <c r="CQ53" s="18"/>
      <c r="CR53" s="18"/>
      <c r="CS53" s="18">
        <f t="shared" si="70"/>
        <v>0</v>
      </c>
      <c r="CT53" s="18"/>
      <c r="CU53" s="18"/>
      <c r="CV53" s="18"/>
      <c r="CW53" s="18">
        <f t="shared" si="70"/>
        <v>0</v>
      </c>
      <c r="CX53" s="18">
        <f t="shared" si="70"/>
        <v>0</v>
      </c>
      <c r="CY53" s="18">
        <f t="shared" si="70"/>
        <v>0</v>
      </c>
      <c r="CZ53" s="46">
        <f t="shared" si="70"/>
        <v>0</v>
      </c>
      <c r="DA53" s="57"/>
    </row>
    <row r="54" spans="1:105" ht="31.5" x14ac:dyDescent="0.25">
      <c r="A54" s="80" t="s">
        <v>1</v>
      </c>
      <c r="B54" s="21" t="s">
        <v>129</v>
      </c>
      <c r="C54" s="22" t="s">
        <v>548</v>
      </c>
      <c r="D54" s="18">
        <f>SUM(E54+BZ54+CW54)</f>
        <v>33584998</v>
      </c>
      <c r="E54" s="19">
        <f>SUM(F54+BA54)</f>
        <v>31383288</v>
      </c>
      <c r="F54" s="19">
        <f>SUM(G54+H54+I54+P54+S54+T54+U54+AD54)</f>
        <v>31383288</v>
      </c>
      <c r="G54" s="23">
        <f>26353599-973328</f>
        <v>25380271</v>
      </c>
      <c r="H54" s="23">
        <f>3592578-243332</f>
        <v>3349246</v>
      </c>
      <c r="I54" s="19">
        <f t="shared" si="6"/>
        <v>995322</v>
      </c>
      <c r="J54" s="23">
        <v>0</v>
      </c>
      <c r="K54" s="23">
        <v>26376</v>
      </c>
      <c r="L54" s="23">
        <v>0</v>
      </c>
      <c r="M54" s="23">
        <v>0</v>
      </c>
      <c r="N54" s="23">
        <v>611106</v>
      </c>
      <c r="O54" s="23">
        <v>357840</v>
      </c>
      <c r="P54" s="19">
        <f t="shared" si="7"/>
        <v>0</v>
      </c>
      <c r="Q54" s="23">
        <v>0</v>
      </c>
      <c r="R54" s="23">
        <v>0</v>
      </c>
      <c r="S54" s="23">
        <v>0</v>
      </c>
      <c r="T54" s="23">
        <v>345578</v>
      </c>
      <c r="U54" s="19">
        <f>SUM(V54:AC54)</f>
        <v>354511</v>
      </c>
      <c r="V54" s="23">
        <v>117308</v>
      </c>
      <c r="W54" s="23">
        <v>65269</v>
      </c>
      <c r="X54" s="23">
        <v>108091</v>
      </c>
      <c r="Y54" s="23">
        <v>25007</v>
      </c>
      <c r="Z54" s="23">
        <v>13304</v>
      </c>
      <c r="AA54" s="23">
        <v>0</v>
      </c>
      <c r="AB54" s="23">
        <v>0</v>
      </c>
      <c r="AC54" s="23">
        <v>25532</v>
      </c>
      <c r="AD54" s="19">
        <f>SUM(AE54:AZ54)</f>
        <v>958360</v>
      </c>
      <c r="AE54" s="19">
        <v>0</v>
      </c>
      <c r="AF54" s="19">
        <v>0</v>
      </c>
      <c r="AG54" s="23">
        <v>9520</v>
      </c>
      <c r="AH54" s="23">
        <v>60707</v>
      </c>
      <c r="AI54" s="23">
        <v>0</v>
      </c>
      <c r="AJ54" s="23">
        <v>5983</v>
      </c>
      <c r="AK54" s="23">
        <v>0</v>
      </c>
      <c r="AL54" s="23">
        <v>2749</v>
      </c>
      <c r="AM54" s="23">
        <v>71930</v>
      </c>
      <c r="AN54" s="23">
        <v>5238</v>
      </c>
      <c r="AO54" s="23">
        <v>0</v>
      </c>
      <c r="AP54" s="23"/>
      <c r="AQ54" s="23">
        <v>0</v>
      </c>
      <c r="AR54" s="23">
        <v>599766</v>
      </c>
      <c r="AS54" s="23">
        <v>0</v>
      </c>
      <c r="AT54" s="23">
        <v>0</v>
      </c>
      <c r="AU54" s="23">
        <v>0</v>
      </c>
      <c r="AV54" s="23">
        <v>0</v>
      </c>
      <c r="AW54" s="23">
        <v>0</v>
      </c>
      <c r="AX54" s="23">
        <v>7535</v>
      </c>
      <c r="AY54" s="23">
        <v>0</v>
      </c>
      <c r="AZ54" s="23">
        <v>194932</v>
      </c>
      <c r="BA54" s="19">
        <f>SUM(BB54+BF54+BI54+BK54+BN54)</f>
        <v>0</v>
      </c>
      <c r="BB54" s="19">
        <f>SUM(BC54:BE54)</f>
        <v>0</v>
      </c>
      <c r="BC54" s="19">
        <v>0</v>
      </c>
      <c r="BD54" s="19">
        <v>0</v>
      </c>
      <c r="BE54" s="19">
        <v>0</v>
      </c>
      <c r="BF54" s="19">
        <f>SUM(BH54:BH54)</f>
        <v>0</v>
      </c>
      <c r="BG54" s="19">
        <v>0</v>
      </c>
      <c r="BH54" s="19">
        <v>0</v>
      </c>
      <c r="BI54" s="19">
        <v>0</v>
      </c>
      <c r="BJ54" s="19">
        <v>0</v>
      </c>
      <c r="BK54" s="19">
        <f t="shared" si="8"/>
        <v>0</v>
      </c>
      <c r="BL54" s="19">
        <v>0</v>
      </c>
      <c r="BM54" s="19">
        <v>0</v>
      </c>
      <c r="BN54" s="19">
        <f>SUM(BO54:BY54)</f>
        <v>0</v>
      </c>
      <c r="BO54" s="19">
        <v>0</v>
      </c>
      <c r="BP54" s="19">
        <v>0</v>
      </c>
      <c r="BQ54" s="19">
        <v>0</v>
      </c>
      <c r="BR54" s="19">
        <v>0</v>
      </c>
      <c r="BS54" s="19">
        <v>0</v>
      </c>
      <c r="BT54" s="19">
        <v>0</v>
      </c>
      <c r="BU54" s="19">
        <v>0</v>
      </c>
      <c r="BV54" s="19">
        <v>0</v>
      </c>
      <c r="BW54" s="19">
        <v>0</v>
      </c>
      <c r="BX54" s="19">
        <v>0</v>
      </c>
      <c r="BY54" s="19">
        <v>0</v>
      </c>
      <c r="BZ54" s="19">
        <f>SUM(CA54+CS54)</f>
        <v>2201710</v>
      </c>
      <c r="CA54" s="19">
        <f>SUM(CB54+CE54+CK54)</f>
        <v>2201710</v>
      </c>
      <c r="CB54" s="19">
        <f t="shared" si="9"/>
        <v>869593</v>
      </c>
      <c r="CC54" s="19">
        <v>0</v>
      </c>
      <c r="CD54" s="23">
        <v>869593</v>
      </c>
      <c r="CE54" s="19">
        <f>SUM(CF54:CJ54)</f>
        <v>0</v>
      </c>
      <c r="CF54" s="19">
        <v>0</v>
      </c>
      <c r="CG54" s="19">
        <v>0</v>
      </c>
      <c r="CH54" s="19">
        <v>0</v>
      </c>
      <c r="CI54" s="19">
        <v>0</v>
      </c>
      <c r="CJ54" s="19">
        <v>0</v>
      </c>
      <c r="CK54" s="19">
        <f>SUM(CL54:CP54)</f>
        <v>1332117</v>
      </c>
      <c r="CL54" s="19"/>
      <c r="CM54" s="19"/>
      <c r="CN54" s="23">
        <v>1332117</v>
      </c>
      <c r="CO54" s="19"/>
      <c r="CP54" s="19"/>
      <c r="CQ54" s="19"/>
      <c r="CR54" s="19"/>
      <c r="CS54" s="19">
        <v>0</v>
      </c>
      <c r="CT54" s="19"/>
      <c r="CU54" s="19"/>
      <c r="CV54" s="19"/>
      <c r="CW54" s="19">
        <f t="shared" si="10"/>
        <v>0</v>
      </c>
      <c r="CX54" s="19">
        <f t="shared" si="11"/>
        <v>0</v>
      </c>
      <c r="CY54" s="19">
        <v>0</v>
      </c>
      <c r="CZ54" s="20">
        <v>0</v>
      </c>
    </row>
    <row r="55" spans="1:105" s="58" customFormat="1" ht="15.75" x14ac:dyDescent="0.25">
      <c r="A55" s="79" t="s">
        <v>130</v>
      </c>
      <c r="B55" s="16" t="s">
        <v>1</v>
      </c>
      <c r="C55" s="17" t="s">
        <v>131</v>
      </c>
      <c r="D55" s="18">
        <f t="shared" ref="D55:AJ55" si="72">SUM(D56)</f>
        <v>6438764</v>
      </c>
      <c r="E55" s="18">
        <f t="shared" si="72"/>
        <v>6398764</v>
      </c>
      <c r="F55" s="18">
        <f t="shared" si="72"/>
        <v>6371159</v>
      </c>
      <c r="G55" s="18">
        <f t="shared" si="72"/>
        <v>4838651</v>
      </c>
      <c r="H55" s="18">
        <f t="shared" si="72"/>
        <v>542012</v>
      </c>
      <c r="I55" s="18">
        <f t="shared" si="72"/>
        <v>520822</v>
      </c>
      <c r="J55" s="18">
        <f t="shared" si="72"/>
        <v>0</v>
      </c>
      <c r="K55" s="18">
        <f t="shared" si="72"/>
        <v>0</v>
      </c>
      <c r="L55" s="18">
        <f t="shared" si="72"/>
        <v>0</v>
      </c>
      <c r="M55" s="18">
        <f t="shared" si="72"/>
        <v>0</v>
      </c>
      <c r="N55" s="18">
        <f t="shared" si="72"/>
        <v>445653</v>
      </c>
      <c r="O55" s="18">
        <f t="shared" si="72"/>
        <v>75169</v>
      </c>
      <c r="P55" s="18">
        <f t="shared" si="72"/>
        <v>0</v>
      </c>
      <c r="Q55" s="18">
        <f t="shared" si="72"/>
        <v>0</v>
      </c>
      <c r="R55" s="18">
        <f t="shared" si="72"/>
        <v>0</v>
      </c>
      <c r="S55" s="18">
        <f t="shared" si="72"/>
        <v>0</v>
      </c>
      <c r="T55" s="18">
        <f t="shared" si="72"/>
        <v>110000</v>
      </c>
      <c r="U55" s="18">
        <f t="shared" si="72"/>
        <v>69602</v>
      </c>
      <c r="V55" s="18">
        <f t="shared" si="72"/>
        <v>30518</v>
      </c>
      <c r="W55" s="18">
        <f t="shared" si="72"/>
        <v>0</v>
      </c>
      <c r="X55" s="18">
        <f t="shared" si="72"/>
        <v>28721</v>
      </c>
      <c r="Y55" s="18">
        <f t="shared" si="72"/>
        <v>3079</v>
      </c>
      <c r="Z55" s="18">
        <f t="shared" si="72"/>
        <v>0</v>
      </c>
      <c r="AA55" s="18">
        <f t="shared" si="72"/>
        <v>0</v>
      </c>
      <c r="AB55" s="18">
        <f t="shared" si="72"/>
        <v>0</v>
      </c>
      <c r="AC55" s="18">
        <f t="shared" si="72"/>
        <v>7284</v>
      </c>
      <c r="AD55" s="18">
        <f t="shared" si="72"/>
        <v>290072</v>
      </c>
      <c r="AE55" s="18">
        <f t="shared" si="72"/>
        <v>0</v>
      </c>
      <c r="AF55" s="18">
        <f t="shared" si="72"/>
        <v>0</v>
      </c>
      <c r="AG55" s="18">
        <f t="shared" si="72"/>
        <v>15000</v>
      </c>
      <c r="AH55" s="18">
        <f t="shared" si="72"/>
        <v>35000</v>
      </c>
      <c r="AI55" s="18">
        <f t="shared" si="72"/>
        <v>0</v>
      </c>
      <c r="AJ55" s="18">
        <f t="shared" si="72"/>
        <v>5000</v>
      </c>
      <c r="AK55" s="18">
        <f t="shared" si="71"/>
        <v>0</v>
      </c>
      <c r="AL55" s="18">
        <f t="shared" si="71"/>
        <v>600</v>
      </c>
      <c r="AM55" s="18">
        <f t="shared" si="71"/>
        <v>0</v>
      </c>
      <c r="AN55" s="18">
        <f t="shared" si="71"/>
        <v>33756</v>
      </c>
      <c r="AO55" s="18">
        <f t="shared" si="71"/>
        <v>0</v>
      </c>
      <c r="AP55" s="18"/>
      <c r="AQ55" s="18">
        <f t="shared" si="71"/>
        <v>0</v>
      </c>
      <c r="AR55" s="18">
        <f t="shared" si="71"/>
        <v>32000</v>
      </c>
      <c r="AS55" s="18">
        <f t="shared" si="71"/>
        <v>34116</v>
      </c>
      <c r="AT55" s="18"/>
      <c r="AU55" s="18"/>
      <c r="AV55" s="18">
        <f t="shared" si="71"/>
        <v>0</v>
      </c>
      <c r="AW55" s="18">
        <f t="shared" si="71"/>
        <v>0</v>
      </c>
      <c r="AX55" s="18">
        <f t="shared" si="71"/>
        <v>54600</v>
      </c>
      <c r="AY55" s="18"/>
      <c r="AZ55" s="18">
        <f t="shared" si="71"/>
        <v>80000</v>
      </c>
      <c r="BA55" s="18">
        <f t="shared" si="71"/>
        <v>27605</v>
      </c>
      <c r="BB55" s="18">
        <f t="shared" si="71"/>
        <v>0</v>
      </c>
      <c r="BC55" s="18">
        <f t="shared" si="71"/>
        <v>0</v>
      </c>
      <c r="BD55" s="18">
        <f t="shared" si="71"/>
        <v>0</v>
      </c>
      <c r="BE55" s="18">
        <f t="shared" si="71"/>
        <v>0</v>
      </c>
      <c r="BF55" s="18">
        <f t="shared" si="71"/>
        <v>0</v>
      </c>
      <c r="BG55" s="18">
        <f t="shared" si="71"/>
        <v>0</v>
      </c>
      <c r="BH55" s="18">
        <f t="shared" si="71"/>
        <v>0</v>
      </c>
      <c r="BI55" s="18">
        <f t="shared" si="71"/>
        <v>0</v>
      </c>
      <c r="BJ55" s="18">
        <f t="shared" si="71"/>
        <v>0</v>
      </c>
      <c r="BK55" s="18">
        <f t="shared" si="71"/>
        <v>0</v>
      </c>
      <c r="BL55" s="18">
        <f t="shared" si="71"/>
        <v>0</v>
      </c>
      <c r="BM55" s="18">
        <f t="shared" si="71"/>
        <v>0</v>
      </c>
      <c r="BN55" s="18">
        <f t="shared" si="71"/>
        <v>27605</v>
      </c>
      <c r="BO55" s="18">
        <f t="shared" si="71"/>
        <v>0</v>
      </c>
      <c r="BP55" s="18">
        <f t="shared" si="71"/>
        <v>0</v>
      </c>
      <c r="BQ55" s="18">
        <f t="shared" si="71"/>
        <v>0</v>
      </c>
      <c r="BR55" s="18">
        <f t="shared" si="71"/>
        <v>0</v>
      </c>
      <c r="BS55" s="18">
        <f t="shared" si="71"/>
        <v>0</v>
      </c>
      <c r="BT55" s="18">
        <f t="shared" si="71"/>
        <v>0</v>
      </c>
      <c r="BU55" s="18">
        <f t="shared" si="71"/>
        <v>0</v>
      </c>
      <c r="BV55" s="18">
        <f t="shared" si="71"/>
        <v>0</v>
      </c>
      <c r="BW55" s="18">
        <f t="shared" si="71"/>
        <v>0</v>
      </c>
      <c r="BX55" s="18">
        <f t="shared" si="71"/>
        <v>27605</v>
      </c>
      <c r="BY55" s="18">
        <f t="shared" si="71"/>
        <v>0</v>
      </c>
      <c r="BZ55" s="18">
        <f t="shared" si="71"/>
        <v>40000</v>
      </c>
      <c r="CA55" s="18">
        <f t="shared" si="71"/>
        <v>40000</v>
      </c>
      <c r="CB55" s="18">
        <f t="shared" si="71"/>
        <v>40000</v>
      </c>
      <c r="CC55" s="18">
        <f t="shared" si="71"/>
        <v>0</v>
      </c>
      <c r="CD55" s="18">
        <f t="shared" si="71"/>
        <v>40000</v>
      </c>
      <c r="CE55" s="18">
        <f t="shared" si="71"/>
        <v>0</v>
      </c>
      <c r="CF55" s="18">
        <f t="shared" si="71"/>
        <v>0</v>
      </c>
      <c r="CG55" s="18">
        <f t="shared" si="71"/>
        <v>0</v>
      </c>
      <c r="CH55" s="18">
        <f t="shared" si="71"/>
        <v>0</v>
      </c>
      <c r="CI55" s="18">
        <f t="shared" si="71"/>
        <v>0</v>
      </c>
      <c r="CJ55" s="18">
        <f t="shared" si="71"/>
        <v>0</v>
      </c>
      <c r="CK55" s="18">
        <f t="shared" si="71"/>
        <v>0</v>
      </c>
      <c r="CL55" s="18">
        <f t="shared" si="71"/>
        <v>0</v>
      </c>
      <c r="CM55" s="18">
        <f t="shared" si="71"/>
        <v>0</v>
      </c>
      <c r="CN55" s="18">
        <f t="shared" si="71"/>
        <v>0</v>
      </c>
      <c r="CO55" s="18"/>
      <c r="CP55" s="18"/>
      <c r="CQ55" s="18"/>
      <c r="CR55" s="18"/>
      <c r="CS55" s="18">
        <f t="shared" si="71"/>
        <v>0</v>
      </c>
      <c r="CT55" s="18"/>
      <c r="CU55" s="18"/>
      <c r="CV55" s="18"/>
      <c r="CW55" s="18">
        <f t="shared" si="71"/>
        <v>0</v>
      </c>
      <c r="CX55" s="18">
        <f t="shared" si="71"/>
        <v>0</v>
      </c>
      <c r="CY55" s="18">
        <f t="shared" si="71"/>
        <v>0</v>
      </c>
      <c r="CZ55" s="46">
        <f t="shared" si="71"/>
        <v>0</v>
      </c>
      <c r="DA55" s="57"/>
    </row>
    <row r="56" spans="1:105" ht="15.75" x14ac:dyDescent="0.25">
      <c r="A56" s="80" t="s">
        <v>1</v>
      </c>
      <c r="B56" s="21" t="s">
        <v>132</v>
      </c>
      <c r="C56" s="22" t="s">
        <v>133</v>
      </c>
      <c r="D56" s="18">
        <f>SUM(E56+BZ56+CW56)</f>
        <v>6438764</v>
      </c>
      <c r="E56" s="19">
        <f>SUM(F56+BA56)</f>
        <v>6398764</v>
      </c>
      <c r="F56" s="19">
        <f>SUM(G56+H56+I56+P56+S56+T56+U56+AD56)</f>
        <v>6371159</v>
      </c>
      <c r="G56" s="23">
        <f>5534451-695800</f>
        <v>4838651</v>
      </c>
      <c r="H56" s="23">
        <v>542012</v>
      </c>
      <c r="I56" s="19">
        <f t="shared" si="6"/>
        <v>520822</v>
      </c>
      <c r="J56" s="23">
        <v>0</v>
      </c>
      <c r="K56" s="19">
        <v>0</v>
      </c>
      <c r="L56" s="19">
        <v>0</v>
      </c>
      <c r="M56" s="19">
        <v>0</v>
      </c>
      <c r="N56" s="23">
        <v>445653</v>
      </c>
      <c r="O56" s="23">
        <v>75169</v>
      </c>
      <c r="P56" s="19">
        <f t="shared" si="7"/>
        <v>0</v>
      </c>
      <c r="Q56" s="19">
        <v>0</v>
      </c>
      <c r="R56" s="19">
        <v>0</v>
      </c>
      <c r="S56" s="19">
        <v>0</v>
      </c>
      <c r="T56" s="23">
        <v>110000</v>
      </c>
      <c r="U56" s="19">
        <f>SUM(V56:AC56)</f>
        <v>69602</v>
      </c>
      <c r="V56" s="23">
        <v>30518</v>
      </c>
      <c r="W56" s="23">
        <v>0</v>
      </c>
      <c r="X56" s="23">
        <v>28721</v>
      </c>
      <c r="Y56" s="23">
        <v>3079</v>
      </c>
      <c r="Z56" s="23">
        <v>0</v>
      </c>
      <c r="AA56" s="23">
        <v>0</v>
      </c>
      <c r="AB56" s="23">
        <v>0</v>
      </c>
      <c r="AC56" s="23">
        <v>7284</v>
      </c>
      <c r="AD56" s="19">
        <f>SUM(AE56:AZ56)</f>
        <v>290072</v>
      </c>
      <c r="AE56" s="19">
        <v>0</v>
      </c>
      <c r="AF56" s="19">
        <v>0</v>
      </c>
      <c r="AG56" s="23">
        <v>15000</v>
      </c>
      <c r="AH56" s="23">
        <v>35000</v>
      </c>
      <c r="AI56" s="23">
        <v>0</v>
      </c>
      <c r="AJ56" s="23">
        <v>5000</v>
      </c>
      <c r="AK56" s="23">
        <v>0</v>
      </c>
      <c r="AL56" s="23">
        <v>600</v>
      </c>
      <c r="AM56" s="23">
        <v>0</v>
      </c>
      <c r="AN56" s="23">
        <v>33756</v>
      </c>
      <c r="AO56" s="23">
        <v>0</v>
      </c>
      <c r="AP56" s="23"/>
      <c r="AQ56" s="23">
        <v>0</v>
      </c>
      <c r="AR56" s="23">
        <v>32000</v>
      </c>
      <c r="AS56" s="23">
        <v>34116</v>
      </c>
      <c r="AT56" s="23">
        <v>0</v>
      </c>
      <c r="AU56" s="23">
        <v>0</v>
      </c>
      <c r="AV56" s="23">
        <v>0</v>
      </c>
      <c r="AW56" s="23">
        <v>0</v>
      </c>
      <c r="AX56" s="23">
        <v>54600</v>
      </c>
      <c r="AY56" s="23">
        <v>0</v>
      </c>
      <c r="AZ56" s="23">
        <v>80000</v>
      </c>
      <c r="BA56" s="19">
        <f>SUM(BB56+BF56+BI56+BK56+BN56)</f>
        <v>27605</v>
      </c>
      <c r="BB56" s="19">
        <f>SUM(BC56:BE56)</f>
        <v>0</v>
      </c>
      <c r="BC56" s="19">
        <v>0</v>
      </c>
      <c r="BD56" s="19">
        <v>0</v>
      </c>
      <c r="BE56" s="19">
        <v>0</v>
      </c>
      <c r="BF56" s="19">
        <f>SUM(BH56:BH56)</f>
        <v>0</v>
      </c>
      <c r="BG56" s="19">
        <v>0</v>
      </c>
      <c r="BH56" s="19">
        <v>0</v>
      </c>
      <c r="BI56" s="19">
        <v>0</v>
      </c>
      <c r="BJ56" s="19">
        <v>0</v>
      </c>
      <c r="BK56" s="19">
        <f t="shared" si="8"/>
        <v>0</v>
      </c>
      <c r="BL56" s="19">
        <v>0</v>
      </c>
      <c r="BM56" s="19">
        <v>0</v>
      </c>
      <c r="BN56" s="19">
        <f>SUM(BO56:BY56)</f>
        <v>27605</v>
      </c>
      <c r="BO56" s="19">
        <v>0</v>
      </c>
      <c r="BP56" s="19">
        <v>0</v>
      </c>
      <c r="BQ56" s="19">
        <v>0</v>
      </c>
      <c r="BR56" s="19">
        <v>0</v>
      </c>
      <c r="BS56" s="19">
        <v>0</v>
      </c>
      <c r="BT56" s="19">
        <v>0</v>
      </c>
      <c r="BU56" s="19">
        <v>0</v>
      </c>
      <c r="BV56" s="19">
        <v>0</v>
      </c>
      <c r="BW56" s="19">
        <v>0</v>
      </c>
      <c r="BX56" s="19">
        <v>27605</v>
      </c>
      <c r="BY56" s="19">
        <v>0</v>
      </c>
      <c r="BZ56" s="19">
        <f>SUM(CA56+CS56)</f>
        <v>40000</v>
      </c>
      <c r="CA56" s="19">
        <f>SUM(CB56+CE56+CK56)</f>
        <v>40000</v>
      </c>
      <c r="CB56" s="19">
        <f t="shared" si="9"/>
        <v>40000</v>
      </c>
      <c r="CC56" s="19">
        <v>0</v>
      </c>
      <c r="CD56" s="23">
        <v>40000</v>
      </c>
      <c r="CE56" s="19">
        <f>SUM(CF56:CJ56)</f>
        <v>0</v>
      </c>
      <c r="CF56" s="19">
        <v>0</v>
      </c>
      <c r="CG56" s="19">
        <v>0</v>
      </c>
      <c r="CH56" s="19">
        <v>0</v>
      </c>
      <c r="CI56" s="19">
        <v>0</v>
      </c>
      <c r="CJ56" s="19">
        <v>0</v>
      </c>
      <c r="CK56" s="19">
        <f>SUM(CL56:CP56)</f>
        <v>0</v>
      </c>
      <c r="CL56" s="19">
        <v>0</v>
      </c>
      <c r="CM56" s="19">
        <v>0</v>
      </c>
      <c r="CN56" s="19">
        <v>0</v>
      </c>
      <c r="CO56" s="19"/>
      <c r="CP56" s="19"/>
      <c r="CQ56" s="19"/>
      <c r="CR56" s="19"/>
      <c r="CS56" s="19">
        <v>0</v>
      </c>
      <c r="CT56" s="19"/>
      <c r="CU56" s="19"/>
      <c r="CV56" s="19"/>
      <c r="CW56" s="19">
        <f t="shared" si="10"/>
        <v>0</v>
      </c>
      <c r="CX56" s="19">
        <f t="shared" si="11"/>
        <v>0</v>
      </c>
      <c r="CY56" s="19">
        <v>0</v>
      </c>
      <c r="CZ56" s="20">
        <v>0</v>
      </c>
    </row>
    <row r="57" spans="1:105" s="58" customFormat="1" ht="33" customHeight="1" x14ac:dyDescent="0.25">
      <c r="A57" s="79" t="s">
        <v>134</v>
      </c>
      <c r="B57" s="16" t="s">
        <v>1</v>
      </c>
      <c r="C57" s="17" t="s">
        <v>549</v>
      </c>
      <c r="D57" s="18">
        <f t="shared" ref="D57:AJ57" si="73">SUM(D58)</f>
        <v>758198</v>
      </c>
      <c r="E57" s="18">
        <f t="shared" si="73"/>
        <v>758198</v>
      </c>
      <c r="F57" s="18">
        <f t="shared" si="73"/>
        <v>758198</v>
      </c>
      <c r="G57" s="18">
        <f t="shared" si="73"/>
        <v>0</v>
      </c>
      <c r="H57" s="18">
        <f t="shared" si="73"/>
        <v>0</v>
      </c>
      <c r="I57" s="18">
        <f t="shared" si="73"/>
        <v>0</v>
      </c>
      <c r="J57" s="18">
        <f t="shared" si="73"/>
        <v>0</v>
      </c>
      <c r="K57" s="18">
        <f t="shared" si="73"/>
        <v>0</v>
      </c>
      <c r="L57" s="18">
        <f t="shared" si="73"/>
        <v>0</v>
      </c>
      <c r="M57" s="18">
        <f t="shared" si="73"/>
        <v>0</v>
      </c>
      <c r="N57" s="18">
        <f t="shared" si="73"/>
        <v>0</v>
      </c>
      <c r="O57" s="18">
        <f t="shared" si="73"/>
        <v>0</v>
      </c>
      <c r="P57" s="18">
        <f t="shared" si="73"/>
        <v>0</v>
      </c>
      <c r="Q57" s="18">
        <f t="shared" si="73"/>
        <v>0</v>
      </c>
      <c r="R57" s="18">
        <f t="shared" si="73"/>
        <v>0</v>
      </c>
      <c r="S57" s="18">
        <f t="shared" si="73"/>
        <v>0</v>
      </c>
      <c r="T57" s="18">
        <f t="shared" si="73"/>
        <v>0</v>
      </c>
      <c r="U57" s="18">
        <f t="shared" si="73"/>
        <v>0</v>
      </c>
      <c r="V57" s="18">
        <f t="shared" si="73"/>
        <v>0</v>
      </c>
      <c r="W57" s="18">
        <f t="shared" si="73"/>
        <v>0</v>
      </c>
      <c r="X57" s="18">
        <f t="shared" si="73"/>
        <v>0</v>
      </c>
      <c r="Y57" s="18">
        <f t="shared" si="73"/>
        <v>0</v>
      </c>
      <c r="Z57" s="18">
        <f t="shared" si="73"/>
        <v>0</v>
      </c>
      <c r="AA57" s="18">
        <f t="shared" si="73"/>
        <v>0</v>
      </c>
      <c r="AB57" s="18">
        <f t="shared" si="73"/>
        <v>0</v>
      </c>
      <c r="AC57" s="18">
        <f t="shared" si="73"/>
        <v>0</v>
      </c>
      <c r="AD57" s="18">
        <f t="shared" si="73"/>
        <v>758198</v>
      </c>
      <c r="AE57" s="18">
        <f t="shared" si="73"/>
        <v>0</v>
      </c>
      <c r="AF57" s="18">
        <f t="shared" si="73"/>
        <v>0</v>
      </c>
      <c r="AG57" s="18">
        <f t="shared" si="73"/>
        <v>0</v>
      </c>
      <c r="AH57" s="18">
        <f t="shared" si="73"/>
        <v>0</v>
      </c>
      <c r="AI57" s="18">
        <f t="shared" si="73"/>
        <v>0</v>
      </c>
      <c r="AJ57" s="18">
        <f t="shared" si="73"/>
        <v>0</v>
      </c>
      <c r="AK57" s="18">
        <f t="shared" ref="AK57:CZ57" si="74">SUM(AK58)</f>
        <v>0</v>
      </c>
      <c r="AL57" s="18">
        <f t="shared" si="74"/>
        <v>0</v>
      </c>
      <c r="AM57" s="18">
        <f t="shared" si="74"/>
        <v>0</v>
      </c>
      <c r="AN57" s="18">
        <f t="shared" si="74"/>
        <v>0</v>
      </c>
      <c r="AO57" s="18">
        <f t="shared" si="74"/>
        <v>0</v>
      </c>
      <c r="AP57" s="18"/>
      <c r="AQ57" s="18">
        <f t="shared" si="74"/>
        <v>0</v>
      </c>
      <c r="AR57" s="18">
        <f t="shared" si="74"/>
        <v>0</v>
      </c>
      <c r="AS57" s="18">
        <f t="shared" si="74"/>
        <v>0</v>
      </c>
      <c r="AT57" s="18">
        <f t="shared" si="74"/>
        <v>689268</v>
      </c>
      <c r="AU57" s="18">
        <f t="shared" si="74"/>
        <v>0</v>
      </c>
      <c r="AV57" s="18">
        <f t="shared" si="74"/>
        <v>0</v>
      </c>
      <c r="AW57" s="18">
        <f t="shared" si="74"/>
        <v>0</v>
      </c>
      <c r="AX57" s="18">
        <f t="shared" si="74"/>
        <v>0</v>
      </c>
      <c r="AY57" s="18"/>
      <c r="AZ57" s="18">
        <f t="shared" si="74"/>
        <v>68930</v>
      </c>
      <c r="BA57" s="18">
        <f t="shared" si="74"/>
        <v>0</v>
      </c>
      <c r="BB57" s="18">
        <f t="shared" si="74"/>
        <v>0</v>
      </c>
      <c r="BC57" s="18">
        <f t="shared" si="74"/>
        <v>0</v>
      </c>
      <c r="BD57" s="18">
        <f t="shared" si="74"/>
        <v>0</v>
      </c>
      <c r="BE57" s="18">
        <f t="shared" si="74"/>
        <v>0</v>
      </c>
      <c r="BF57" s="18">
        <f t="shared" si="74"/>
        <v>0</v>
      </c>
      <c r="BG57" s="18">
        <f t="shared" si="74"/>
        <v>0</v>
      </c>
      <c r="BH57" s="18">
        <f t="shared" si="74"/>
        <v>0</v>
      </c>
      <c r="BI57" s="18">
        <f t="shared" si="74"/>
        <v>0</v>
      </c>
      <c r="BJ57" s="18">
        <f t="shared" si="74"/>
        <v>0</v>
      </c>
      <c r="BK57" s="18">
        <f t="shared" si="74"/>
        <v>0</v>
      </c>
      <c r="BL57" s="18">
        <f t="shared" si="74"/>
        <v>0</v>
      </c>
      <c r="BM57" s="18">
        <f t="shared" si="74"/>
        <v>0</v>
      </c>
      <c r="BN57" s="18">
        <f t="shared" si="74"/>
        <v>0</v>
      </c>
      <c r="BO57" s="18">
        <f t="shared" si="74"/>
        <v>0</v>
      </c>
      <c r="BP57" s="18">
        <f t="shared" si="74"/>
        <v>0</v>
      </c>
      <c r="BQ57" s="18">
        <f t="shared" si="74"/>
        <v>0</v>
      </c>
      <c r="BR57" s="18">
        <f t="shared" si="74"/>
        <v>0</v>
      </c>
      <c r="BS57" s="18">
        <f t="shared" si="74"/>
        <v>0</v>
      </c>
      <c r="BT57" s="18">
        <f t="shared" si="74"/>
        <v>0</v>
      </c>
      <c r="BU57" s="18">
        <f t="shared" si="74"/>
        <v>0</v>
      </c>
      <c r="BV57" s="18">
        <f t="shared" si="74"/>
        <v>0</v>
      </c>
      <c r="BW57" s="18">
        <f t="shared" si="74"/>
        <v>0</v>
      </c>
      <c r="BX57" s="18">
        <f t="shared" si="74"/>
        <v>0</v>
      </c>
      <c r="BY57" s="18">
        <f t="shared" si="74"/>
        <v>0</v>
      </c>
      <c r="BZ57" s="18">
        <f t="shared" si="74"/>
        <v>0</v>
      </c>
      <c r="CA57" s="18">
        <f t="shared" si="74"/>
        <v>0</v>
      </c>
      <c r="CB57" s="18">
        <f t="shared" si="74"/>
        <v>0</v>
      </c>
      <c r="CC57" s="18">
        <f t="shared" si="74"/>
        <v>0</v>
      </c>
      <c r="CD57" s="18">
        <f t="shared" si="74"/>
        <v>0</v>
      </c>
      <c r="CE57" s="18">
        <f t="shared" si="74"/>
        <v>0</v>
      </c>
      <c r="CF57" s="18">
        <f t="shared" si="74"/>
        <v>0</v>
      </c>
      <c r="CG57" s="18">
        <f t="shared" si="74"/>
        <v>0</v>
      </c>
      <c r="CH57" s="18">
        <f t="shared" si="74"/>
        <v>0</v>
      </c>
      <c r="CI57" s="18">
        <f t="shared" si="74"/>
        <v>0</v>
      </c>
      <c r="CJ57" s="18">
        <f t="shared" si="74"/>
        <v>0</v>
      </c>
      <c r="CK57" s="18">
        <f t="shared" si="74"/>
        <v>0</v>
      </c>
      <c r="CL57" s="18">
        <f t="shared" si="74"/>
        <v>0</v>
      </c>
      <c r="CM57" s="18">
        <f t="shared" si="74"/>
        <v>0</v>
      </c>
      <c r="CN57" s="18">
        <f t="shared" si="74"/>
        <v>0</v>
      </c>
      <c r="CO57" s="18"/>
      <c r="CP57" s="18"/>
      <c r="CQ57" s="18"/>
      <c r="CR57" s="18"/>
      <c r="CS57" s="18">
        <f t="shared" si="74"/>
        <v>0</v>
      </c>
      <c r="CT57" s="18"/>
      <c r="CU57" s="18"/>
      <c r="CV57" s="18"/>
      <c r="CW57" s="18">
        <f t="shared" si="74"/>
        <v>0</v>
      </c>
      <c r="CX57" s="18">
        <f t="shared" si="74"/>
        <v>0</v>
      </c>
      <c r="CY57" s="18">
        <f t="shared" si="74"/>
        <v>0</v>
      </c>
      <c r="CZ57" s="46">
        <f t="shared" si="74"/>
        <v>0</v>
      </c>
      <c r="DA57" s="57"/>
    </row>
    <row r="58" spans="1:105" ht="15.75" x14ac:dyDescent="0.25">
      <c r="A58" s="80" t="s">
        <v>1</v>
      </c>
      <c r="B58" s="21" t="s">
        <v>129</v>
      </c>
      <c r="C58" s="22" t="s">
        <v>135</v>
      </c>
      <c r="D58" s="18">
        <f>SUM(E58+BZ58+CW58)</f>
        <v>758198</v>
      </c>
      <c r="E58" s="19">
        <f>SUM(F58+BA58)</f>
        <v>758198</v>
      </c>
      <c r="F58" s="19">
        <f>SUM(G58+H58+I58+P58+S58+T58+U58+AD58)</f>
        <v>758198</v>
      </c>
      <c r="G58" s="19">
        <v>0</v>
      </c>
      <c r="H58" s="19">
        <v>0</v>
      </c>
      <c r="I58" s="19">
        <f t="shared" si="6"/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f t="shared" si="7"/>
        <v>0</v>
      </c>
      <c r="Q58" s="19">
        <v>0</v>
      </c>
      <c r="R58" s="19">
        <v>0</v>
      </c>
      <c r="S58" s="19">
        <v>0</v>
      </c>
      <c r="T58" s="19">
        <v>0</v>
      </c>
      <c r="U58" s="19">
        <f>SUM(V58:AC58)</f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f>SUM(AE58:AZ58)</f>
        <v>758198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/>
      <c r="AQ58" s="19">
        <v>0</v>
      </c>
      <c r="AR58" s="19">
        <v>0</v>
      </c>
      <c r="AS58" s="19">
        <v>0</v>
      </c>
      <c r="AT58" s="19">
        <v>689268</v>
      </c>
      <c r="AU58" s="19">
        <v>0</v>
      </c>
      <c r="AV58" s="19">
        <v>0</v>
      </c>
      <c r="AW58" s="19">
        <v>0</v>
      </c>
      <c r="AX58" s="19">
        <v>0</v>
      </c>
      <c r="AY58" s="19">
        <v>0</v>
      </c>
      <c r="AZ58" s="19">
        <v>68930</v>
      </c>
      <c r="BA58" s="19">
        <f>SUM(BB58+BF58+BI58+BK58+BN58)</f>
        <v>0</v>
      </c>
      <c r="BB58" s="19">
        <f>SUM(BC58:BE58)</f>
        <v>0</v>
      </c>
      <c r="BC58" s="19">
        <v>0</v>
      </c>
      <c r="BD58" s="19">
        <v>0</v>
      </c>
      <c r="BE58" s="19">
        <v>0</v>
      </c>
      <c r="BF58" s="19">
        <f>SUM(BH58:BH58)</f>
        <v>0</v>
      </c>
      <c r="BG58" s="19">
        <v>0</v>
      </c>
      <c r="BH58" s="19">
        <v>0</v>
      </c>
      <c r="BI58" s="19">
        <v>0</v>
      </c>
      <c r="BJ58" s="19">
        <v>0</v>
      </c>
      <c r="BK58" s="19">
        <f t="shared" si="8"/>
        <v>0</v>
      </c>
      <c r="BL58" s="19">
        <v>0</v>
      </c>
      <c r="BM58" s="19">
        <v>0</v>
      </c>
      <c r="BN58" s="19">
        <f>SUM(BO58:BY58)</f>
        <v>0</v>
      </c>
      <c r="BO58" s="19">
        <v>0</v>
      </c>
      <c r="BP58" s="19">
        <v>0</v>
      </c>
      <c r="BQ58" s="19">
        <v>0</v>
      </c>
      <c r="BR58" s="19">
        <v>0</v>
      </c>
      <c r="BS58" s="19">
        <v>0</v>
      </c>
      <c r="BT58" s="19">
        <v>0</v>
      </c>
      <c r="BU58" s="19">
        <v>0</v>
      </c>
      <c r="BV58" s="19">
        <v>0</v>
      </c>
      <c r="BW58" s="19">
        <v>0</v>
      </c>
      <c r="BX58" s="19">
        <v>0</v>
      </c>
      <c r="BY58" s="19">
        <v>0</v>
      </c>
      <c r="BZ58" s="19">
        <f>SUM(CA58+CS58)</f>
        <v>0</v>
      </c>
      <c r="CA58" s="19">
        <f>SUM(CB58+CE58+CK58)</f>
        <v>0</v>
      </c>
      <c r="CB58" s="19">
        <f t="shared" si="9"/>
        <v>0</v>
      </c>
      <c r="CC58" s="19">
        <v>0</v>
      </c>
      <c r="CD58" s="19">
        <v>0</v>
      </c>
      <c r="CE58" s="19">
        <f>SUM(CF58:CJ58)</f>
        <v>0</v>
      </c>
      <c r="CF58" s="19">
        <v>0</v>
      </c>
      <c r="CG58" s="19">
        <v>0</v>
      </c>
      <c r="CH58" s="19">
        <v>0</v>
      </c>
      <c r="CI58" s="19">
        <v>0</v>
      </c>
      <c r="CJ58" s="19">
        <v>0</v>
      </c>
      <c r="CK58" s="19">
        <f>SUM(CL58:CP58)</f>
        <v>0</v>
      </c>
      <c r="CL58" s="19">
        <v>0</v>
      </c>
      <c r="CM58" s="19">
        <v>0</v>
      </c>
      <c r="CN58" s="19">
        <v>0</v>
      </c>
      <c r="CO58" s="19"/>
      <c r="CP58" s="19"/>
      <c r="CQ58" s="19"/>
      <c r="CR58" s="19"/>
      <c r="CS58" s="19">
        <v>0</v>
      </c>
      <c r="CT58" s="19"/>
      <c r="CU58" s="19"/>
      <c r="CV58" s="19"/>
      <c r="CW58" s="19">
        <f t="shared" si="10"/>
        <v>0</v>
      </c>
      <c r="CX58" s="19">
        <f t="shared" si="11"/>
        <v>0</v>
      </c>
      <c r="CY58" s="19">
        <v>0</v>
      </c>
      <c r="CZ58" s="20">
        <v>0</v>
      </c>
    </row>
    <row r="59" spans="1:105" s="58" customFormat="1" ht="31.5" x14ac:dyDescent="0.25">
      <c r="A59" s="81" t="s">
        <v>136</v>
      </c>
      <c r="B59" s="25" t="s">
        <v>1</v>
      </c>
      <c r="C59" s="26" t="s">
        <v>137</v>
      </c>
      <c r="D59" s="27">
        <f>SUM(D60)</f>
        <v>4320071</v>
      </c>
      <c r="E59" s="27">
        <f t="shared" ref="E59:BM59" si="75">SUM(E60)</f>
        <v>4288912</v>
      </c>
      <c r="F59" s="27">
        <f t="shared" si="75"/>
        <v>4288912</v>
      </c>
      <c r="G59" s="27">
        <f t="shared" si="75"/>
        <v>2412907</v>
      </c>
      <c r="H59" s="27">
        <f t="shared" si="75"/>
        <v>603227</v>
      </c>
      <c r="I59" s="27">
        <f t="shared" si="75"/>
        <v>279589</v>
      </c>
      <c r="J59" s="27">
        <f t="shared" si="75"/>
        <v>0</v>
      </c>
      <c r="K59" s="27">
        <f t="shared" si="75"/>
        <v>0</v>
      </c>
      <c r="L59" s="27">
        <f t="shared" si="75"/>
        <v>0</v>
      </c>
      <c r="M59" s="27">
        <f t="shared" si="75"/>
        <v>0</v>
      </c>
      <c r="N59" s="27">
        <f t="shared" si="75"/>
        <v>255927</v>
      </c>
      <c r="O59" s="27">
        <f t="shared" si="75"/>
        <v>23662</v>
      </c>
      <c r="P59" s="27">
        <f t="shared" si="75"/>
        <v>112517</v>
      </c>
      <c r="Q59" s="27">
        <f t="shared" si="75"/>
        <v>0</v>
      </c>
      <c r="R59" s="27">
        <f t="shared" si="75"/>
        <v>112517</v>
      </c>
      <c r="S59" s="27">
        <f t="shared" si="75"/>
        <v>0</v>
      </c>
      <c r="T59" s="27">
        <f t="shared" si="75"/>
        <v>35582</v>
      </c>
      <c r="U59" s="27">
        <f t="shared" si="75"/>
        <v>582344</v>
      </c>
      <c r="V59" s="27">
        <f t="shared" si="75"/>
        <v>26000</v>
      </c>
      <c r="W59" s="27">
        <f t="shared" si="75"/>
        <v>0</v>
      </c>
      <c r="X59" s="27">
        <f t="shared" si="75"/>
        <v>0</v>
      </c>
      <c r="Y59" s="27">
        <f t="shared" si="75"/>
        <v>0</v>
      </c>
      <c r="Z59" s="27">
        <f t="shared" si="75"/>
        <v>0</v>
      </c>
      <c r="AA59" s="27">
        <f t="shared" si="75"/>
        <v>556344</v>
      </c>
      <c r="AB59" s="27">
        <f t="shared" si="75"/>
        <v>0</v>
      </c>
      <c r="AC59" s="27">
        <f t="shared" si="75"/>
        <v>0</v>
      </c>
      <c r="AD59" s="27">
        <f t="shared" si="75"/>
        <v>262746</v>
      </c>
      <c r="AE59" s="27">
        <f t="shared" si="75"/>
        <v>0</v>
      </c>
      <c r="AF59" s="27">
        <f t="shared" si="75"/>
        <v>0</v>
      </c>
      <c r="AG59" s="27">
        <f t="shared" si="75"/>
        <v>0</v>
      </c>
      <c r="AH59" s="27">
        <f t="shared" si="75"/>
        <v>0</v>
      </c>
      <c r="AI59" s="27">
        <f t="shared" si="75"/>
        <v>0</v>
      </c>
      <c r="AJ59" s="27">
        <f t="shared" si="75"/>
        <v>1000</v>
      </c>
      <c r="AK59" s="27">
        <f t="shared" si="75"/>
        <v>0</v>
      </c>
      <c r="AL59" s="27">
        <f t="shared" si="75"/>
        <v>0</v>
      </c>
      <c r="AM59" s="27">
        <f t="shared" si="75"/>
        <v>20000</v>
      </c>
      <c r="AN59" s="27">
        <f t="shared" si="75"/>
        <v>233640</v>
      </c>
      <c r="AO59" s="27">
        <f t="shared" si="75"/>
        <v>0</v>
      </c>
      <c r="AP59" s="27"/>
      <c r="AQ59" s="27">
        <f t="shared" si="75"/>
        <v>0</v>
      </c>
      <c r="AR59" s="27">
        <f t="shared" si="75"/>
        <v>0</v>
      </c>
      <c r="AS59" s="27">
        <f t="shared" si="75"/>
        <v>0</v>
      </c>
      <c r="AT59" s="27">
        <f t="shared" si="75"/>
        <v>0</v>
      </c>
      <c r="AU59" s="27">
        <f t="shared" si="75"/>
        <v>0</v>
      </c>
      <c r="AV59" s="27">
        <f t="shared" si="75"/>
        <v>0</v>
      </c>
      <c r="AW59" s="27">
        <f t="shared" si="75"/>
        <v>0</v>
      </c>
      <c r="AX59" s="27">
        <f t="shared" si="75"/>
        <v>0</v>
      </c>
      <c r="AY59" s="27">
        <f t="shared" si="75"/>
        <v>0</v>
      </c>
      <c r="AZ59" s="27">
        <f t="shared" si="75"/>
        <v>8106</v>
      </c>
      <c r="BA59" s="27">
        <f t="shared" si="75"/>
        <v>0</v>
      </c>
      <c r="BB59" s="27">
        <f t="shared" si="75"/>
        <v>0</v>
      </c>
      <c r="BC59" s="27">
        <f t="shared" si="75"/>
        <v>0</v>
      </c>
      <c r="BD59" s="27">
        <f t="shared" si="75"/>
        <v>0</v>
      </c>
      <c r="BE59" s="27">
        <f t="shared" si="75"/>
        <v>0</v>
      </c>
      <c r="BF59" s="27">
        <f t="shared" si="75"/>
        <v>0</v>
      </c>
      <c r="BG59" s="27">
        <f t="shared" si="75"/>
        <v>0</v>
      </c>
      <c r="BH59" s="27">
        <f t="shared" si="75"/>
        <v>0</v>
      </c>
      <c r="BI59" s="27">
        <f t="shared" si="75"/>
        <v>0</v>
      </c>
      <c r="BJ59" s="27">
        <f t="shared" si="75"/>
        <v>0</v>
      </c>
      <c r="BK59" s="27">
        <f t="shared" si="75"/>
        <v>0</v>
      </c>
      <c r="BL59" s="27">
        <f t="shared" si="75"/>
        <v>0</v>
      </c>
      <c r="BM59" s="27">
        <f t="shared" si="75"/>
        <v>0</v>
      </c>
      <c r="BN59" s="27">
        <f t="shared" ref="BN59:CY59" si="76">SUM(BN60)</f>
        <v>0</v>
      </c>
      <c r="BO59" s="27">
        <f t="shared" si="76"/>
        <v>0</v>
      </c>
      <c r="BP59" s="27">
        <f t="shared" si="76"/>
        <v>0</v>
      </c>
      <c r="BQ59" s="27">
        <f t="shared" si="76"/>
        <v>0</v>
      </c>
      <c r="BR59" s="27">
        <f t="shared" si="76"/>
        <v>0</v>
      </c>
      <c r="BS59" s="27">
        <f t="shared" si="76"/>
        <v>0</v>
      </c>
      <c r="BT59" s="27">
        <f t="shared" si="76"/>
        <v>0</v>
      </c>
      <c r="BU59" s="27">
        <f t="shared" si="76"/>
        <v>0</v>
      </c>
      <c r="BV59" s="27">
        <f t="shared" si="76"/>
        <v>0</v>
      </c>
      <c r="BW59" s="27">
        <f t="shared" si="76"/>
        <v>0</v>
      </c>
      <c r="BX59" s="27">
        <f t="shared" si="76"/>
        <v>0</v>
      </c>
      <c r="BY59" s="27">
        <f t="shared" si="76"/>
        <v>0</v>
      </c>
      <c r="BZ59" s="27">
        <f t="shared" si="76"/>
        <v>31159</v>
      </c>
      <c r="CA59" s="27">
        <f t="shared" si="76"/>
        <v>31159</v>
      </c>
      <c r="CB59" s="27">
        <f t="shared" si="76"/>
        <v>31159</v>
      </c>
      <c r="CC59" s="27">
        <f t="shared" si="76"/>
        <v>0</v>
      </c>
      <c r="CD59" s="27">
        <f t="shared" si="76"/>
        <v>31159</v>
      </c>
      <c r="CE59" s="27">
        <f t="shared" si="76"/>
        <v>0</v>
      </c>
      <c r="CF59" s="27">
        <f t="shared" si="76"/>
        <v>0</v>
      </c>
      <c r="CG59" s="27">
        <f t="shared" si="76"/>
        <v>0</v>
      </c>
      <c r="CH59" s="27">
        <f t="shared" si="76"/>
        <v>0</v>
      </c>
      <c r="CI59" s="27">
        <f t="shared" si="76"/>
        <v>0</v>
      </c>
      <c r="CJ59" s="27">
        <f t="shared" si="76"/>
        <v>0</v>
      </c>
      <c r="CK59" s="27">
        <f t="shared" si="76"/>
        <v>0</v>
      </c>
      <c r="CL59" s="27">
        <f t="shared" si="76"/>
        <v>0</v>
      </c>
      <c r="CM59" s="27">
        <f t="shared" si="76"/>
        <v>0</v>
      </c>
      <c r="CN59" s="27">
        <f t="shared" si="76"/>
        <v>0</v>
      </c>
      <c r="CO59" s="27">
        <f t="shared" si="76"/>
        <v>0</v>
      </c>
      <c r="CP59" s="27">
        <f t="shared" si="76"/>
        <v>0</v>
      </c>
      <c r="CQ59" s="27"/>
      <c r="CR59" s="27"/>
      <c r="CS59" s="27">
        <f t="shared" si="76"/>
        <v>0</v>
      </c>
      <c r="CT59" s="27"/>
      <c r="CU59" s="27"/>
      <c r="CV59" s="27"/>
      <c r="CW59" s="27">
        <f t="shared" si="76"/>
        <v>0</v>
      </c>
      <c r="CX59" s="27">
        <f t="shared" si="76"/>
        <v>0</v>
      </c>
      <c r="CY59" s="27">
        <f t="shared" si="76"/>
        <v>0</v>
      </c>
      <c r="CZ59" s="60">
        <f>SUM(CZ60)</f>
        <v>0</v>
      </c>
      <c r="DA59" s="57"/>
    </row>
    <row r="60" spans="1:105" s="58" customFormat="1" ht="15.75" x14ac:dyDescent="0.25">
      <c r="A60" s="79" t="s">
        <v>138</v>
      </c>
      <c r="B60" s="16" t="s">
        <v>1</v>
      </c>
      <c r="C60" s="17" t="s">
        <v>139</v>
      </c>
      <c r="D60" s="18">
        <f t="shared" ref="D60:BQ60" si="77">SUM(D61)</f>
        <v>4320071</v>
      </c>
      <c r="E60" s="18">
        <f t="shared" si="77"/>
        <v>4288912</v>
      </c>
      <c r="F60" s="18">
        <f t="shared" si="77"/>
        <v>4288912</v>
      </c>
      <c r="G60" s="18">
        <f t="shared" si="77"/>
        <v>2412907</v>
      </c>
      <c r="H60" s="18">
        <f t="shared" si="77"/>
        <v>603227</v>
      </c>
      <c r="I60" s="18">
        <f t="shared" si="77"/>
        <v>279589</v>
      </c>
      <c r="J60" s="18">
        <f t="shared" si="77"/>
        <v>0</v>
      </c>
      <c r="K60" s="18">
        <f t="shared" si="77"/>
        <v>0</v>
      </c>
      <c r="L60" s="18">
        <f t="shared" si="77"/>
        <v>0</v>
      </c>
      <c r="M60" s="18">
        <f t="shared" si="77"/>
        <v>0</v>
      </c>
      <c r="N60" s="18">
        <f t="shared" si="77"/>
        <v>255927</v>
      </c>
      <c r="O60" s="18">
        <f t="shared" si="77"/>
        <v>23662</v>
      </c>
      <c r="P60" s="18">
        <f t="shared" si="77"/>
        <v>112517</v>
      </c>
      <c r="Q60" s="18">
        <f t="shared" si="77"/>
        <v>0</v>
      </c>
      <c r="R60" s="18">
        <f t="shared" si="77"/>
        <v>112517</v>
      </c>
      <c r="S60" s="18">
        <f t="shared" si="77"/>
        <v>0</v>
      </c>
      <c r="T60" s="18">
        <f t="shared" si="77"/>
        <v>35582</v>
      </c>
      <c r="U60" s="18">
        <f t="shared" si="77"/>
        <v>582344</v>
      </c>
      <c r="V60" s="18">
        <f t="shared" si="77"/>
        <v>26000</v>
      </c>
      <c r="W60" s="18">
        <f t="shared" si="77"/>
        <v>0</v>
      </c>
      <c r="X60" s="18">
        <f t="shared" si="77"/>
        <v>0</v>
      </c>
      <c r="Y60" s="18">
        <f t="shared" si="77"/>
        <v>0</v>
      </c>
      <c r="Z60" s="18">
        <f t="shared" si="77"/>
        <v>0</v>
      </c>
      <c r="AA60" s="18">
        <f t="shared" si="77"/>
        <v>556344</v>
      </c>
      <c r="AB60" s="18">
        <f t="shared" si="77"/>
        <v>0</v>
      </c>
      <c r="AC60" s="18">
        <f t="shared" si="77"/>
        <v>0</v>
      </c>
      <c r="AD60" s="18">
        <f t="shared" si="77"/>
        <v>262746</v>
      </c>
      <c r="AE60" s="18">
        <f t="shared" si="77"/>
        <v>0</v>
      </c>
      <c r="AF60" s="18">
        <f t="shared" si="77"/>
        <v>0</v>
      </c>
      <c r="AG60" s="18">
        <f t="shared" si="77"/>
        <v>0</v>
      </c>
      <c r="AH60" s="18">
        <f t="shared" si="77"/>
        <v>0</v>
      </c>
      <c r="AI60" s="18">
        <f t="shared" si="77"/>
        <v>0</v>
      </c>
      <c r="AJ60" s="18">
        <f t="shared" si="77"/>
        <v>1000</v>
      </c>
      <c r="AK60" s="18">
        <f t="shared" si="77"/>
        <v>0</v>
      </c>
      <c r="AL60" s="18">
        <f t="shared" si="77"/>
        <v>0</v>
      </c>
      <c r="AM60" s="18">
        <f t="shared" si="77"/>
        <v>20000</v>
      </c>
      <c r="AN60" s="18">
        <f t="shared" si="77"/>
        <v>233640</v>
      </c>
      <c r="AO60" s="18">
        <f t="shared" si="77"/>
        <v>0</v>
      </c>
      <c r="AP60" s="18"/>
      <c r="AQ60" s="18">
        <f t="shared" si="77"/>
        <v>0</v>
      </c>
      <c r="AR60" s="18">
        <f t="shared" si="77"/>
        <v>0</v>
      </c>
      <c r="AS60" s="18">
        <f t="shared" si="77"/>
        <v>0</v>
      </c>
      <c r="AT60" s="18"/>
      <c r="AU60" s="18"/>
      <c r="AV60" s="18">
        <f t="shared" si="77"/>
        <v>0</v>
      </c>
      <c r="AW60" s="18">
        <f t="shared" si="77"/>
        <v>0</v>
      </c>
      <c r="AX60" s="18">
        <f t="shared" si="77"/>
        <v>0</v>
      </c>
      <c r="AY60" s="18"/>
      <c r="AZ60" s="18">
        <f t="shared" si="77"/>
        <v>8106</v>
      </c>
      <c r="BA60" s="18">
        <f t="shared" si="77"/>
        <v>0</v>
      </c>
      <c r="BB60" s="18">
        <f t="shared" si="77"/>
        <v>0</v>
      </c>
      <c r="BC60" s="18">
        <f t="shared" si="77"/>
        <v>0</v>
      </c>
      <c r="BD60" s="18">
        <f t="shared" si="77"/>
        <v>0</v>
      </c>
      <c r="BE60" s="18">
        <f t="shared" si="77"/>
        <v>0</v>
      </c>
      <c r="BF60" s="18">
        <f t="shared" si="77"/>
        <v>0</v>
      </c>
      <c r="BG60" s="18">
        <f t="shared" si="77"/>
        <v>0</v>
      </c>
      <c r="BH60" s="18">
        <f t="shared" si="77"/>
        <v>0</v>
      </c>
      <c r="BI60" s="18">
        <f t="shared" si="77"/>
        <v>0</v>
      </c>
      <c r="BJ60" s="18">
        <f t="shared" si="77"/>
        <v>0</v>
      </c>
      <c r="BK60" s="18">
        <f t="shared" si="77"/>
        <v>0</v>
      </c>
      <c r="BL60" s="18">
        <f t="shared" si="77"/>
        <v>0</v>
      </c>
      <c r="BM60" s="18">
        <f t="shared" si="77"/>
        <v>0</v>
      </c>
      <c r="BN60" s="18">
        <f t="shared" si="77"/>
        <v>0</v>
      </c>
      <c r="BO60" s="18">
        <f t="shared" si="77"/>
        <v>0</v>
      </c>
      <c r="BP60" s="18">
        <f t="shared" si="77"/>
        <v>0</v>
      </c>
      <c r="BQ60" s="18">
        <f t="shared" si="77"/>
        <v>0</v>
      </c>
      <c r="BR60" s="18">
        <f t="shared" ref="BR60:CZ60" si="78">SUM(BR61)</f>
        <v>0</v>
      </c>
      <c r="BS60" s="18">
        <f t="shared" si="78"/>
        <v>0</v>
      </c>
      <c r="BT60" s="18">
        <f t="shared" si="78"/>
        <v>0</v>
      </c>
      <c r="BU60" s="18">
        <f t="shared" si="78"/>
        <v>0</v>
      </c>
      <c r="BV60" s="18">
        <f t="shared" si="78"/>
        <v>0</v>
      </c>
      <c r="BW60" s="18">
        <f t="shared" si="78"/>
        <v>0</v>
      </c>
      <c r="BX60" s="18">
        <f t="shared" si="78"/>
        <v>0</v>
      </c>
      <c r="BY60" s="18">
        <f t="shared" si="78"/>
        <v>0</v>
      </c>
      <c r="BZ60" s="18">
        <f t="shared" si="78"/>
        <v>31159</v>
      </c>
      <c r="CA60" s="18">
        <f t="shared" si="78"/>
        <v>31159</v>
      </c>
      <c r="CB60" s="18">
        <f t="shared" si="78"/>
        <v>31159</v>
      </c>
      <c r="CC60" s="18">
        <f t="shared" si="78"/>
        <v>0</v>
      </c>
      <c r="CD60" s="18">
        <f t="shared" si="78"/>
        <v>31159</v>
      </c>
      <c r="CE60" s="18">
        <f t="shared" si="78"/>
        <v>0</v>
      </c>
      <c r="CF60" s="18">
        <f t="shared" si="78"/>
        <v>0</v>
      </c>
      <c r="CG60" s="18">
        <f t="shared" si="78"/>
        <v>0</v>
      </c>
      <c r="CH60" s="18">
        <f t="shared" si="78"/>
        <v>0</v>
      </c>
      <c r="CI60" s="18">
        <f t="shared" si="78"/>
        <v>0</v>
      </c>
      <c r="CJ60" s="18">
        <f t="shared" si="78"/>
        <v>0</v>
      </c>
      <c r="CK60" s="18">
        <f t="shared" si="78"/>
        <v>0</v>
      </c>
      <c r="CL60" s="18">
        <f t="shared" si="78"/>
        <v>0</v>
      </c>
      <c r="CM60" s="18">
        <f t="shared" si="78"/>
        <v>0</v>
      </c>
      <c r="CN60" s="18">
        <f t="shared" si="78"/>
        <v>0</v>
      </c>
      <c r="CO60" s="18"/>
      <c r="CP60" s="18"/>
      <c r="CQ60" s="18"/>
      <c r="CR60" s="18"/>
      <c r="CS60" s="18">
        <f t="shared" si="78"/>
        <v>0</v>
      </c>
      <c r="CT60" s="18"/>
      <c r="CU60" s="18"/>
      <c r="CV60" s="18"/>
      <c r="CW60" s="18">
        <f t="shared" si="78"/>
        <v>0</v>
      </c>
      <c r="CX60" s="18">
        <f t="shared" si="78"/>
        <v>0</v>
      </c>
      <c r="CY60" s="18">
        <f t="shared" si="78"/>
        <v>0</v>
      </c>
      <c r="CZ60" s="46">
        <f t="shared" si="78"/>
        <v>0</v>
      </c>
      <c r="DA60" s="57"/>
    </row>
    <row r="61" spans="1:105" ht="31.5" x14ac:dyDescent="0.25">
      <c r="A61" s="80" t="s">
        <v>1</v>
      </c>
      <c r="B61" s="21" t="s">
        <v>90</v>
      </c>
      <c r="C61" s="22" t="s">
        <v>140</v>
      </c>
      <c r="D61" s="18">
        <f>SUM(E61+BZ61+CW61)</f>
        <v>4320071</v>
      </c>
      <c r="E61" s="19">
        <f>SUM(F61+BA61)</f>
        <v>4288912</v>
      </c>
      <c r="F61" s="19">
        <f>SUM(G61+H61+I61+P61+S61+T61+U61+AD61)</f>
        <v>4288912</v>
      </c>
      <c r="G61" s="23">
        <v>2412907</v>
      </c>
      <c r="H61" s="23">
        <v>603227</v>
      </c>
      <c r="I61" s="19">
        <f t="shared" si="6"/>
        <v>279589</v>
      </c>
      <c r="J61" s="19">
        <v>0</v>
      </c>
      <c r="K61" s="19">
        <v>0</v>
      </c>
      <c r="L61" s="19">
        <v>0</v>
      </c>
      <c r="M61" s="19">
        <v>0</v>
      </c>
      <c r="N61" s="23">
        <v>255927</v>
      </c>
      <c r="O61" s="23">
        <v>23662</v>
      </c>
      <c r="P61" s="19">
        <f t="shared" si="7"/>
        <v>112517</v>
      </c>
      <c r="Q61" s="19">
        <v>0</v>
      </c>
      <c r="R61" s="23">
        <v>112517</v>
      </c>
      <c r="S61" s="23">
        <v>0</v>
      </c>
      <c r="T61" s="23">
        <v>35582</v>
      </c>
      <c r="U61" s="19">
        <f>SUM(V61:AC61)</f>
        <v>582344</v>
      </c>
      <c r="V61" s="23">
        <v>26000</v>
      </c>
      <c r="W61" s="23">
        <v>0</v>
      </c>
      <c r="X61" s="23">
        <v>0</v>
      </c>
      <c r="Y61" s="23">
        <v>0</v>
      </c>
      <c r="Z61" s="23">
        <v>0</v>
      </c>
      <c r="AA61" s="23">
        <v>556344</v>
      </c>
      <c r="AB61" s="19">
        <v>0</v>
      </c>
      <c r="AC61" s="19">
        <v>0</v>
      </c>
      <c r="AD61" s="19">
        <f>SUM(AE61:AZ61)</f>
        <v>262746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23">
        <v>1000</v>
      </c>
      <c r="AK61" s="19">
        <v>0</v>
      </c>
      <c r="AL61" s="19">
        <v>0</v>
      </c>
      <c r="AM61" s="19">
        <v>20000</v>
      </c>
      <c r="AN61" s="23">
        <v>233640</v>
      </c>
      <c r="AO61" s="19">
        <v>0</v>
      </c>
      <c r="AP61" s="19"/>
      <c r="AQ61" s="19">
        <v>0</v>
      </c>
      <c r="AR61" s="19">
        <v>0</v>
      </c>
      <c r="AS61" s="19">
        <v>0</v>
      </c>
      <c r="AT61" s="19">
        <v>0</v>
      </c>
      <c r="AU61" s="19">
        <v>0</v>
      </c>
      <c r="AV61" s="19">
        <v>0</v>
      </c>
      <c r="AW61" s="19">
        <v>0</v>
      </c>
      <c r="AX61" s="23">
        <v>0</v>
      </c>
      <c r="AY61" s="23">
        <v>0</v>
      </c>
      <c r="AZ61" s="23">
        <v>8106</v>
      </c>
      <c r="BA61" s="19">
        <f>SUM(BB61+BF61+BI61+BK61+BN61)</f>
        <v>0</v>
      </c>
      <c r="BB61" s="19">
        <f>SUM(BC61:BE61)</f>
        <v>0</v>
      </c>
      <c r="BC61" s="19">
        <v>0</v>
      </c>
      <c r="BD61" s="19">
        <v>0</v>
      </c>
      <c r="BE61" s="19">
        <v>0</v>
      </c>
      <c r="BF61" s="19">
        <f>SUM(BH61:BH61)</f>
        <v>0</v>
      </c>
      <c r="BG61" s="19">
        <v>0</v>
      </c>
      <c r="BH61" s="19">
        <v>0</v>
      </c>
      <c r="BI61" s="19">
        <v>0</v>
      </c>
      <c r="BJ61" s="19">
        <v>0</v>
      </c>
      <c r="BK61" s="19">
        <f t="shared" si="8"/>
        <v>0</v>
      </c>
      <c r="BL61" s="19">
        <v>0</v>
      </c>
      <c r="BM61" s="19">
        <v>0</v>
      </c>
      <c r="BN61" s="19">
        <f>SUM(BO61:BY61)</f>
        <v>0</v>
      </c>
      <c r="BO61" s="19">
        <v>0</v>
      </c>
      <c r="BP61" s="19">
        <v>0</v>
      </c>
      <c r="BQ61" s="19">
        <v>0</v>
      </c>
      <c r="BR61" s="19">
        <v>0</v>
      </c>
      <c r="BS61" s="19">
        <v>0</v>
      </c>
      <c r="BT61" s="19">
        <v>0</v>
      </c>
      <c r="BU61" s="19">
        <v>0</v>
      </c>
      <c r="BV61" s="19">
        <v>0</v>
      </c>
      <c r="BW61" s="19">
        <v>0</v>
      </c>
      <c r="BX61" s="19">
        <v>0</v>
      </c>
      <c r="BY61" s="19">
        <v>0</v>
      </c>
      <c r="BZ61" s="19">
        <f>SUM(CA61+CS61)</f>
        <v>31159</v>
      </c>
      <c r="CA61" s="19">
        <f>SUM(CB61+CE61+CK61)</f>
        <v>31159</v>
      </c>
      <c r="CB61" s="19">
        <f t="shared" si="9"/>
        <v>31159</v>
      </c>
      <c r="CC61" s="19">
        <v>0</v>
      </c>
      <c r="CD61" s="23">
        <v>31159</v>
      </c>
      <c r="CE61" s="19">
        <f>SUM(CF61:CJ61)</f>
        <v>0</v>
      </c>
      <c r="CF61" s="19">
        <v>0</v>
      </c>
      <c r="CG61" s="19">
        <v>0</v>
      </c>
      <c r="CH61" s="19">
        <v>0</v>
      </c>
      <c r="CI61" s="19">
        <v>0</v>
      </c>
      <c r="CJ61" s="19">
        <v>0</v>
      </c>
      <c r="CK61" s="19">
        <f>SUM(CL61:CP61)</f>
        <v>0</v>
      </c>
      <c r="CL61" s="19">
        <v>0</v>
      </c>
      <c r="CM61" s="19">
        <v>0</v>
      </c>
      <c r="CN61" s="19">
        <v>0</v>
      </c>
      <c r="CO61" s="19"/>
      <c r="CP61" s="19"/>
      <c r="CQ61" s="19"/>
      <c r="CR61" s="19"/>
      <c r="CS61" s="19">
        <v>0</v>
      </c>
      <c r="CT61" s="19"/>
      <c r="CU61" s="19"/>
      <c r="CV61" s="19"/>
      <c r="CW61" s="19">
        <f t="shared" si="10"/>
        <v>0</v>
      </c>
      <c r="CX61" s="19">
        <f t="shared" si="11"/>
        <v>0</v>
      </c>
      <c r="CY61" s="19">
        <v>0</v>
      </c>
      <c r="CZ61" s="20">
        <v>0</v>
      </c>
    </row>
    <row r="62" spans="1:105" s="58" customFormat="1" ht="15.75" x14ac:dyDescent="0.25">
      <c r="A62" s="81" t="s">
        <v>141</v>
      </c>
      <c r="B62" s="25" t="s">
        <v>1</v>
      </c>
      <c r="C62" s="26" t="s">
        <v>142</v>
      </c>
      <c r="D62" s="27">
        <f t="shared" ref="D62:BQ62" si="79">SUM(D63+D65)</f>
        <v>355853412</v>
      </c>
      <c r="E62" s="27">
        <f t="shared" si="79"/>
        <v>315900705</v>
      </c>
      <c r="F62" s="27">
        <f t="shared" si="79"/>
        <v>312707210</v>
      </c>
      <c r="G62" s="27">
        <f t="shared" si="79"/>
        <v>158897484</v>
      </c>
      <c r="H62" s="27">
        <f t="shared" si="79"/>
        <v>7409657</v>
      </c>
      <c r="I62" s="27">
        <f t="shared" si="79"/>
        <v>109862964</v>
      </c>
      <c r="J62" s="27">
        <f t="shared" si="79"/>
        <v>236293</v>
      </c>
      <c r="K62" s="27">
        <f t="shared" si="79"/>
        <v>35733846</v>
      </c>
      <c r="L62" s="27">
        <f t="shared" si="79"/>
        <v>26445283</v>
      </c>
      <c r="M62" s="27">
        <f t="shared" si="79"/>
        <v>9029500</v>
      </c>
      <c r="N62" s="27">
        <f t="shared" si="79"/>
        <v>27364936</v>
      </c>
      <c r="O62" s="27">
        <f t="shared" si="79"/>
        <v>11053106</v>
      </c>
      <c r="P62" s="27">
        <f t="shared" si="79"/>
        <v>146216</v>
      </c>
      <c r="Q62" s="27">
        <f t="shared" si="79"/>
        <v>54925</v>
      </c>
      <c r="R62" s="27">
        <f t="shared" si="79"/>
        <v>91291</v>
      </c>
      <c r="S62" s="27">
        <f t="shared" si="79"/>
        <v>0</v>
      </c>
      <c r="T62" s="27">
        <f t="shared" si="79"/>
        <v>916713</v>
      </c>
      <c r="U62" s="27">
        <f t="shared" si="79"/>
        <v>7270941</v>
      </c>
      <c r="V62" s="27">
        <f t="shared" si="79"/>
        <v>1051505</v>
      </c>
      <c r="W62" s="27">
        <f t="shared" si="79"/>
        <v>1941311</v>
      </c>
      <c r="X62" s="27">
        <f t="shared" si="79"/>
        <v>3093770</v>
      </c>
      <c r="Y62" s="27">
        <f t="shared" si="79"/>
        <v>852378</v>
      </c>
      <c r="Z62" s="27">
        <f t="shared" si="79"/>
        <v>27468</v>
      </c>
      <c r="AA62" s="27">
        <f t="shared" si="79"/>
        <v>0</v>
      </c>
      <c r="AB62" s="27">
        <f t="shared" si="79"/>
        <v>0</v>
      </c>
      <c r="AC62" s="27">
        <f t="shared" si="79"/>
        <v>304509</v>
      </c>
      <c r="AD62" s="27">
        <f t="shared" si="79"/>
        <v>28203235</v>
      </c>
      <c r="AE62" s="27">
        <f t="shared" si="79"/>
        <v>0</v>
      </c>
      <c r="AF62" s="27">
        <f t="shared" si="79"/>
        <v>0</v>
      </c>
      <c r="AG62" s="27">
        <f t="shared" si="79"/>
        <v>416250</v>
      </c>
      <c r="AH62" s="27">
        <f t="shared" si="79"/>
        <v>2997102</v>
      </c>
      <c r="AI62" s="27">
        <f t="shared" si="79"/>
        <v>10200</v>
      </c>
      <c r="AJ62" s="27">
        <f t="shared" si="79"/>
        <v>7000</v>
      </c>
      <c r="AK62" s="27">
        <f t="shared" si="79"/>
        <v>0</v>
      </c>
      <c r="AL62" s="27">
        <f t="shared" si="79"/>
        <v>29902</v>
      </c>
      <c r="AM62" s="27">
        <f t="shared" si="79"/>
        <v>55507</v>
      </c>
      <c r="AN62" s="27">
        <f t="shared" si="79"/>
        <v>54714</v>
      </c>
      <c r="AO62" s="27">
        <f t="shared" si="79"/>
        <v>115910</v>
      </c>
      <c r="AP62" s="27"/>
      <c r="AQ62" s="27">
        <f t="shared" si="79"/>
        <v>10624211</v>
      </c>
      <c r="AR62" s="27">
        <f t="shared" si="79"/>
        <v>52764</v>
      </c>
      <c r="AS62" s="27">
        <f t="shared" si="79"/>
        <v>0</v>
      </c>
      <c r="AT62" s="27"/>
      <c r="AU62" s="27"/>
      <c r="AV62" s="27">
        <f t="shared" si="79"/>
        <v>0</v>
      </c>
      <c r="AW62" s="27">
        <f t="shared" si="79"/>
        <v>9908435</v>
      </c>
      <c r="AX62" s="27">
        <f t="shared" si="79"/>
        <v>2361</v>
      </c>
      <c r="AY62" s="27"/>
      <c r="AZ62" s="27">
        <f t="shared" si="79"/>
        <v>3928879</v>
      </c>
      <c r="BA62" s="27">
        <f t="shared" si="79"/>
        <v>3193495</v>
      </c>
      <c r="BB62" s="27">
        <f t="shared" si="79"/>
        <v>0</v>
      </c>
      <c r="BC62" s="27">
        <f t="shared" si="79"/>
        <v>0</v>
      </c>
      <c r="BD62" s="27">
        <f t="shared" si="79"/>
        <v>0</v>
      </c>
      <c r="BE62" s="27">
        <f t="shared" si="79"/>
        <v>0</v>
      </c>
      <c r="BF62" s="27">
        <f t="shared" si="79"/>
        <v>0</v>
      </c>
      <c r="BG62" s="27">
        <f t="shared" si="79"/>
        <v>0</v>
      </c>
      <c r="BH62" s="27">
        <f t="shared" si="79"/>
        <v>0</v>
      </c>
      <c r="BI62" s="27">
        <f t="shared" si="79"/>
        <v>0</v>
      </c>
      <c r="BJ62" s="27">
        <f t="shared" ref="BJ62" si="80">SUM(BJ63+BJ65)</f>
        <v>0</v>
      </c>
      <c r="BK62" s="27">
        <f t="shared" si="79"/>
        <v>152625</v>
      </c>
      <c r="BL62" s="27">
        <f t="shared" si="79"/>
        <v>152625</v>
      </c>
      <c r="BM62" s="27">
        <f t="shared" ref="BM62" si="81">SUM(BM63+BM65)</f>
        <v>0</v>
      </c>
      <c r="BN62" s="27">
        <f t="shared" si="79"/>
        <v>3040870</v>
      </c>
      <c r="BO62" s="27">
        <f t="shared" si="79"/>
        <v>0</v>
      </c>
      <c r="BP62" s="27">
        <f t="shared" si="79"/>
        <v>0</v>
      </c>
      <c r="BQ62" s="27">
        <f t="shared" si="79"/>
        <v>0</v>
      </c>
      <c r="BR62" s="27">
        <f t="shared" ref="BR62:CZ62" si="82">SUM(BR63+BR65)</f>
        <v>0</v>
      </c>
      <c r="BS62" s="27">
        <f t="shared" si="82"/>
        <v>0</v>
      </c>
      <c r="BT62" s="27">
        <f t="shared" si="82"/>
        <v>0</v>
      </c>
      <c r="BU62" s="27">
        <f t="shared" si="82"/>
        <v>0</v>
      </c>
      <c r="BV62" s="27">
        <f t="shared" si="82"/>
        <v>0</v>
      </c>
      <c r="BW62" s="27">
        <f t="shared" si="82"/>
        <v>0</v>
      </c>
      <c r="BX62" s="27">
        <f t="shared" si="82"/>
        <v>1772231</v>
      </c>
      <c r="BY62" s="27">
        <f t="shared" si="82"/>
        <v>1268639</v>
      </c>
      <c r="BZ62" s="27">
        <f t="shared" si="82"/>
        <v>39952707</v>
      </c>
      <c r="CA62" s="27">
        <f t="shared" si="82"/>
        <v>39952707</v>
      </c>
      <c r="CB62" s="27">
        <f t="shared" si="82"/>
        <v>16949809</v>
      </c>
      <c r="CC62" s="27">
        <f t="shared" si="82"/>
        <v>0</v>
      </c>
      <c r="CD62" s="27">
        <f t="shared" si="82"/>
        <v>16949809</v>
      </c>
      <c r="CE62" s="27">
        <f t="shared" si="82"/>
        <v>10042975</v>
      </c>
      <c r="CF62" s="27">
        <f t="shared" si="82"/>
        <v>0</v>
      </c>
      <c r="CG62" s="27">
        <f t="shared" ref="CG62:CH62" si="83">SUM(CG63+CG65)</f>
        <v>10042975</v>
      </c>
      <c r="CH62" s="27">
        <f t="shared" si="83"/>
        <v>0</v>
      </c>
      <c r="CI62" s="27">
        <f t="shared" si="82"/>
        <v>0</v>
      </c>
      <c r="CJ62" s="27">
        <f t="shared" ref="CJ62" si="84">SUM(CJ63+CJ65)</f>
        <v>0</v>
      </c>
      <c r="CK62" s="27">
        <f t="shared" si="82"/>
        <v>12959923</v>
      </c>
      <c r="CL62" s="27">
        <f t="shared" si="82"/>
        <v>0</v>
      </c>
      <c r="CM62" s="27">
        <f t="shared" ref="CM62" si="85">SUM(CM63+CM65)</f>
        <v>0</v>
      </c>
      <c r="CN62" s="27">
        <f t="shared" si="82"/>
        <v>12959923</v>
      </c>
      <c r="CO62" s="27"/>
      <c r="CP62" s="27"/>
      <c r="CQ62" s="27"/>
      <c r="CR62" s="27"/>
      <c r="CS62" s="27">
        <f t="shared" si="82"/>
        <v>0</v>
      </c>
      <c r="CT62" s="27"/>
      <c r="CU62" s="27"/>
      <c r="CV62" s="27"/>
      <c r="CW62" s="27">
        <f t="shared" si="82"/>
        <v>0</v>
      </c>
      <c r="CX62" s="27">
        <f t="shared" si="82"/>
        <v>0</v>
      </c>
      <c r="CY62" s="27">
        <f t="shared" si="82"/>
        <v>0</v>
      </c>
      <c r="CZ62" s="60">
        <f t="shared" si="82"/>
        <v>0</v>
      </c>
      <c r="DA62" s="57"/>
    </row>
    <row r="63" spans="1:105" s="58" customFormat="1" ht="15.75" x14ac:dyDescent="0.25">
      <c r="A63" s="79" t="s">
        <v>143</v>
      </c>
      <c r="B63" s="16" t="s">
        <v>1</v>
      </c>
      <c r="C63" s="17" t="s">
        <v>144</v>
      </c>
      <c r="D63" s="18">
        <f t="shared" ref="D63:BQ63" si="86">SUM(D64)</f>
        <v>305516827</v>
      </c>
      <c r="E63" s="18">
        <f t="shared" si="86"/>
        <v>267128799</v>
      </c>
      <c r="F63" s="18">
        <f t="shared" si="86"/>
        <v>265977145</v>
      </c>
      <c r="G63" s="18">
        <f t="shared" si="86"/>
        <v>128725845</v>
      </c>
      <c r="H63" s="18">
        <f t="shared" si="86"/>
        <v>7155565</v>
      </c>
      <c r="I63" s="18">
        <f t="shared" si="86"/>
        <v>96950384</v>
      </c>
      <c r="J63" s="18">
        <f t="shared" si="86"/>
        <v>192763</v>
      </c>
      <c r="K63" s="18">
        <f t="shared" si="86"/>
        <v>33703703</v>
      </c>
      <c r="L63" s="18">
        <f t="shared" si="86"/>
        <v>22788211</v>
      </c>
      <c r="M63" s="18">
        <f t="shared" si="86"/>
        <v>9029500</v>
      </c>
      <c r="N63" s="18">
        <f t="shared" si="86"/>
        <v>20949079</v>
      </c>
      <c r="O63" s="18">
        <f t="shared" si="86"/>
        <v>10287128</v>
      </c>
      <c r="P63" s="18">
        <f t="shared" si="86"/>
        <v>0</v>
      </c>
      <c r="Q63" s="18">
        <f t="shared" si="86"/>
        <v>0</v>
      </c>
      <c r="R63" s="18">
        <f t="shared" si="86"/>
        <v>0</v>
      </c>
      <c r="S63" s="18">
        <f t="shared" si="86"/>
        <v>0</v>
      </c>
      <c r="T63" s="18">
        <f t="shared" si="86"/>
        <v>853895</v>
      </c>
      <c r="U63" s="18">
        <f t="shared" si="86"/>
        <v>7260441</v>
      </c>
      <c r="V63" s="18">
        <f t="shared" si="86"/>
        <v>1041005</v>
      </c>
      <c r="W63" s="18">
        <f t="shared" si="86"/>
        <v>1941311</v>
      </c>
      <c r="X63" s="18">
        <f t="shared" si="86"/>
        <v>3093770</v>
      </c>
      <c r="Y63" s="18">
        <f t="shared" si="86"/>
        <v>852378</v>
      </c>
      <c r="Z63" s="18">
        <f t="shared" si="86"/>
        <v>27468</v>
      </c>
      <c r="AA63" s="18">
        <f t="shared" si="86"/>
        <v>0</v>
      </c>
      <c r="AB63" s="18">
        <f t="shared" si="86"/>
        <v>0</v>
      </c>
      <c r="AC63" s="18">
        <f t="shared" si="86"/>
        <v>304509</v>
      </c>
      <c r="AD63" s="18">
        <f t="shared" si="86"/>
        <v>25031015</v>
      </c>
      <c r="AE63" s="18">
        <f t="shared" si="86"/>
        <v>0</v>
      </c>
      <c r="AF63" s="18">
        <f t="shared" si="86"/>
        <v>0</v>
      </c>
      <c r="AG63" s="18">
        <f t="shared" si="86"/>
        <v>401250</v>
      </c>
      <c r="AH63" s="18">
        <f t="shared" si="86"/>
        <v>2597102</v>
      </c>
      <c r="AI63" s="18">
        <f t="shared" si="86"/>
        <v>10200</v>
      </c>
      <c r="AJ63" s="18">
        <f t="shared" si="86"/>
        <v>7000</v>
      </c>
      <c r="AK63" s="18">
        <f t="shared" si="86"/>
        <v>0</v>
      </c>
      <c r="AL63" s="18">
        <f t="shared" si="86"/>
        <v>29902</v>
      </c>
      <c r="AM63" s="18">
        <f t="shared" si="86"/>
        <v>45507</v>
      </c>
      <c r="AN63" s="18">
        <f t="shared" si="86"/>
        <v>25032</v>
      </c>
      <c r="AO63" s="18">
        <f t="shared" si="86"/>
        <v>115910</v>
      </c>
      <c r="AP63" s="18"/>
      <c r="AQ63" s="18">
        <f t="shared" si="86"/>
        <v>10624211</v>
      </c>
      <c r="AR63" s="18">
        <f t="shared" si="86"/>
        <v>52764</v>
      </c>
      <c r="AS63" s="18">
        <f t="shared" si="86"/>
        <v>0</v>
      </c>
      <c r="AT63" s="18"/>
      <c r="AU63" s="18"/>
      <c r="AV63" s="18">
        <f t="shared" si="86"/>
        <v>0</v>
      </c>
      <c r="AW63" s="18">
        <f t="shared" si="86"/>
        <v>7196897</v>
      </c>
      <c r="AX63" s="18">
        <f t="shared" si="86"/>
        <v>2361</v>
      </c>
      <c r="AY63" s="18"/>
      <c r="AZ63" s="18">
        <f t="shared" si="86"/>
        <v>3922879</v>
      </c>
      <c r="BA63" s="18">
        <f t="shared" si="86"/>
        <v>1151654</v>
      </c>
      <c r="BB63" s="18">
        <f t="shared" si="86"/>
        <v>0</v>
      </c>
      <c r="BC63" s="18">
        <f t="shared" si="86"/>
        <v>0</v>
      </c>
      <c r="BD63" s="18">
        <f t="shared" si="86"/>
        <v>0</v>
      </c>
      <c r="BE63" s="18">
        <f t="shared" si="86"/>
        <v>0</v>
      </c>
      <c r="BF63" s="18">
        <f t="shared" si="86"/>
        <v>0</v>
      </c>
      <c r="BG63" s="18">
        <f t="shared" si="86"/>
        <v>0</v>
      </c>
      <c r="BH63" s="18">
        <f t="shared" si="86"/>
        <v>0</v>
      </c>
      <c r="BI63" s="18">
        <f t="shared" si="86"/>
        <v>0</v>
      </c>
      <c r="BJ63" s="18">
        <f t="shared" si="86"/>
        <v>0</v>
      </c>
      <c r="BK63" s="18">
        <f t="shared" si="86"/>
        <v>152625</v>
      </c>
      <c r="BL63" s="18">
        <f t="shared" si="86"/>
        <v>152625</v>
      </c>
      <c r="BM63" s="18">
        <f t="shared" si="86"/>
        <v>0</v>
      </c>
      <c r="BN63" s="18">
        <f t="shared" si="86"/>
        <v>999029</v>
      </c>
      <c r="BO63" s="18">
        <f t="shared" si="86"/>
        <v>0</v>
      </c>
      <c r="BP63" s="18">
        <f t="shared" si="86"/>
        <v>0</v>
      </c>
      <c r="BQ63" s="18">
        <f t="shared" si="86"/>
        <v>0</v>
      </c>
      <c r="BR63" s="18">
        <f t="shared" ref="BR63:CZ63" si="87">SUM(BR64)</f>
        <v>0</v>
      </c>
      <c r="BS63" s="18">
        <f t="shared" si="87"/>
        <v>0</v>
      </c>
      <c r="BT63" s="18">
        <f t="shared" si="87"/>
        <v>0</v>
      </c>
      <c r="BU63" s="18">
        <f t="shared" si="87"/>
        <v>0</v>
      </c>
      <c r="BV63" s="18">
        <f t="shared" si="87"/>
        <v>0</v>
      </c>
      <c r="BW63" s="18">
        <f t="shared" si="87"/>
        <v>0</v>
      </c>
      <c r="BX63" s="18">
        <f t="shared" si="87"/>
        <v>529271</v>
      </c>
      <c r="BY63" s="18">
        <f t="shared" si="87"/>
        <v>469758</v>
      </c>
      <c r="BZ63" s="18">
        <f t="shared" si="87"/>
        <v>38388028</v>
      </c>
      <c r="CA63" s="18">
        <f t="shared" si="87"/>
        <v>38388028</v>
      </c>
      <c r="CB63" s="18">
        <f t="shared" si="87"/>
        <v>15385130</v>
      </c>
      <c r="CC63" s="18">
        <f t="shared" si="87"/>
        <v>0</v>
      </c>
      <c r="CD63" s="18">
        <f t="shared" si="87"/>
        <v>15385130</v>
      </c>
      <c r="CE63" s="18">
        <f t="shared" si="87"/>
        <v>10042975</v>
      </c>
      <c r="CF63" s="18">
        <f t="shared" si="87"/>
        <v>0</v>
      </c>
      <c r="CG63" s="18">
        <f t="shared" si="87"/>
        <v>10042975</v>
      </c>
      <c r="CH63" s="18">
        <f t="shared" si="87"/>
        <v>0</v>
      </c>
      <c r="CI63" s="18">
        <f t="shared" si="87"/>
        <v>0</v>
      </c>
      <c r="CJ63" s="18">
        <f t="shared" si="87"/>
        <v>0</v>
      </c>
      <c r="CK63" s="18">
        <f t="shared" si="87"/>
        <v>12959923</v>
      </c>
      <c r="CL63" s="18">
        <f t="shared" si="87"/>
        <v>0</v>
      </c>
      <c r="CM63" s="18">
        <f t="shared" si="87"/>
        <v>0</v>
      </c>
      <c r="CN63" s="18">
        <f t="shared" si="87"/>
        <v>12959923</v>
      </c>
      <c r="CO63" s="18"/>
      <c r="CP63" s="18"/>
      <c r="CQ63" s="18"/>
      <c r="CR63" s="18"/>
      <c r="CS63" s="18">
        <f t="shared" si="87"/>
        <v>0</v>
      </c>
      <c r="CT63" s="18"/>
      <c r="CU63" s="18"/>
      <c r="CV63" s="18"/>
      <c r="CW63" s="18">
        <f t="shared" si="87"/>
        <v>0</v>
      </c>
      <c r="CX63" s="18">
        <f t="shared" si="87"/>
        <v>0</v>
      </c>
      <c r="CY63" s="18">
        <f t="shared" si="87"/>
        <v>0</v>
      </c>
      <c r="CZ63" s="46">
        <f t="shared" si="87"/>
        <v>0</v>
      </c>
      <c r="DA63" s="57"/>
    </row>
    <row r="64" spans="1:105" ht="15.75" x14ac:dyDescent="0.25">
      <c r="A64" s="80" t="s">
        <v>1</v>
      </c>
      <c r="B64" s="21" t="s">
        <v>145</v>
      </c>
      <c r="C64" s="22" t="s">
        <v>146</v>
      </c>
      <c r="D64" s="18">
        <f>SUM(E64+BZ64+CW64)</f>
        <v>305516827</v>
      </c>
      <c r="E64" s="19">
        <f>SUM(F64+BA64)</f>
        <v>267128799</v>
      </c>
      <c r="F64" s="19">
        <f>SUM(G64+H64+I64+P64+S64+T64+U64+AD64)</f>
        <v>265977145</v>
      </c>
      <c r="G64" s="23">
        <v>128725845</v>
      </c>
      <c r="H64" s="23">
        <v>7155565</v>
      </c>
      <c r="I64" s="19">
        <f t="shared" si="6"/>
        <v>96950384</v>
      </c>
      <c r="J64" s="23">
        <v>192763</v>
      </c>
      <c r="K64" s="23">
        <v>33703703</v>
      </c>
      <c r="L64" s="23">
        <v>22788211</v>
      </c>
      <c r="M64" s="23">
        <v>9029500</v>
      </c>
      <c r="N64" s="23">
        <v>20949079</v>
      </c>
      <c r="O64" s="23">
        <v>10287128</v>
      </c>
      <c r="P64" s="19">
        <f t="shared" si="7"/>
        <v>0</v>
      </c>
      <c r="Q64" s="23"/>
      <c r="R64" s="23">
        <v>0</v>
      </c>
      <c r="S64" s="23">
        <v>0</v>
      </c>
      <c r="T64" s="23">
        <v>853895</v>
      </c>
      <c r="U64" s="19">
        <f>SUM(V64:AC64)</f>
        <v>7260441</v>
      </c>
      <c r="V64" s="23">
        <v>1041005</v>
      </c>
      <c r="W64" s="23">
        <f>1939893+1418</f>
        <v>1941311</v>
      </c>
      <c r="X64" s="23">
        <v>3093770</v>
      </c>
      <c r="Y64" s="23">
        <v>852378</v>
      </c>
      <c r="Z64" s="23">
        <v>27468</v>
      </c>
      <c r="AA64" s="23">
        <v>0</v>
      </c>
      <c r="AB64" s="23">
        <v>0</v>
      </c>
      <c r="AC64" s="23">
        <v>304509</v>
      </c>
      <c r="AD64" s="19">
        <f>SUM(AE64:AZ64)</f>
        <v>25031015</v>
      </c>
      <c r="AE64" s="19">
        <v>0</v>
      </c>
      <c r="AF64" s="19">
        <v>0</v>
      </c>
      <c r="AG64" s="23">
        <v>401250</v>
      </c>
      <c r="AH64" s="23">
        <v>2597102</v>
      </c>
      <c r="AI64" s="23">
        <v>10200</v>
      </c>
      <c r="AJ64" s="23">
        <v>7000</v>
      </c>
      <c r="AK64" s="23">
        <v>0</v>
      </c>
      <c r="AL64" s="23">
        <v>29902</v>
      </c>
      <c r="AM64" s="23">
        <v>45507</v>
      </c>
      <c r="AN64" s="23">
        <v>25032</v>
      </c>
      <c r="AO64" s="23">
        <v>115910</v>
      </c>
      <c r="AP64" s="23"/>
      <c r="AQ64" s="23">
        <v>10624211</v>
      </c>
      <c r="AR64" s="23">
        <v>52764</v>
      </c>
      <c r="AS64" s="23">
        <v>0</v>
      </c>
      <c r="AT64" s="23">
        <v>0</v>
      </c>
      <c r="AU64" s="23">
        <v>0</v>
      </c>
      <c r="AV64" s="23">
        <v>0</v>
      </c>
      <c r="AW64" s="23">
        <v>7196897</v>
      </c>
      <c r="AX64" s="23">
        <v>2361</v>
      </c>
      <c r="AY64" s="23">
        <v>0</v>
      </c>
      <c r="AZ64" s="23">
        <v>3922879</v>
      </c>
      <c r="BA64" s="19">
        <f>SUM(BB64+BF64+BI64+BK64+BN64)</f>
        <v>1151654</v>
      </c>
      <c r="BB64" s="19">
        <f>SUM(BC64:BE64)</f>
        <v>0</v>
      </c>
      <c r="BC64" s="19">
        <v>0</v>
      </c>
      <c r="BD64" s="19">
        <v>0</v>
      </c>
      <c r="BE64" s="19">
        <v>0</v>
      </c>
      <c r="BF64" s="19">
        <f>SUM(BH64:BH64)</f>
        <v>0</v>
      </c>
      <c r="BG64" s="19">
        <v>0</v>
      </c>
      <c r="BH64" s="19">
        <v>0</v>
      </c>
      <c r="BI64" s="19">
        <v>0</v>
      </c>
      <c r="BJ64" s="23"/>
      <c r="BK64" s="19">
        <f t="shared" si="8"/>
        <v>152625</v>
      </c>
      <c r="BL64" s="23">
        <v>152625</v>
      </c>
      <c r="BM64" s="19"/>
      <c r="BN64" s="19">
        <f>SUM(BO64:BY64)</f>
        <v>999029</v>
      </c>
      <c r="BO64" s="19">
        <v>0</v>
      </c>
      <c r="BP64" s="19">
        <v>0</v>
      </c>
      <c r="BQ64" s="19">
        <v>0</v>
      </c>
      <c r="BR64" s="19">
        <v>0</v>
      </c>
      <c r="BS64" s="19">
        <v>0</v>
      </c>
      <c r="BT64" s="19">
        <v>0</v>
      </c>
      <c r="BU64" s="19">
        <v>0</v>
      </c>
      <c r="BV64" s="19">
        <v>0</v>
      </c>
      <c r="BW64" s="19">
        <v>0</v>
      </c>
      <c r="BX64" s="23">
        <v>529271</v>
      </c>
      <c r="BY64" s="23">
        <v>469758</v>
      </c>
      <c r="BZ64" s="19">
        <f>SUM(CA64+CS64)</f>
        <v>38388028</v>
      </c>
      <c r="CA64" s="19">
        <f>SUM(CB64+CE64+CK64)</f>
        <v>38388028</v>
      </c>
      <c r="CB64" s="19">
        <f t="shared" si="9"/>
        <v>15385130</v>
      </c>
      <c r="CC64" s="19">
        <v>0</v>
      </c>
      <c r="CD64" s="23">
        <v>15385130</v>
      </c>
      <c r="CE64" s="19">
        <f>SUM(CF64:CJ64)</f>
        <v>10042975</v>
      </c>
      <c r="CF64" s="19">
        <v>0</v>
      </c>
      <c r="CG64" s="19">
        <v>10042975</v>
      </c>
      <c r="CH64" s="19"/>
      <c r="CI64" s="19">
        <v>0</v>
      </c>
      <c r="CJ64" s="19">
        <v>0</v>
      </c>
      <c r="CK64" s="19">
        <f>SUM(CL64:CP64)</f>
        <v>12959923</v>
      </c>
      <c r="CL64" s="19"/>
      <c r="CM64" s="19"/>
      <c r="CN64" s="23">
        <v>12959923</v>
      </c>
      <c r="CO64" s="19"/>
      <c r="CP64" s="19"/>
      <c r="CQ64" s="19"/>
      <c r="CR64" s="19"/>
      <c r="CS64" s="19">
        <v>0</v>
      </c>
      <c r="CT64" s="19"/>
      <c r="CU64" s="19"/>
      <c r="CV64" s="19"/>
      <c r="CW64" s="19">
        <f t="shared" si="10"/>
        <v>0</v>
      </c>
      <c r="CX64" s="19">
        <f t="shared" si="11"/>
        <v>0</v>
      </c>
      <c r="CY64" s="19">
        <v>0</v>
      </c>
      <c r="CZ64" s="20">
        <v>0</v>
      </c>
    </row>
    <row r="65" spans="1:105" s="58" customFormat="1" ht="15.75" x14ac:dyDescent="0.25">
      <c r="A65" s="79" t="s">
        <v>147</v>
      </c>
      <c r="B65" s="16" t="s">
        <v>1</v>
      </c>
      <c r="C65" s="17" t="s">
        <v>148</v>
      </c>
      <c r="D65" s="18">
        <f t="shared" ref="D65:AJ65" si="88">SUM(D66)</f>
        <v>50336585</v>
      </c>
      <c r="E65" s="18">
        <f t="shared" si="88"/>
        <v>48771906</v>
      </c>
      <c r="F65" s="18">
        <f t="shared" si="88"/>
        <v>46730065</v>
      </c>
      <c r="G65" s="18">
        <f t="shared" si="88"/>
        <v>30171639</v>
      </c>
      <c r="H65" s="18">
        <f t="shared" si="88"/>
        <v>254092</v>
      </c>
      <c r="I65" s="18">
        <f t="shared" si="88"/>
        <v>12912580</v>
      </c>
      <c r="J65" s="18">
        <f t="shared" si="88"/>
        <v>43530</v>
      </c>
      <c r="K65" s="18">
        <f t="shared" si="88"/>
        <v>2030143</v>
      </c>
      <c r="L65" s="18">
        <f t="shared" si="88"/>
        <v>3657072</v>
      </c>
      <c r="M65" s="18">
        <f t="shared" si="88"/>
        <v>0</v>
      </c>
      <c r="N65" s="18">
        <f t="shared" si="88"/>
        <v>6415857</v>
      </c>
      <c r="O65" s="18">
        <f t="shared" si="88"/>
        <v>765978</v>
      </c>
      <c r="P65" s="18">
        <f t="shared" si="88"/>
        <v>146216</v>
      </c>
      <c r="Q65" s="18">
        <f t="shared" si="88"/>
        <v>54925</v>
      </c>
      <c r="R65" s="18">
        <f t="shared" si="88"/>
        <v>91291</v>
      </c>
      <c r="S65" s="18">
        <f t="shared" si="88"/>
        <v>0</v>
      </c>
      <c r="T65" s="18">
        <f t="shared" si="88"/>
        <v>62818</v>
      </c>
      <c r="U65" s="18">
        <f t="shared" si="88"/>
        <v>10500</v>
      </c>
      <c r="V65" s="18">
        <f t="shared" si="88"/>
        <v>10500</v>
      </c>
      <c r="W65" s="18">
        <f t="shared" si="88"/>
        <v>0</v>
      </c>
      <c r="X65" s="18">
        <f t="shared" si="88"/>
        <v>0</v>
      </c>
      <c r="Y65" s="18">
        <f t="shared" si="88"/>
        <v>0</v>
      </c>
      <c r="Z65" s="18">
        <f t="shared" si="88"/>
        <v>0</v>
      </c>
      <c r="AA65" s="18">
        <f t="shared" si="88"/>
        <v>0</v>
      </c>
      <c r="AB65" s="18">
        <f t="shared" si="88"/>
        <v>0</v>
      </c>
      <c r="AC65" s="18">
        <f t="shared" si="88"/>
        <v>0</v>
      </c>
      <c r="AD65" s="18">
        <f t="shared" si="88"/>
        <v>3172220</v>
      </c>
      <c r="AE65" s="18">
        <f t="shared" si="88"/>
        <v>0</v>
      </c>
      <c r="AF65" s="18">
        <f t="shared" si="88"/>
        <v>0</v>
      </c>
      <c r="AG65" s="18">
        <f t="shared" si="88"/>
        <v>15000</v>
      </c>
      <c r="AH65" s="18">
        <f t="shared" si="88"/>
        <v>400000</v>
      </c>
      <c r="AI65" s="18">
        <f t="shared" si="88"/>
        <v>0</v>
      </c>
      <c r="AJ65" s="18">
        <f t="shared" si="88"/>
        <v>0</v>
      </c>
      <c r="AK65" s="18">
        <f t="shared" ref="AK65:CZ65" si="89">SUM(AK66)</f>
        <v>0</v>
      </c>
      <c r="AL65" s="18">
        <f t="shared" si="89"/>
        <v>0</v>
      </c>
      <c r="AM65" s="18">
        <f t="shared" si="89"/>
        <v>10000</v>
      </c>
      <c r="AN65" s="18">
        <f t="shared" si="89"/>
        <v>29682</v>
      </c>
      <c r="AO65" s="18">
        <f t="shared" si="89"/>
        <v>0</v>
      </c>
      <c r="AP65" s="18"/>
      <c r="AQ65" s="18">
        <f t="shared" si="89"/>
        <v>0</v>
      </c>
      <c r="AR65" s="18">
        <f t="shared" si="89"/>
        <v>0</v>
      </c>
      <c r="AS65" s="18">
        <f t="shared" si="89"/>
        <v>0</v>
      </c>
      <c r="AT65" s="18"/>
      <c r="AU65" s="18"/>
      <c r="AV65" s="18">
        <f t="shared" si="89"/>
        <v>0</v>
      </c>
      <c r="AW65" s="18">
        <f t="shared" si="89"/>
        <v>2711538</v>
      </c>
      <c r="AX65" s="18">
        <f t="shared" si="89"/>
        <v>0</v>
      </c>
      <c r="AY65" s="18"/>
      <c r="AZ65" s="18">
        <f t="shared" si="89"/>
        <v>6000</v>
      </c>
      <c r="BA65" s="18">
        <f t="shared" si="89"/>
        <v>2041841</v>
      </c>
      <c r="BB65" s="18">
        <f t="shared" si="89"/>
        <v>0</v>
      </c>
      <c r="BC65" s="18">
        <f t="shared" si="89"/>
        <v>0</v>
      </c>
      <c r="BD65" s="18">
        <f t="shared" si="89"/>
        <v>0</v>
      </c>
      <c r="BE65" s="18">
        <f t="shared" si="89"/>
        <v>0</v>
      </c>
      <c r="BF65" s="18">
        <f t="shared" si="89"/>
        <v>0</v>
      </c>
      <c r="BG65" s="18">
        <f t="shared" si="89"/>
        <v>0</v>
      </c>
      <c r="BH65" s="18">
        <f t="shared" si="89"/>
        <v>0</v>
      </c>
      <c r="BI65" s="18">
        <f t="shared" si="89"/>
        <v>0</v>
      </c>
      <c r="BJ65" s="18">
        <f t="shared" si="89"/>
        <v>0</v>
      </c>
      <c r="BK65" s="18">
        <f t="shared" si="89"/>
        <v>0</v>
      </c>
      <c r="BL65" s="18">
        <f t="shared" si="89"/>
        <v>0</v>
      </c>
      <c r="BM65" s="18">
        <f t="shared" si="89"/>
        <v>0</v>
      </c>
      <c r="BN65" s="18">
        <f t="shared" si="89"/>
        <v>2041841</v>
      </c>
      <c r="BO65" s="18">
        <f t="shared" si="89"/>
        <v>0</v>
      </c>
      <c r="BP65" s="18">
        <f t="shared" si="89"/>
        <v>0</v>
      </c>
      <c r="BQ65" s="18">
        <f t="shared" si="89"/>
        <v>0</v>
      </c>
      <c r="BR65" s="18">
        <f t="shared" si="89"/>
        <v>0</v>
      </c>
      <c r="BS65" s="18">
        <f t="shared" si="89"/>
        <v>0</v>
      </c>
      <c r="BT65" s="18">
        <f t="shared" si="89"/>
        <v>0</v>
      </c>
      <c r="BU65" s="18">
        <f t="shared" si="89"/>
        <v>0</v>
      </c>
      <c r="BV65" s="18">
        <f t="shared" si="89"/>
        <v>0</v>
      </c>
      <c r="BW65" s="18">
        <f t="shared" si="89"/>
        <v>0</v>
      </c>
      <c r="BX65" s="18">
        <f t="shared" si="89"/>
        <v>1242960</v>
      </c>
      <c r="BY65" s="18">
        <f t="shared" si="89"/>
        <v>798881</v>
      </c>
      <c r="BZ65" s="18">
        <f t="shared" si="89"/>
        <v>1564679</v>
      </c>
      <c r="CA65" s="18">
        <f t="shared" si="89"/>
        <v>1564679</v>
      </c>
      <c r="CB65" s="18">
        <f t="shared" si="89"/>
        <v>1564679</v>
      </c>
      <c r="CC65" s="18">
        <f t="shared" si="89"/>
        <v>0</v>
      </c>
      <c r="CD65" s="18">
        <f t="shared" si="89"/>
        <v>1564679</v>
      </c>
      <c r="CE65" s="18">
        <f t="shared" si="89"/>
        <v>0</v>
      </c>
      <c r="CF65" s="18">
        <f t="shared" si="89"/>
        <v>0</v>
      </c>
      <c r="CG65" s="18">
        <f t="shared" si="89"/>
        <v>0</v>
      </c>
      <c r="CH65" s="18">
        <f t="shared" si="89"/>
        <v>0</v>
      </c>
      <c r="CI65" s="18">
        <f t="shared" si="89"/>
        <v>0</v>
      </c>
      <c r="CJ65" s="18">
        <f t="shared" si="89"/>
        <v>0</v>
      </c>
      <c r="CK65" s="18">
        <f t="shared" si="89"/>
        <v>0</v>
      </c>
      <c r="CL65" s="18">
        <f t="shared" si="89"/>
        <v>0</v>
      </c>
      <c r="CM65" s="18">
        <f t="shared" si="89"/>
        <v>0</v>
      </c>
      <c r="CN65" s="18">
        <f t="shared" si="89"/>
        <v>0</v>
      </c>
      <c r="CO65" s="18"/>
      <c r="CP65" s="18"/>
      <c r="CQ65" s="18"/>
      <c r="CR65" s="18"/>
      <c r="CS65" s="18">
        <f t="shared" si="89"/>
        <v>0</v>
      </c>
      <c r="CT65" s="18"/>
      <c r="CU65" s="18"/>
      <c r="CV65" s="18"/>
      <c r="CW65" s="18">
        <f t="shared" si="89"/>
        <v>0</v>
      </c>
      <c r="CX65" s="18">
        <f t="shared" si="89"/>
        <v>0</v>
      </c>
      <c r="CY65" s="18">
        <f t="shared" si="89"/>
        <v>0</v>
      </c>
      <c r="CZ65" s="46">
        <f t="shared" si="89"/>
        <v>0</v>
      </c>
      <c r="DA65" s="57"/>
    </row>
    <row r="66" spans="1:105" ht="15.75" x14ac:dyDescent="0.25">
      <c r="A66" s="80" t="s">
        <v>1</v>
      </c>
      <c r="B66" s="21" t="s">
        <v>145</v>
      </c>
      <c r="C66" s="22" t="s">
        <v>148</v>
      </c>
      <c r="D66" s="18">
        <f>SUM(E66+BZ66+CW66)</f>
        <v>50336585</v>
      </c>
      <c r="E66" s="19">
        <f>SUM(F66+BA66)</f>
        <v>48771906</v>
      </c>
      <c r="F66" s="19">
        <f>SUM(G66+H66+I66+P66+S66+T66+U66+AD66)</f>
        <v>46730065</v>
      </c>
      <c r="G66" s="23">
        <v>30171639</v>
      </c>
      <c r="H66" s="23">
        <v>254092</v>
      </c>
      <c r="I66" s="19">
        <f t="shared" si="6"/>
        <v>12912580</v>
      </c>
      <c r="J66" s="23">
        <v>43530</v>
      </c>
      <c r="K66" s="23">
        <v>2030143</v>
      </c>
      <c r="L66" s="23">
        <v>3657072</v>
      </c>
      <c r="M66" s="23">
        <v>0</v>
      </c>
      <c r="N66" s="23">
        <v>6415857</v>
      </c>
      <c r="O66" s="23">
        <v>765978</v>
      </c>
      <c r="P66" s="19">
        <f t="shared" si="7"/>
        <v>146216</v>
      </c>
      <c r="Q66" s="23">
        <v>54925</v>
      </c>
      <c r="R66" s="23">
        <v>91291</v>
      </c>
      <c r="S66" s="23">
        <v>0</v>
      </c>
      <c r="T66" s="23">
        <v>62818</v>
      </c>
      <c r="U66" s="19">
        <f>SUM(V66:AC66)</f>
        <v>10500</v>
      </c>
      <c r="V66" s="23">
        <v>10500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f>SUM(AE66:AZ66)</f>
        <v>3172220</v>
      </c>
      <c r="AE66" s="19">
        <v>0</v>
      </c>
      <c r="AF66" s="19">
        <v>0</v>
      </c>
      <c r="AG66" s="23">
        <v>15000</v>
      </c>
      <c r="AH66" s="23">
        <v>400000</v>
      </c>
      <c r="AI66" s="23">
        <v>0</v>
      </c>
      <c r="AJ66" s="23">
        <v>0</v>
      </c>
      <c r="AK66" s="23">
        <v>0</v>
      </c>
      <c r="AL66" s="23">
        <v>0</v>
      </c>
      <c r="AM66" s="23">
        <v>10000</v>
      </c>
      <c r="AN66" s="23">
        <v>29682</v>
      </c>
      <c r="AO66" s="23">
        <v>0</v>
      </c>
      <c r="AP66" s="23"/>
      <c r="AQ66" s="23">
        <v>0</v>
      </c>
      <c r="AR66" s="23">
        <v>0</v>
      </c>
      <c r="AS66" s="23">
        <v>0</v>
      </c>
      <c r="AT66" s="23">
        <v>0</v>
      </c>
      <c r="AU66" s="23">
        <v>0</v>
      </c>
      <c r="AV66" s="23">
        <v>0</v>
      </c>
      <c r="AW66" s="23">
        <v>2711538</v>
      </c>
      <c r="AX66" s="23">
        <v>0</v>
      </c>
      <c r="AY66" s="23">
        <v>0</v>
      </c>
      <c r="AZ66" s="23">
        <v>6000</v>
      </c>
      <c r="BA66" s="19">
        <f>SUM(BB66+BF66+BI66+BK66+BN66)</f>
        <v>2041841</v>
      </c>
      <c r="BB66" s="19">
        <f>SUM(BC66:BE66)</f>
        <v>0</v>
      </c>
      <c r="BC66" s="19">
        <v>0</v>
      </c>
      <c r="BD66" s="19">
        <v>0</v>
      </c>
      <c r="BE66" s="19">
        <v>0</v>
      </c>
      <c r="BF66" s="19">
        <f>SUM(BH66:BH66)</f>
        <v>0</v>
      </c>
      <c r="BG66" s="19">
        <v>0</v>
      </c>
      <c r="BH66" s="19">
        <v>0</v>
      </c>
      <c r="BI66" s="19">
        <v>0</v>
      </c>
      <c r="BJ66" s="19">
        <v>0</v>
      </c>
      <c r="BK66" s="19">
        <f t="shared" si="8"/>
        <v>0</v>
      </c>
      <c r="BL66" s="19">
        <v>0</v>
      </c>
      <c r="BM66" s="19">
        <v>0</v>
      </c>
      <c r="BN66" s="19">
        <f>SUM(BO66:BY66)</f>
        <v>2041841</v>
      </c>
      <c r="BO66" s="19">
        <v>0</v>
      </c>
      <c r="BP66" s="19">
        <v>0</v>
      </c>
      <c r="BQ66" s="19">
        <v>0</v>
      </c>
      <c r="BR66" s="19">
        <v>0</v>
      </c>
      <c r="BS66" s="19">
        <v>0</v>
      </c>
      <c r="BT66" s="19">
        <v>0</v>
      </c>
      <c r="BU66" s="19">
        <v>0</v>
      </c>
      <c r="BV66" s="19">
        <v>0</v>
      </c>
      <c r="BW66" s="19">
        <v>0</v>
      </c>
      <c r="BX66" s="23">
        <v>1242960</v>
      </c>
      <c r="BY66" s="23">
        <v>798881</v>
      </c>
      <c r="BZ66" s="19">
        <f>SUM(CA66+CS66)</f>
        <v>1564679</v>
      </c>
      <c r="CA66" s="19">
        <f>SUM(CB66+CE66+CK66)</f>
        <v>1564679</v>
      </c>
      <c r="CB66" s="19">
        <f t="shared" si="9"/>
        <v>1564679</v>
      </c>
      <c r="CC66" s="19">
        <v>0</v>
      </c>
      <c r="CD66" s="23">
        <v>1564679</v>
      </c>
      <c r="CE66" s="19">
        <f>SUM(CF66:CJ66)</f>
        <v>0</v>
      </c>
      <c r="CF66" s="19">
        <v>0</v>
      </c>
      <c r="CG66" s="19">
        <v>0</v>
      </c>
      <c r="CH66" s="19">
        <v>0</v>
      </c>
      <c r="CI66" s="19">
        <v>0</v>
      </c>
      <c r="CJ66" s="19">
        <v>0</v>
      </c>
      <c r="CK66" s="19">
        <f>SUM(CL66:CP66)</f>
        <v>0</v>
      </c>
      <c r="CL66" s="19">
        <v>0</v>
      </c>
      <c r="CM66" s="19">
        <v>0</v>
      </c>
      <c r="CN66" s="23"/>
      <c r="CO66" s="19"/>
      <c r="CP66" s="19"/>
      <c r="CQ66" s="19"/>
      <c r="CR66" s="19"/>
      <c r="CS66" s="19">
        <v>0</v>
      </c>
      <c r="CT66" s="19"/>
      <c r="CU66" s="19"/>
      <c r="CV66" s="19"/>
      <c r="CW66" s="19">
        <f t="shared" si="10"/>
        <v>0</v>
      </c>
      <c r="CX66" s="19">
        <f t="shared" si="11"/>
        <v>0</v>
      </c>
      <c r="CY66" s="19">
        <v>0</v>
      </c>
      <c r="CZ66" s="20">
        <v>0</v>
      </c>
    </row>
    <row r="67" spans="1:105" s="58" customFormat="1" ht="47.25" x14ac:dyDescent="0.25">
      <c r="A67" s="81" t="s">
        <v>149</v>
      </c>
      <c r="B67" s="25" t="s">
        <v>1</v>
      </c>
      <c r="C67" s="26" t="s">
        <v>150</v>
      </c>
      <c r="D67" s="27">
        <f>SUM(D68+D70+D73+D75+D77+D79+D83+D81)</f>
        <v>759289180</v>
      </c>
      <c r="E67" s="27">
        <f t="shared" ref="E67:BO67" si="90">SUM(E68+E70+E73+E75+E77+E79+E83+E81)</f>
        <v>727801274</v>
      </c>
      <c r="F67" s="27">
        <f t="shared" si="90"/>
        <v>724878675</v>
      </c>
      <c r="G67" s="27">
        <f t="shared" si="90"/>
        <v>506296367</v>
      </c>
      <c r="H67" s="27">
        <f t="shared" si="90"/>
        <v>21499130</v>
      </c>
      <c r="I67" s="27">
        <f t="shared" si="90"/>
        <v>102646805</v>
      </c>
      <c r="J67" s="27">
        <f t="shared" si="90"/>
        <v>1446077</v>
      </c>
      <c r="K67" s="27">
        <f t="shared" si="90"/>
        <v>28451131</v>
      </c>
      <c r="L67" s="27">
        <f t="shared" si="90"/>
        <v>26196907</v>
      </c>
      <c r="M67" s="27">
        <f t="shared" si="90"/>
        <v>445869</v>
      </c>
      <c r="N67" s="27">
        <f t="shared" si="90"/>
        <v>36414993</v>
      </c>
      <c r="O67" s="27">
        <f t="shared" si="90"/>
        <v>9691828</v>
      </c>
      <c r="P67" s="27">
        <f t="shared" si="90"/>
        <v>6763004</v>
      </c>
      <c r="Q67" s="27">
        <f t="shared" si="90"/>
        <v>156217</v>
      </c>
      <c r="R67" s="27">
        <f t="shared" si="90"/>
        <v>6606787</v>
      </c>
      <c r="S67" s="27">
        <f t="shared" si="90"/>
        <v>97358</v>
      </c>
      <c r="T67" s="27">
        <f t="shared" si="90"/>
        <v>5408555</v>
      </c>
      <c r="U67" s="27">
        <f t="shared" si="90"/>
        <v>19118644</v>
      </c>
      <c r="V67" s="27">
        <f t="shared" si="90"/>
        <v>1659858</v>
      </c>
      <c r="W67" s="27">
        <f t="shared" si="90"/>
        <v>3142762</v>
      </c>
      <c r="X67" s="27">
        <f t="shared" si="90"/>
        <v>8905679</v>
      </c>
      <c r="Y67" s="27">
        <f t="shared" si="90"/>
        <v>3974746</v>
      </c>
      <c r="Z67" s="27">
        <f t="shared" si="90"/>
        <v>451884</v>
      </c>
      <c r="AA67" s="27">
        <f t="shared" si="90"/>
        <v>302722</v>
      </c>
      <c r="AB67" s="27">
        <f t="shared" si="90"/>
        <v>0</v>
      </c>
      <c r="AC67" s="27">
        <f t="shared" si="90"/>
        <v>680993</v>
      </c>
      <c r="AD67" s="27">
        <f t="shared" si="90"/>
        <v>63048812</v>
      </c>
      <c r="AE67" s="27">
        <f t="shared" si="90"/>
        <v>0</v>
      </c>
      <c r="AF67" s="27">
        <f t="shared" si="90"/>
        <v>0</v>
      </c>
      <c r="AG67" s="27">
        <f t="shared" si="90"/>
        <v>368798</v>
      </c>
      <c r="AH67" s="27">
        <f t="shared" si="90"/>
        <v>1923029</v>
      </c>
      <c r="AI67" s="27">
        <f t="shared" si="90"/>
        <v>0</v>
      </c>
      <c r="AJ67" s="27">
        <f t="shared" si="90"/>
        <v>13339</v>
      </c>
      <c r="AK67" s="27">
        <f t="shared" si="90"/>
        <v>119764</v>
      </c>
      <c r="AL67" s="27">
        <f t="shared" si="90"/>
        <v>35328</v>
      </c>
      <c r="AM67" s="27">
        <f t="shared" si="90"/>
        <v>1670462</v>
      </c>
      <c r="AN67" s="27">
        <f t="shared" si="90"/>
        <v>163455</v>
      </c>
      <c r="AO67" s="27">
        <f t="shared" si="90"/>
        <v>8620</v>
      </c>
      <c r="AP67" s="27"/>
      <c r="AQ67" s="27">
        <f t="shared" si="90"/>
        <v>4999768</v>
      </c>
      <c r="AR67" s="27">
        <f t="shared" si="90"/>
        <v>2273825</v>
      </c>
      <c r="AS67" s="27">
        <f t="shared" si="90"/>
        <v>148800</v>
      </c>
      <c r="AT67" s="27"/>
      <c r="AU67" s="27"/>
      <c r="AV67" s="27">
        <f t="shared" si="90"/>
        <v>0</v>
      </c>
      <c r="AW67" s="27">
        <f t="shared" si="90"/>
        <v>41401743</v>
      </c>
      <c r="AX67" s="27">
        <f t="shared" si="90"/>
        <v>1282493</v>
      </c>
      <c r="AY67" s="27">
        <f t="shared" si="90"/>
        <v>1057023</v>
      </c>
      <c r="AZ67" s="27">
        <f t="shared" si="90"/>
        <v>7582365</v>
      </c>
      <c r="BA67" s="27">
        <f t="shared" si="90"/>
        <v>2922599</v>
      </c>
      <c r="BB67" s="27">
        <f t="shared" si="90"/>
        <v>0</v>
      </c>
      <c r="BC67" s="27">
        <f t="shared" si="90"/>
        <v>0</v>
      </c>
      <c r="BD67" s="27">
        <f t="shared" si="90"/>
        <v>0</v>
      </c>
      <c r="BE67" s="27">
        <f t="shared" si="90"/>
        <v>0</v>
      </c>
      <c r="BF67" s="27">
        <f t="shared" si="90"/>
        <v>0</v>
      </c>
      <c r="BG67" s="27">
        <f t="shared" si="90"/>
        <v>0</v>
      </c>
      <c r="BH67" s="27">
        <f t="shared" si="90"/>
        <v>0</v>
      </c>
      <c r="BI67" s="27">
        <f t="shared" si="90"/>
        <v>0</v>
      </c>
      <c r="BJ67" s="27">
        <f t="shared" ref="BJ67" si="91">SUM(BJ68+BJ70+BJ73+BJ75+BJ77+BJ79+BJ83+BJ81)</f>
        <v>0</v>
      </c>
      <c r="BK67" s="27">
        <f t="shared" si="90"/>
        <v>950854</v>
      </c>
      <c r="BL67" s="27">
        <f t="shared" si="90"/>
        <v>950854</v>
      </c>
      <c r="BM67" s="27">
        <f t="shared" ref="BM67" si="92">SUM(BM68+BM70+BM73+BM75+BM77+BM79+BM83+BM81)</f>
        <v>0</v>
      </c>
      <c r="BN67" s="27">
        <f t="shared" si="90"/>
        <v>1971745</v>
      </c>
      <c r="BO67" s="27">
        <f t="shared" si="90"/>
        <v>0</v>
      </c>
      <c r="BP67" s="27">
        <f t="shared" ref="BP67:CZ67" si="93">SUM(BP68+BP70+BP73+BP75+BP77+BP79+BP83+BP81)</f>
        <v>0</v>
      </c>
      <c r="BQ67" s="27">
        <f t="shared" si="93"/>
        <v>13671</v>
      </c>
      <c r="BR67" s="27">
        <f t="shared" si="93"/>
        <v>0</v>
      </c>
      <c r="BS67" s="27">
        <f t="shared" si="93"/>
        <v>0</v>
      </c>
      <c r="BT67" s="27">
        <f t="shared" si="93"/>
        <v>0</v>
      </c>
      <c r="BU67" s="27">
        <f t="shared" si="93"/>
        <v>0</v>
      </c>
      <c r="BV67" s="27">
        <f t="shared" si="93"/>
        <v>0</v>
      </c>
      <c r="BW67" s="27">
        <f t="shared" si="93"/>
        <v>0</v>
      </c>
      <c r="BX67" s="27">
        <f t="shared" si="93"/>
        <v>1509699</v>
      </c>
      <c r="BY67" s="27">
        <f t="shared" si="93"/>
        <v>448375</v>
      </c>
      <c r="BZ67" s="27">
        <f t="shared" si="93"/>
        <v>31487906</v>
      </c>
      <c r="CA67" s="27">
        <f t="shared" si="93"/>
        <v>26487906</v>
      </c>
      <c r="CB67" s="27">
        <f t="shared" si="93"/>
        <v>13946024</v>
      </c>
      <c r="CC67" s="27">
        <f t="shared" si="93"/>
        <v>0</v>
      </c>
      <c r="CD67" s="27">
        <f t="shared" si="93"/>
        <v>13946024</v>
      </c>
      <c r="CE67" s="27">
        <f t="shared" si="93"/>
        <v>4383254</v>
      </c>
      <c r="CF67" s="27">
        <f t="shared" si="93"/>
        <v>0</v>
      </c>
      <c r="CG67" s="27">
        <f t="shared" ref="CG67:CH67" si="94">SUM(CG68+CG70+CG73+CG75+CG77+CG79+CG83+CG81)</f>
        <v>0</v>
      </c>
      <c r="CH67" s="27">
        <f t="shared" si="94"/>
        <v>3583254</v>
      </c>
      <c r="CI67" s="27">
        <f t="shared" si="93"/>
        <v>0</v>
      </c>
      <c r="CJ67" s="27">
        <f t="shared" ref="CJ67" si="95">SUM(CJ68+CJ70+CJ73+CJ75+CJ77+CJ79+CJ83+CJ81)</f>
        <v>800000</v>
      </c>
      <c r="CK67" s="27">
        <f t="shared" si="93"/>
        <v>8158628</v>
      </c>
      <c r="CL67" s="27">
        <f t="shared" si="93"/>
        <v>0</v>
      </c>
      <c r="CM67" s="27">
        <f t="shared" ref="CM67" si="96">SUM(CM68+CM70+CM73+CM75+CM77+CM79+CM83+CM81)</f>
        <v>442696</v>
      </c>
      <c r="CN67" s="27">
        <f t="shared" si="93"/>
        <v>7715932</v>
      </c>
      <c r="CO67" s="27"/>
      <c r="CP67" s="27"/>
      <c r="CQ67" s="27"/>
      <c r="CR67" s="27"/>
      <c r="CS67" s="27">
        <f t="shared" si="93"/>
        <v>5000000</v>
      </c>
      <c r="CT67" s="27"/>
      <c r="CU67" s="27"/>
      <c r="CV67" s="27"/>
      <c r="CW67" s="27">
        <f t="shared" si="93"/>
        <v>0</v>
      </c>
      <c r="CX67" s="27">
        <f t="shared" si="93"/>
        <v>0</v>
      </c>
      <c r="CY67" s="27">
        <f t="shared" si="93"/>
        <v>0</v>
      </c>
      <c r="CZ67" s="60">
        <f t="shared" si="93"/>
        <v>0</v>
      </c>
      <c r="DA67" s="57"/>
    </row>
    <row r="68" spans="1:105" s="58" customFormat="1" ht="15.75" x14ac:dyDescent="0.25">
      <c r="A68" s="79" t="s">
        <v>151</v>
      </c>
      <c r="B68" s="16" t="s">
        <v>1</v>
      </c>
      <c r="C68" s="17" t="s">
        <v>152</v>
      </c>
      <c r="D68" s="18">
        <f t="shared" ref="D68:BQ68" si="97">SUM(D69)</f>
        <v>329937100</v>
      </c>
      <c r="E68" s="18">
        <f t="shared" si="97"/>
        <v>314050954</v>
      </c>
      <c r="F68" s="18">
        <f t="shared" si="97"/>
        <v>313206023</v>
      </c>
      <c r="G68" s="18">
        <f t="shared" si="97"/>
        <v>221644915</v>
      </c>
      <c r="H68" s="18">
        <f t="shared" si="97"/>
        <v>13107444</v>
      </c>
      <c r="I68" s="18">
        <f t="shared" si="97"/>
        <v>44505952</v>
      </c>
      <c r="J68" s="18">
        <f t="shared" si="97"/>
        <v>346230</v>
      </c>
      <c r="K68" s="18">
        <f t="shared" si="97"/>
        <v>14093393</v>
      </c>
      <c r="L68" s="18">
        <f t="shared" si="97"/>
        <v>6172453</v>
      </c>
      <c r="M68" s="18">
        <f t="shared" si="97"/>
        <v>0</v>
      </c>
      <c r="N68" s="18">
        <f t="shared" si="97"/>
        <v>18469620</v>
      </c>
      <c r="O68" s="18">
        <f t="shared" si="97"/>
        <v>5424256</v>
      </c>
      <c r="P68" s="18">
        <f t="shared" si="97"/>
        <v>45680</v>
      </c>
      <c r="Q68" s="18">
        <f t="shared" si="97"/>
        <v>45680</v>
      </c>
      <c r="R68" s="18">
        <f t="shared" si="97"/>
        <v>0</v>
      </c>
      <c r="S68" s="18">
        <f t="shared" si="97"/>
        <v>60704</v>
      </c>
      <c r="T68" s="18">
        <f t="shared" si="97"/>
        <v>3456952</v>
      </c>
      <c r="U68" s="18">
        <f t="shared" si="97"/>
        <v>6302187</v>
      </c>
      <c r="V68" s="18">
        <f t="shared" si="97"/>
        <v>192729</v>
      </c>
      <c r="W68" s="18">
        <f t="shared" si="97"/>
        <v>2159621</v>
      </c>
      <c r="X68" s="18">
        <f t="shared" si="97"/>
        <v>2839636</v>
      </c>
      <c r="Y68" s="18">
        <f t="shared" si="97"/>
        <v>815650</v>
      </c>
      <c r="Z68" s="18">
        <f t="shared" si="97"/>
        <v>130674</v>
      </c>
      <c r="AA68" s="18">
        <f t="shared" si="97"/>
        <v>49800</v>
      </c>
      <c r="AB68" s="18">
        <f t="shared" si="97"/>
        <v>0</v>
      </c>
      <c r="AC68" s="18">
        <f t="shared" si="97"/>
        <v>114077</v>
      </c>
      <c r="AD68" s="18">
        <f t="shared" si="97"/>
        <v>24082189</v>
      </c>
      <c r="AE68" s="18">
        <f t="shared" si="97"/>
        <v>0</v>
      </c>
      <c r="AF68" s="18">
        <f t="shared" si="97"/>
        <v>0</v>
      </c>
      <c r="AG68" s="18">
        <f t="shared" si="97"/>
        <v>109366</v>
      </c>
      <c r="AH68" s="18">
        <f t="shared" si="97"/>
        <v>238664</v>
      </c>
      <c r="AI68" s="18">
        <f t="shared" si="97"/>
        <v>0</v>
      </c>
      <c r="AJ68" s="18">
        <f t="shared" si="97"/>
        <v>0</v>
      </c>
      <c r="AK68" s="18">
        <f t="shared" si="97"/>
        <v>6500</v>
      </c>
      <c r="AL68" s="18">
        <f t="shared" si="97"/>
        <v>24030</v>
      </c>
      <c r="AM68" s="18">
        <f t="shared" si="97"/>
        <v>1300000</v>
      </c>
      <c r="AN68" s="18">
        <f t="shared" si="97"/>
        <v>18042</v>
      </c>
      <c r="AO68" s="18">
        <f t="shared" si="97"/>
        <v>6900</v>
      </c>
      <c r="AP68" s="18"/>
      <c r="AQ68" s="18">
        <f t="shared" si="97"/>
        <v>4255164</v>
      </c>
      <c r="AR68" s="18">
        <f t="shared" si="97"/>
        <v>1504383</v>
      </c>
      <c r="AS68" s="18">
        <f t="shared" si="97"/>
        <v>96000</v>
      </c>
      <c r="AT68" s="18"/>
      <c r="AU68" s="18"/>
      <c r="AV68" s="18">
        <f t="shared" si="97"/>
        <v>0</v>
      </c>
      <c r="AW68" s="18">
        <f t="shared" si="97"/>
        <v>10263348</v>
      </c>
      <c r="AX68" s="18">
        <f t="shared" si="97"/>
        <v>265344</v>
      </c>
      <c r="AY68" s="18">
        <f t="shared" si="97"/>
        <v>0</v>
      </c>
      <c r="AZ68" s="18">
        <f t="shared" si="97"/>
        <v>5994448</v>
      </c>
      <c r="BA68" s="18">
        <f t="shared" si="97"/>
        <v>844931</v>
      </c>
      <c r="BB68" s="18">
        <f t="shared" si="97"/>
        <v>0</v>
      </c>
      <c r="BC68" s="18">
        <f t="shared" si="97"/>
        <v>0</v>
      </c>
      <c r="BD68" s="18">
        <f t="shared" si="97"/>
        <v>0</v>
      </c>
      <c r="BE68" s="18">
        <f t="shared" si="97"/>
        <v>0</v>
      </c>
      <c r="BF68" s="18">
        <f t="shared" si="97"/>
        <v>0</v>
      </c>
      <c r="BG68" s="18">
        <f t="shared" si="97"/>
        <v>0</v>
      </c>
      <c r="BH68" s="18">
        <f t="shared" si="97"/>
        <v>0</v>
      </c>
      <c r="BI68" s="18">
        <f t="shared" si="97"/>
        <v>0</v>
      </c>
      <c r="BJ68" s="18">
        <f t="shared" si="97"/>
        <v>0</v>
      </c>
      <c r="BK68" s="18">
        <f t="shared" si="97"/>
        <v>304566</v>
      </c>
      <c r="BL68" s="18">
        <f t="shared" si="97"/>
        <v>304566</v>
      </c>
      <c r="BM68" s="18">
        <f t="shared" si="97"/>
        <v>0</v>
      </c>
      <c r="BN68" s="18">
        <f t="shared" si="97"/>
        <v>540365</v>
      </c>
      <c r="BO68" s="18">
        <f t="shared" si="97"/>
        <v>0</v>
      </c>
      <c r="BP68" s="18">
        <f t="shared" si="97"/>
        <v>0</v>
      </c>
      <c r="BQ68" s="18">
        <f t="shared" si="97"/>
        <v>13671</v>
      </c>
      <c r="BR68" s="18">
        <f t="shared" ref="BR68:CZ68" si="98">SUM(BR69)</f>
        <v>0</v>
      </c>
      <c r="BS68" s="18">
        <f t="shared" si="98"/>
        <v>0</v>
      </c>
      <c r="BT68" s="18">
        <f t="shared" si="98"/>
        <v>0</v>
      </c>
      <c r="BU68" s="18">
        <f t="shared" si="98"/>
        <v>0</v>
      </c>
      <c r="BV68" s="18">
        <f t="shared" si="98"/>
        <v>0</v>
      </c>
      <c r="BW68" s="18">
        <f t="shared" si="98"/>
        <v>0</v>
      </c>
      <c r="BX68" s="18">
        <f t="shared" si="98"/>
        <v>494422</v>
      </c>
      <c r="BY68" s="18">
        <f t="shared" si="98"/>
        <v>32272</v>
      </c>
      <c r="BZ68" s="18">
        <f t="shared" si="98"/>
        <v>15886146</v>
      </c>
      <c r="CA68" s="18">
        <f t="shared" si="98"/>
        <v>10886146</v>
      </c>
      <c r="CB68" s="18">
        <f t="shared" si="98"/>
        <v>6812481</v>
      </c>
      <c r="CC68" s="18">
        <f t="shared" si="98"/>
        <v>0</v>
      </c>
      <c r="CD68" s="18">
        <f t="shared" si="98"/>
        <v>6812481</v>
      </c>
      <c r="CE68" s="18">
        <f t="shared" si="98"/>
        <v>194583</v>
      </c>
      <c r="CF68" s="18">
        <f t="shared" si="98"/>
        <v>0</v>
      </c>
      <c r="CG68" s="18">
        <f t="shared" si="98"/>
        <v>0</v>
      </c>
      <c r="CH68" s="18">
        <f t="shared" si="98"/>
        <v>194583</v>
      </c>
      <c r="CI68" s="18">
        <f t="shared" si="98"/>
        <v>0</v>
      </c>
      <c r="CJ68" s="18">
        <f t="shared" si="98"/>
        <v>0</v>
      </c>
      <c r="CK68" s="18">
        <f t="shared" si="98"/>
        <v>3879082</v>
      </c>
      <c r="CL68" s="18">
        <f t="shared" si="98"/>
        <v>0</v>
      </c>
      <c r="CM68" s="18">
        <f t="shared" si="98"/>
        <v>442696</v>
      </c>
      <c r="CN68" s="18">
        <f t="shared" si="98"/>
        <v>3436386</v>
      </c>
      <c r="CO68" s="18"/>
      <c r="CP68" s="18"/>
      <c r="CQ68" s="18"/>
      <c r="CR68" s="18"/>
      <c r="CS68" s="18">
        <f t="shared" si="98"/>
        <v>5000000</v>
      </c>
      <c r="CT68" s="18"/>
      <c r="CU68" s="18"/>
      <c r="CV68" s="18"/>
      <c r="CW68" s="18">
        <f t="shared" si="98"/>
        <v>0</v>
      </c>
      <c r="CX68" s="18">
        <f t="shared" si="98"/>
        <v>0</v>
      </c>
      <c r="CY68" s="18">
        <f t="shared" si="98"/>
        <v>0</v>
      </c>
      <c r="CZ68" s="46">
        <f t="shared" si="98"/>
        <v>0</v>
      </c>
      <c r="DA68" s="57"/>
    </row>
    <row r="69" spans="1:105" ht="15.75" x14ac:dyDescent="0.25">
      <c r="A69" s="80" t="s">
        <v>1</v>
      </c>
      <c r="B69" s="21" t="s">
        <v>153</v>
      </c>
      <c r="C69" s="22" t="s">
        <v>154</v>
      </c>
      <c r="D69" s="18">
        <f>SUM(E69+BZ69+CW69)</f>
        <v>329937100</v>
      </c>
      <c r="E69" s="19">
        <f>SUM(F69+BA69)</f>
        <v>314050954</v>
      </c>
      <c r="F69" s="19">
        <f>SUM(G69+H69+I69+P69+S69+T69+U69+AD69)</f>
        <v>313206023</v>
      </c>
      <c r="G69" s="23">
        <v>221644915</v>
      </c>
      <c r="H69" s="23">
        <v>13107444</v>
      </c>
      <c r="I69" s="19">
        <f t="shared" si="6"/>
        <v>44505952</v>
      </c>
      <c r="J69" s="23">
        <v>346230</v>
      </c>
      <c r="K69" s="23">
        <f>13894743+198650</f>
        <v>14093393</v>
      </c>
      <c r="L69" s="23">
        <v>6172453</v>
      </c>
      <c r="M69" s="23">
        <v>0</v>
      </c>
      <c r="N69" s="23">
        <f>18042749+426871</f>
        <v>18469620</v>
      </c>
      <c r="O69" s="23">
        <f>5282180+142076</f>
        <v>5424256</v>
      </c>
      <c r="P69" s="19">
        <f t="shared" si="7"/>
        <v>45680</v>
      </c>
      <c r="Q69" s="23">
        <v>45680</v>
      </c>
      <c r="R69" s="23">
        <v>0</v>
      </c>
      <c r="S69" s="23">
        <v>60704</v>
      </c>
      <c r="T69" s="23">
        <v>3456952</v>
      </c>
      <c r="U69" s="19">
        <f>SUM(V69:AC69)</f>
        <v>6302187</v>
      </c>
      <c r="V69" s="23">
        <v>192729</v>
      </c>
      <c r="W69" s="23">
        <f>2153951+5670</f>
        <v>2159621</v>
      </c>
      <c r="X69" s="23">
        <v>2839636</v>
      </c>
      <c r="Y69" s="23">
        <v>815650</v>
      </c>
      <c r="Z69" s="23">
        <v>130674</v>
      </c>
      <c r="AA69" s="23">
        <v>49800</v>
      </c>
      <c r="AB69" s="23">
        <v>0</v>
      </c>
      <c r="AC69" s="23">
        <v>114077</v>
      </c>
      <c r="AD69" s="19">
        <f>SUM(AE69:AZ69)</f>
        <v>24082189</v>
      </c>
      <c r="AE69" s="19">
        <v>0</v>
      </c>
      <c r="AF69" s="19">
        <v>0</v>
      </c>
      <c r="AG69" s="23">
        <v>109366</v>
      </c>
      <c r="AH69" s="23">
        <v>238664</v>
      </c>
      <c r="AI69" s="23">
        <v>0</v>
      </c>
      <c r="AJ69" s="23">
        <v>0</v>
      </c>
      <c r="AK69" s="23">
        <v>6500</v>
      </c>
      <c r="AL69" s="23">
        <v>24030</v>
      </c>
      <c r="AM69" s="23">
        <v>1300000</v>
      </c>
      <c r="AN69" s="23">
        <v>18042</v>
      </c>
      <c r="AO69" s="23">
        <v>6900</v>
      </c>
      <c r="AP69" s="23"/>
      <c r="AQ69" s="23">
        <v>4255164</v>
      </c>
      <c r="AR69" s="23">
        <v>1504383</v>
      </c>
      <c r="AS69" s="23">
        <v>96000</v>
      </c>
      <c r="AT69" s="23">
        <v>0</v>
      </c>
      <c r="AU69" s="23">
        <v>0</v>
      </c>
      <c r="AV69" s="23">
        <v>0</v>
      </c>
      <c r="AW69" s="23">
        <v>10263348</v>
      </c>
      <c r="AX69" s="23">
        <v>265344</v>
      </c>
      <c r="AY69" s="23">
        <v>0</v>
      </c>
      <c r="AZ69" s="23">
        <v>5994448</v>
      </c>
      <c r="BA69" s="19">
        <f>SUM(BB69+BF69+BI69+BK69+BN69)</f>
        <v>844931</v>
      </c>
      <c r="BB69" s="19">
        <f>SUM(BC69:BE69)</f>
        <v>0</v>
      </c>
      <c r="BC69" s="19">
        <v>0</v>
      </c>
      <c r="BD69" s="19">
        <v>0</v>
      </c>
      <c r="BE69" s="19">
        <v>0</v>
      </c>
      <c r="BF69" s="19">
        <f>SUM(BH69:BH69)</f>
        <v>0</v>
      </c>
      <c r="BG69" s="19">
        <v>0</v>
      </c>
      <c r="BH69" s="19">
        <v>0</v>
      </c>
      <c r="BI69" s="19">
        <v>0</v>
      </c>
      <c r="BJ69" s="19"/>
      <c r="BK69" s="19">
        <f t="shared" si="8"/>
        <v>304566</v>
      </c>
      <c r="BL69" s="19">
        <v>304566</v>
      </c>
      <c r="BM69" s="19"/>
      <c r="BN69" s="19">
        <f>SUM(BO69:BY69)</f>
        <v>540365</v>
      </c>
      <c r="BO69" s="19">
        <v>0</v>
      </c>
      <c r="BP69" s="19">
        <v>0</v>
      </c>
      <c r="BQ69" s="23">
        <v>13671</v>
      </c>
      <c r="BR69" s="19">
        <v>0</v>
      </c>
      <c r="BS69" s="19">
        <v>0</v>
      </c>
      <c r="BT69" s="19">
        <v>0</v>
      </c>
      <c r="BU69" s="19">
        <v>0</v>
      </c>
      <c r="BV69" s="19">
        <v>0</v>
      </c>
      <c r="BW69" s="19">
        <v>0</v>
      </c>
      <c r="BX69" s="23">
        <v>494422</v>
      </c>
      <c r="BY69" s="23">
        <v>32272</v>
      </c>
      <c r="BZ69" s="19">
        <f>SUM(CA69+CS69)</f>
        <v>15886146</v>
      </c>
      <c r="CA69" s="19">
        <f>SUM(CB69+CE69+CK69)</f>
        <v>10886146</v>
      </c>
      <c r="CB69" s="19">
        <f t="shared" si="9"/>
        <v>6812481</v>
      </c>
      <c r="CC69" s="19">
        <v>0</v>
      </c>
      <c r="CD69" s="23">
        <f>6528329+284152</f>
        <v>6812481</v>
      </c>
      <c r="CE69" s="19">
        <f>SUM(CF69:CJ69)</f>
        <v>194583</v>
      </c>
      <c r="CF69" s="19">
        <v>0</v>
      </c>
      <c r="CG69" s="19">
        <v>0</v>
      </c>
      <c r="CH69" s="23">
        <v>194583</v>
      </c>
      <c r="CI69" s="23"/>
      <c r="CJ69" s="23"/>
      <c r="CK69" s="19">
        <f>SUM(CL69:CP69)</f>
        <v>3879082</v>
      </c>
      <c r="CL69" s="23"/>
      <c r="CM69" s="23">
        <v>442696</v>
      </c>
      <c r="CN69" s="51">
        <v>3436386</v>
      </c>
      <c r="CO69" s="19"/>
      <c r="CP69" s="19"/>
      <c r="CQ69" s="19"/>
      <c r="CR69" s="19"/>
      <c r="CS69" s="19">
        <v>5000000</v>
      </c>
      <c r="CT69" s="19"/>
      <c r="CU69" s="19"/>
      <c r="CV69" s="19"/>
      <c r="CW69" s="19">
        <f t="shared" si="10"/>
        <v>0</v>
      </c>
      <c r="CX69" s="19">
        <f t="shared" si="11"/>
        <v>0</v>
      </c>
      <c r="CY69" s="19">
        <v>0</v>
      </c>
      <c r="CZ69" s="20">
        <v>0</v>
      </c>
    </row>
    <row r="70" spans="1:105" s="58" customFormat="1" ht="31.5" x14ac:dyDescent="0.25">
      <c r="A70" s="79" t="s">
        <v>155</v>
      </c>
      <c r="B70" s="16" t="s">
        <v>1</v>
      </c>
      <c r="C70" s="17" t="s">
        <v>359</v>
      </c>
      <c r="D70" s="18">
        <f>SUM(D71:D72)</f>
        <v>120963609</v>
      </c>
      <c r="E70" s="18">
        <f t="shared" ref="E70:BT70" si="99">SUM(E71:E72)</f>
        <v>117283493</v>
      </c>
      <c r="F70" s="18">
        <f t="shared" si="99"/>
        <v>117135083</v>
      </c>
      <c r="G70" s="18">
        <f t="shared" si="99"/>
        <v>68224189</v>
      </c>
      <c r="H70" s="18">
        <f t="shared" si="99"/>
        <v>2732236</v>
      </c>
      <c r="I70" s="18">
        <f t="shared" si="99"/>
        <v>30771220</v>
      </c>
      <c r="J70" s="18">
        <f t="shared" si="99"/>
        <v>716844</v>
      </c>
      <c r="K70" s="18">
        <f t="shared" si="99"/>
        <v>6266735</v>
      </c>
      <c r="L70" s="18">
        <f t="shared" si="99"/>
        <v>18805995</v>
      </c>
      <c r="M70" s="18">
        <f t="shared" si="99"/>
        <v>0</v>
      </c>
      <c r="N70" s="18">
        <f t="shared" si="99"/>
        <v>3783261</v>
      </c>
      <c r="O70" s="18">
        <f t="shared" si="99"/>
        <v>1198385</v>
      </c>
      <c r="P70" s="18">
        <f t="shared" si="99"/>
        <v>3130</v>
      </c>
      <c r="Q70" s="18">
        <f t="shared" si="99"/>
        <v>3130</v>
      </c>
      <c r="R70" s="18">
        <f t="shared" si="99"/>
        <v>0</v>
      </c>
      <c r="S70" s="18">
        <f t="shared" si="99"/>
        <v>0</v>
      </c>
      <c r="T70" s="18">
        <f t="shared" si="99"/>
        <v>445384</v>
      </c>
      <c r="U70" s="18">
        <f t="shared" si="99"/>
        <v>8373852</v>
      </c>
      <c r="V70" s="18">
        <f t="shared" si="99"/>
        <v>877013</v>
      </c>
      <c r="W70" s="18">
        <f t="shared" si="99"/>
        <v>55167</v>
      </c>
      <c r="X70" s="18">
        <f t="shared" si="99"/>
        <v>3871094</v>
      </c>
      <c r="Y70" s="18">
        <f t="shared" si="99"/>
        <v>2898920</v>
      </c>
      <c r="Z70" s="18">
        <f t="shared" si="99"/>
        <v>181454</v>
      </c>
      <c r="AA70" s="18">
        <f t="shared" si="99"/>
        <v>42233</v>
      </c>
      <c r="AB70" s="18">
        <f t="shared" si="99"/>
        <v>0</v>
      </c>
      <c r="AC70" s="18">
        <f t="shared" si="99"/>
        <v>447971</v>
      </c>
      <c r="AD70" s="18">
        <f t="shared" si="99"/>
        <v>6585072</v>
      </c>
      <c r="AE70" s="18">
        <f t="shared" si="99"/>
        <v>0</v>
      </c>
      <c r="AF70" s="18">
        <f t="shared" si="99"/>
        <v>0</v>
      </c>
      <c r="AG70" s="18">
        <f t="shared" si="99"/>
        <v>6936</v>
      </c>
      <c r="AH70" s="18">
        <f t="shared" si="99"/>
        <v>687137</v>
      </c>
      <c r="AI70" s="18">
        <f t="shared" si="99"/>
        <v>0</v>
      </c>
      <c r="AJ70" s="18">
        <f t="shared" si="99"/>
        <v>0</v>
      </c>
      <c r="AK70" s="18">
        <f t="shared" si="99"/>
        <v>37979</v>
      </c>
      <c r="AL70" s="18">
        <f t="shared" si="99"/>
        <v>0</v>
      </c>
      <c r="AM70" s="18">
        <f t="shared" si="99"/>
        <v>82025</v>
      </c>
      <c r="AN70" s="18">
        <f t="shared" si="99"/>
        <v>13386</v>
      </c>
      <c r="AO70" s="18">
        <f t="shared" si="99"/>
        <v>0</v>
      </c>
      <c r="AP70" s="18"/>
      <c r="AQ70" s="18">
        <f t="shared" si="99"/>
        <v>399815</v>
      </c>
      <c r="AR70" s="18">
        <f t="shared" si="99"/>
        <v>138774</v>
      </c>
      <c r="AS70" s="18">
        <f t="shared" si="99"/>
        <v>0</v>
      </c>
      <c r="AT70" s="18"/>
      <c r="AU70" s="18"/>
      <c r="AV70" s="18">
        <f t="shared" si="99"/>
        <v>0</v>
      </c>
      <c r="AW70" s="18">
        <f t="shared" si="99"/>
        <v>4459877</v>
      </c>
      <c r="AX70" s="18">
        <f t="shared" si="99"/>
        <v>562469</v>
      </c>
      <c r="AY70" s="18"/>
      <c r="AZ70" s="18">
        <f t="shared" si="99"/>
        <v>196674</v>
      </c>
      <c r="BA70" s="18">
        <f t="shared" si="99"/>
        <v>148410</v>
      </c>
      <c r="BB70" s="18">
        <f t="shared" si="99"/>
        <v>0</v>
      </c>
      <c r="BC70" s="18">
        <f t="shared" si="99"/>
        <v>0</v>
      </c>
      <c r="BD70" s="18">
        <f t="shared" si="99"/>
        <v>0</v>
      </c>
      <c r="BE70" s="18">
        <f t="shared" si="99"/>
        <v>0</v>
      </c>
      <c r="BF70" s="18">
        <f t="shared" si="99"/>
        <v>0</v>
      </c>
      <c r="BG70" s="18">
        <f t="shared" si="99"/>
        <v>0</v>
      </c>
      <c r="BH70" s="18">
        <f t="shared" si="99"/>
        <v>0</v>
      </c>
      <c r="BI70" s="18">
        <f t="shared" si="99"/>
        <v>0</v>
      </c>
      <c r="BJ70" s="18">
        <f t="shared" ref="BJ70" si="100">SUM(BJ71:BJ72)</f>
        <v>0</v>
      </c>
      <c r="BK70" s="18">
        <f t="shared" si="99"/>
        <v>148410</v>
      </c>
      <c r="BL70" s="18">
        <f t="shared" si="99"/>
        <v>148410</v>
      </c>
      <c r="BM70" s="18">
        <f t="shared" ref="BM70" si="101">SUM(BM71:BM72)</f>
        <v>0</v>
      </c>
      <c r="BN70" s="18">
        <f t="shared" si="99"/>
        <v>0</v>
      </c>
      <c r="BO70" s="18">
        <f t="shared" si="99"/>
        <v>0</v>
      </c>
      <c r="BP70" s="18">
        <f t="shared" si="99"/>
        <v>0</v>
      </c>
      <c r="BQ70" s="18">
        <f t="shared" si="99"/>
        <v>0</v>
      </c>
      <c r="BR70" s="18">
        <f t="shared" si="99"/>
        <v>0</v>
      </c>
      <c r="BS70" s="18">
        <f t="shared" si="99"/>
        <v>0</v>
      </c>
      <c r="BT70" s="18">
        <f t="shared" si="99"/>
        <v>0</v>
      </c>
      <c r="BU70" s="18">
        <f t="shared" ref="BU70:CZ70" si="102">SUM(BU71:BU72)</f>
        <v>0</v>
      </c>
      <c r="BV70" s="18">
        <f t="shared" si="102"/>
        <v>0</v>
      </c>
      <c r="BW70" s="18">
        <f t="shared" si="102"/>
        <v>0</v>
      </c>
      <c r="BX70" s="18">
        <f t="shared" si="102"/>
        <v>0</v>
      </c>
      <c r="BY70" s="18">
        <f t="shared" si="102"/>
        <v>0</v>
      </c>
      <c r="BZ70" s="18">
        <f t="shared" si="102"/>
        <v>3680116</v>
      </c>
      <c r="CA70" s="18">
        <f t="shared" si="102"/>
        <v>3680116</v>
      </c>
      <c r="CB70" s="18">
        <f t="shared" si="102"/>
        <v>997616</v>
      </c>
      <c r="CC70" s="18">
        <f t="shared" si="102"/>
        <v>0</v>
      </c>
      <c r="CD70" s="18">
        <f t="shared" si="102"/>
        <v>997616</v>
      </c>
      <c r="CE70" s="18">
        <f t="shared" si="102"/>
        <v>1962500</v>
      </c>
      <c r="CF70" s="18">
        <f t="shared" si="102"/>
        <v>0</v>
      </c>
      <c r="CG70" s="18">
        <f t="shared" ref="CG70:CH70" si="103">SUM(CG71:CG72)</f>
        <v>0</v>
      </c>
      <c r="CH70" s="18">
        <f t="shared" si="103"/>
        <v>1962500</v>
      </c>
      <c r="CI70" s="18">
        <f t="shared" si="102"/>
        <v>0</v>
      </c>
      <c r="CJ70" s="18">
        <f t="shared" ref="CJ70" si="104">SUM(CJ71:CJ72)</f>
        <v>0</v>
      </c>
      <c r="CK70" s="18">
        <f t="shared" si="102"/>
        <v>720000</v>
      </c>
      <c r="CL70" s="18">
        <f t="shared" si="102"/>
        <v>0</v>
      </c>
      <c r="CM70" s="18">
        <f t="shared" ref="CM70" si="105">SUM(CM71:CM72)</f>
        <v>0</v>
      </c>
      <c r="CN70" s="18">
        <f t="shared" si="102"/>
        <v>720000</v>
      </c>
      <c r="CO70" s="18"/>
      <c r="CP70" s="18"/>
      <c r="CQ70" s="18"/>
      <c r="CR70" s="18"/>
      <c r="CS70" s="18">
        <f t="shared" si="102"/>
        <v>0</v>
      </c>
      <c r="CT70" s="18"/>
      <c r="CU70" s="18"/>
      <c r="CV70" s="18"/>
      <c r="CW70" s="18">
        <f t="shared" si="102"/>
        <v>0</v>
      </c>
      <c r="CX70" s="18">
        <f t="shared" si="102"/>
        <v>0</v>
      </c>
      <c r="CY70" s="18">
        <f t="shared" si="102"/>
        <v>0</v>
      </c>
      <c r="CZ70" s="46">
        <f t="shared" si="102"/>
        <v>0</v>
      </c>
      <c r="DA70" s="57"/>
    </row>
    <row r="71" spans="1:105" ht="15.75" x14ac:dyDescent="0.25">
      <c r="A71" s="80" t="s">
        <v>1</v>
      </c>
      <c r="B71" s="21" t="s">
        <v>156</v>
      </c>
      <c r="C71" s="22" t="s">
        <v>157</v>
      </c>
      <c r="D71" s="18">
        <f>SUM(E71+BZ71+CW71)</f>
        <v>8050516</v>
      </c>
      <c r="E71" s="19">
        <f>SUM(F71+BA71)</f>
        <v>7761368</v>
      </c>
      <c r="F71" s="19">
        <f t="shared" ref="F71:F72" si="106">SUM(G71+H71+I71+P71+S71+T71+U71+AD71)</f>
        <v>7761368</v>
      </c>
      <c r="G71" s="23">
        <v>6331904</v>
      </c>
      <c r="H71" s="23">
        <v>164483</v>
      </c>
      <c r="I71" s="19">
        <f t="shared" si="6"/>
        <v>465528</v>
      </c>
      <c r="J71" s="23">
        <v>0</v>
      </c>
      <c r="K71" s="23">
        <v>150685</v>
      </c>
      <c r="L71" s="23">
        <v>0</v>
      </c>
      <c r="M71" s="23">
        <v>0</v>
      </c>
      <c r="N71" s="23">
        <v>240784</v>
      </c>
      <c r="O71" s="23">
        <v>74059</v>
      </c>
      <c r="P71" s="19">
        <f t="shared" si="7"/>
        <v>0</v>
      </c>
      <c r="Q71" s="23">
        <v>0</v>
      </c>
      <c r="R71" s="23">
        <v>0</v>
      </c>
      <c r="S71" s="23">
        <v>0</v>
      </c>
      <c r="T71" s="23">
        <v>238740</v>
      </c>
      <c r="U71" s="19">
        <f t="shared" ref="U71:U72" si="107">SUM(V71:AC71)</f>
        <v>101155</v>
      </c>
      <c r="V71" s="23">
        <v>0</v>
      </c>
      <c r="W71" s="23">
        <f>50102+141</f>
        <v>50243</v>
      </c>
      <c r="X71" s="23">
        <v>39802</v>
      </c>
      <c r="Y71" s="23">
        <v>8642</v>
      </c>
      <c r="Z71" s="23">
        <v>1322</v>
      </c>
      <c r="AA71" s="23">
        <v>0</v>
      </c>
      <c r="AB71" s="23">
        <v>0</v>
      </c>
      <c r="AC71" s="23">
        <v>1146</v>
      </c>
      <c r="AD71" s="19">
        <f>SUM(AE71:AZ71)</f>
        <v>459558</v>
      </c>
      <c r="AE71" s="19">
        <v>0</v>
      </c>
      <c r="AF71" s="19">
        <v>0</v>
      </c>
      <c r="AG71" s="23">
        <v>0</v>
      </c>
      <c r="AH71" s="23">
        <v>0</v>
      </c>
      <c r="AI71" s="23">
        <v>0</v>
      </c>
      <c r="AJ71" s="23">
        <v>0</v>
      </c>
      <c r="AK71" s="23">
        <v>0</v>
      </c>
      <c r="AL71" s="23">
        <v>0</v>
      </c>
      <c r="AM71" s="23">
        <v>0</v>
      </c>
      <c r="AN71" s="23">
        <v>0</v>
      </c>
      <c r="AO71" s="23">
        <v>0</v>
      </c>
      <c r="AP71" s="23"/>
      <c r="AQ71" s="23">
        <v>0</v>
      </c>
      <c r="AR71" s="23">
        <v>0</v>
      </c>
      <c r="AS71" s="23">
        <v>0</v>
      </c>
      <c r="AT71" s="23">
        <v>0</v>
      </c>
      <c r="AU71" s="23">
        <v>0</v>
      </c>
      <c r="AV71" s="23">
        <v>0</v>
      </c>
      <c r="AW71" s="23">
        <v>459558</v>
      </c>
      <c r="AX71" s="23">
        <v>0</v>
      </c>
      <c r="AY71" s="23">
        <v>0</v>
      </c>
      <c r="AZ71" s="23">
        <v>0</v>
      </c>
      <c r="BA71" s="19">
        <f>SUM(BB71+BF71+BI71+BK71+BN71)</f>
        <v>0</v>
      </c>
      <c r="BB71" s="19">
        <f>SUM(BC71:BE71)</f>
        <v>0</v>
      </c>
      <c r="BC71" s="19">
        <v>0</v>
      </c>
      <c r="BD71" s="19">
        <v>0</v>
      </c>
      <c r="BE71" s="19">
        <v>0</v>
      </c>
      <c r="BF71" s="19">
        <f>SUM(BH71:BH71)</f>
        <v>0</v>
      </c>
      <c r="BG71" s="19">
        <v>0</v>
      </c>
      <c r="BH71" s="19">
        <v>0</v>
      </c>
      <c r="BI71" s="19">
        <v>0</v>
      </c>
      <c r="BJ71" s="19">
        <v>0</v>
      </c>
      <c r="BK71" s="19">
        <f t="shared" si="8"/>
        <v>0</v>
      </c>
      <c r="BL71" s="19">
        <v>0</v>
      </c>
      <c r="BM71" s="19">
        <v>0</v>
      </c>
      <c r="BN71" s="19">
        <f>SUM(BO71:BY71)</f>
        <v>0</v>
      </c>
      <c r="BO71" s="19">
        <v>0</v>
      </c>
      <c r="BP71" s="19">
        <v>0</v>
      </c>
      <c r="BQ71" s="19">
        <v>0</v>
      </c>
      <c r="BR71" s="19">
        <v>0</v>
      </c>
      <c r="BS71" s="19">
        <v>0</v>
      </c>
      <c r="BT71" s="19">
        <v>0</v>
      </c>
      <c r="BU71" s="19">
        <v>0</v>
      </c>
      <c r="BV71" s="19">
        <v>0</v>
      </c>
      <c r="BW71" s="19">
        <v>0</v>
      </c>
      <c r="BX71" s="19">
        <v>0</v>
      </c>
      <c r="BY71" s="19">
        <v>0</v>
      </c>
      <c r="BZ71" s="19">
        <f>SUM(CA71+CS71)</f>
        <v>289148</v>
      </c>
      <c r="CA71" s="19">
        <f>SUM(CB71+CE71+CK71)</f>
        <v>289148</v>
      </c>
      <c r="CB71" s="19">
        <f t="shared" si="9"/>
        <v>126648</v>
      </c>
      <c r="CC71" s="19">
        <v>0</v>
      </c>
      <c r="CD71" s="23">
        <v>126648</v>
      </c>
      <c r="CE71" s="19">
        <f>SUM(CF71:CJ71)</f>
        <v>162500</v>
      </c>
      <c r="CF71" s="19">
        <v>0</v>
      </c>
      <c r="CG71" s="19">
        <v>0</v>
      </c>
      <c r="CH71" s="19">
        <v>162500</v>
      </c>
      <c r="CI71" s="19">
        <v>0</v>
      </c>
      <c r="CJ71" s="19">
        <v>0</v>
      </c>
      <c r="CK71" s="19">
        <f>SUM(CL71:CP71)</f>
        <v>0</v>
      </c>
      <c r="CL71" s="19">
        <v>0</v>
      </c>
      <c r="CM71" s="19">
        <v>0</v>
      </c>
      <c r="CN71" s="19">
        <v>0</v>
      </c>
      <c r="CO71" s="19"/>
      <c r="CP71" s="19"/>
      <c r="CQ71" s="19"/>
      <c r="CR71" s="19"/>
      <c r="CS71" s="19">
        <v>0</v>
      </c>
      <c r="CT71" s="19"/>
      <c r="CU71" s="19"/>
      <c r="CV71" s="19"/>
      <c r="CW71" s="19">
        <f t="shared" si="10"/>
        <v>0</v>
      </c>
      <c r="CX71" s="19">
        <f t="shared" si="11"/>
        <v>0</v>
      </c>
      <c r="CY71" s="19">
        <v>0</v>
      </c>
      <c r="CZ71" s="20">
        <v>0</v>
      </c>
    </row>
    <row r="72" spans="1:105" ht="15.75" x14ac:dyDescent="0.25">
      <c r="A72" s="80" t="s">
        <v>1</v>
      </c>
      <c r="B72" s="21" t="s">
        <v>158</v>
      </c>
      <c r="C72" s="22" t="s">
        <v>159</v>
      </c>
      <c r="D72" s="18">
        <f>SUM(E72+BZ72+CW72)</f>
        <v>112913093</v>
      </c>
      <c r="E72" s="19">
        <f>SUM(F72+BA72)</f>
        <v>109522125</v>
      </c>
      <c r="F72" s="19">
        <f t="shared" si="106"/>
        <v>109373715</v>
      </c>
      <c r="G72" s="23">
        <v>61892285</v>
      </c>
      <c r="H72" s="23">
        <v>2567753</v>
      </c>
      <c r="I72" s="19">
        <f t="shared" si="6"/>
        <v>30305692</v>
      </c>
      <c r="J72" s="23">
        <v>716844</v>
      </c>
      <c r="K72" s="23">
        <v>6116050</v>
      </c>
      <c r="L72" s="23">
        <v>18805995</v>
      </c>
      <c r="M72" s="23">
        <v>0</v>
      </c>
      <c r="N72" s="23">
        <v>3542477</v>
      </c>
      <c r="O72" s="23">
        <v>1124326</v>
      </c>
      <c r="P72" s="19">
        <f t="shared" si="7"/>
        <v>3130</v>
      </c>
      <c r="Q72" s="23">
        <v>3130</v>
      </c>
      <c r="R72" s="23">
        <v>0</v>
      </c>
      <c r="S72" s="23">
        <v>0</v>
      </c>
      <c r="T72" s="23">
        <v>206644</v>
      </c>
      <c r="U72" s="19">
        <f t="shared" si="107"/>
        <v>8272697</v>
      </c>
      <c r="V72" s="23">
        <v>877013</v>
      </c>
      <c r="W72" s="23">
        <v>4924</v>
      </c>
      <c r="X72" s="23">
        <v>3831292</v>
      </c>
      <c r="Y72" s="23">
        <v>2890278</v>
      </c>
      <c r="Z72" s="23">
        <v>180132</v>
      </c>
      <c r="AA72" s="23">
        <v>42233</v>
      </c>
      <c r="AB72" s="23">
        <v>0</v>
      </c>
      <c r="AC72" s="23">
        <v>446825</v>
      </c>
      <c r="AD72" s="19">
        <f>SUM(AE72:AZ72)</f>
        <v>6125514</v>
      </c>
      <c r="AE72" s="19">
        <v>0</v>
      </c>
      <c r="AF72" s="19">
        <v>0</v>
      </c>
      <c r="AG72" s="23">
        <v>6936</v>
      </c>
      <c r="AH72" s="23">
        <v>687137</v>
      </c>
      <c r="AI72" s="23">
        <v>0</v>
      </c>
      <c r="AJ72" s="23">
        <v>0</v>
      </c>
      <c r="AK72" s="23">
        <v>37979</v>
      </c>
      <c r="AL72" s="23">
        <v>0</v>
      </c>
      <c r="AM72" s="23">
        <v>82025</v>
      </c>
      <c r="AN72" s="23">
        <v>13386</v>
      </c>
      <c r="AO72" s="23">
        <v>0</v>
      </c>
      <c r="AP72" s="23"/>
      <c r="AQ72" s="23">
        <v>399815</v>
      </c>
      <c r="AR72" s="23">
        <v>138774</v>
      </c>
      <c r="AS72" s="23">
        <v>0</v>
      </c>
      <c r="AT72" s="23">
        <v>0</v>
      </c>
      <c r="AU72" s="23">
        <v>0</v>
      </c>
      <c r="AV72" s="23">
        <v>0</v>
      </c>
      <c r="AW72" s="23">
        <v>4000319</v>
      </c>
      <c r="AX72" s="23">
        <v>562469</v>
      </c>
      <c r="AY72" s="23">
        <v>0</v>
      </c>
      <c r="AZ72" s="23">
        <v>196674</v>
      </c>
      <c r="BA72" s="19">
        <f>SUM(BB72+BF72+BI72+BK72+BN72)</f>
        <v>148410</v>
      </c>
      <c r="BB72" s="19">
        <f>SUM(BC72:BE72)</f>
        <v>0</v>
      </c>
      <c r="BC72" s="19">
        <v>0</v>
      </c>
      <c r="BD72" s="19">
        <v>0</v>
      </c>
      <c r="BE72" s="19">
        <v>0</v>
      </c>
      <c r="BF72" s="19">
        <f>SUM(BH72:BH72)</f>
        <v>0</v>
      </c>
      <c r="BG72" s="19">
        <v>0</v>
      </c>
      <c r="BH72" s="19">
        <v>0</v>
      </c>
      <c r="BI72" s="19">
        <v>0</v>
      </c>
      <c r="BJ72" s="19"/>
      <c r="BK72" s="19">
        <f t="shared" si="8"/>
        <v>148410</v>
      </c>
      <c r="BL72" s="19">
        <v>148410</v>
      </c>
      <c r="BM72" s="19"/>
      <c r="BN72" s="19">
        <f>SUM(BO72:BY72)</f>
        <v>0</v>
      </c>
      <c r="BO72" s="19">
        <v>0</v>
      </c>
      <c r="BP72" s="19">
        <v>0</v>
      </c>
      <c r="BQ72" s="19">
        <v>0</v>
      </c>
      <c r="BR72" s="19">
        <v>0</v>
      </c>
      <c r="BS72" s="19">
        <v>0</v>
      </c>
      <c r="BT72" s="19">
        <v>0</v>
      </c>
      <c r="BU72" s="19">
        <v>0</v>
      </c>
      <c r="BV72" s="19">
        <v>0</v>
      </c>
      <c r="BW72" s="19">
        <v>0</v>
      </c>
      <c r="BX72" s="19">
        <v>0</v>
      </c>
      <c r="BY72" s="19">
        <v>0</v>
      </c>
      <c r="BZ72" s="19">
        <f>SUM(CA72+CS72)</f>
        <v>3390968</v>
      </c>
      <c r="CA72" s="19">
        <f>SUM(CB72+CE72+CK72)</f>
        <v>3390968</v>
      </c>
      <c r="CB72" s="19">
        <f t="shared" si="9"/>
        <v>870968</v>
      </c>
      <c r="CC72" s="19">
        <v>0</v>
      </c>
      <c r="CD72" s="23">
        <v>870968</v>
      </c>
      <c r="CE72" s="19">
        <f>SUM(CF72:CJ72)</f>
        <v>1800000</v>
      </c>
      <c r="CF72" s="19">
        <v>0</v>
      </c>
      <c r="CG72" s="19">
        <v>0</v>
      </c>
      <c r="CH72" s="19">
        <v>1800000</v>
      </c>
      <c r="CI72" s="19">
        <v>0</v>
      </c>
      <c r="CJ72" s="19">
        <v>0</v>
      </c>
      <c r="CK72" s="19">
        <f>SUM(CL72:CP72)</f>
        <v>720000</v>
      </c>
      <c r="CL72" s="19">
        <v>0</v>
      </c>
      <c r="CM72" s="19">
        <v>0</v>
      </c>
      <c r="CN72" s="19">
        <v>720000</v>
      </c>
      <c r="CO72" s="19"/>
      <c r="CP72" s="19"/>
      <c r="CQ72" s="19"/>
      <c r="CR72" s="19"/>
      <c r="CS72" s="19">
        <v>0</v>
      </c>
      <c r="CT72" s="19"/>
      <c r="CU72" s="19"/>
      <c r="CV72" s="19"/>
      <c r="CW72" s="19">
        <f t="shared" si="10"/>
        <v>0</v>
      </c>
      <c r="CX72" s="19">
        <f t="shared" si="11"/>
        <v>0</v>
      </c>
      <c r="CY72" s="19">
        <v>0</v>
      </c>
      <c r="CZ72" s="20">
        <v>0</v>
      </c>
    </row>
    <row r="73" spans="1:105" s="58" customFormat="1" ht="31.5" x14ac:dyDescent="0.25">
      <c r="A73" s="79" t="s">
        <v>160</v>
      </c>
      <c r="B73" s="16" t="s">
        <v>1</v>
      </c>
      <c r="C73" s="17" t="s">
        <v>161</v>
      </c>
      <c r="D73" s="18">
        <f t="shared" ref="D73:AJ73" si="108">SUM(D74)</f>
        <v>128416869</v>
      </c>
      <c r="E73" s="18">
        <f t="shared" si="108"/>
        <v>127021742</v>
      </c>
      <c r="F73" s="18">
        <f t="shared" si="108"/>
        <v>126472239</v>
      </c>
      <c r="G73" s="18">
        <f t="shared" si="108"/>
        <v>97294910</v>
      </c>
      <c r="H73" s="18">
        <f t="shared" si="108"/>
        <v>1089595</v>
      </c>
      <c r="I73" s="18">
        <f t="shared" si="108"/>
        <v>11362504</v>
      </c>
      <c r="J73" s="18">
        <f t="shared" si="108"/>
        <v>216741</v>
      </c>
      <c r="K73" s="18">
        <f t="shared" si="108"/>
        <v>4544814</v>
      </c>
      <c r="L73" s="18">
        <f t="shared" si="108"/>
        <v>1178204</v>
      </c>
      <c r="M73" s="18">
        <f t="shared" si="108"/>
        <v>410849</v>
      </c>
      <c r="N73" s="18">
        <f t="shared" si="108"/>
        <v>4435689</v>
      </c>
      <c r="O73" s="18">
        <f t="shared" si="108"/>
        <v>576207</v>
      </c>
      <c r="P73" s="18">
        <f t="shared" si="108"/>
        <v>6474326</v>
      </c>
      <c r="Q73" s="18">
        <f t="shared" si="108"/>
        <v>34326</v>
      </c>
      <c r="R73" s="18">
        <f t="shared" si="108"/>
        <v>6440000</v>
      </c>
      <c r="S73" s="18">
        <f t="shared" si="108"/>
        <v>0</v>
      </c>
      <c r="T73" s="18">
        <f t="shared" si="108"/>
        <v>598740</v>
      </c>
      <c r="U73" s="18">
        <f t="shared" si="108"/>
        <v>1817802</v>
      </c>
      <c r="V73" s="18">
        <f t="shared" si="108"/>
        <v>67985</v>
      </c>
      <c r="W73" s="18">
        <f t="shared" si="108"/>
        <v>526839</v>
      </c>
      <c r="X73" s="18">
        <f t="shared" si="108"/>
        <v>1038216</v>
      </c>
      <c r="Y73" s="18">
        <f t="shared" si="108"/>
        <v>124463</v>
      </c>
      <c r="Z73" s="18">
        <f t="shared" si="108"/>
        <v>31357</v>
      </c>
      <c r="AA73" s="18">
        <f t="shared" si="108"/>
        <v>0</v>
      </c>
      <c r="AB73" s="18">
        <f t="shared" si="108"/>
        <v>0</v>
      </c>
      <c r="AC73" s="18">
        <f t="shared" si="108"/>
        <v>28942</v>
      </c>
      <c r="AD73" s="18">
        <f t="shared" si="108"/>
        <v>7834362</v>
      </c>
      <c r="AE73" s="18">
        <f t="shared" si="108"/>
        <v>0</v>
      </c>
      <c r="AF73" s="18">
        <f t="shared" si="108"/>
        <v>0</v>
      </c>
      <c r="AG73" s="18">
        <f t="shared" si="108"/>
        <v>99428</v>
      </c>
      <c r="AH73" s="18">
        <f t="shared" si="108"/>
        <v>372085</v>
      </c>
      <c r="AI73" s="18">
        <f t="shared" si="108"/>
        <v>0</v>
      </c>
      <c r="AJ73" s="18">
        <f t="shared" si="108"/>
        <v>11442</v>
      </c>
      <c r="AK73" s="18">
        <f t="shared" ref="AK73:CZ73" si="109">SUM(AK74)</f>
        <v>45422</v>
      </c>
      <c r="AL73" s="18">
        <f t="shared" si="109"/>
        <v>7663</v>
      </c>
      <c r="AM73" s="18">
        <f t="shared" si="109"/>
        <v>158199</v>
      </c>
      <c r="AN73" s="18">
        <f t="shared" si="109"/>
        <v>18042</v>
      </c>
      <c r="AO73" s="18">
        <f t="shared" si="109"/>
        <v>1720</v>
      </c>
      <c r="AP73" s="18"/>
      <c r="AQ73" s="18">
        <f t="shared" si="109"/>
        <v>240539</v>
      </c>
      <c r="AR73" s="18">
        <f t="shared" si="109"/>
        <v>0</v>
      </c>
      <c r="AS73" s="18">
        <f t="shared" si="109"/>
        <v>0</v>
      </c>
      <c r="AT73" s="18"/>
      <c r="AU73" s="18"/>
      <c r="AV73" s="18">
        <f t="shared" si="109"/>
        <v>0</v>
      </c>
      <c r="AW73" s="18">
        <f t="shared" si="109"/>
        <v>6300000</v>
      </c>
      <c r="AX73" s="18">
        <f t="shared" si="109"/>
        <v>0</v>
      </c>
      <c r="AY73" s="18"/>
      <c r="AZ73" s="18">
        <f t="shared" si="109"/>
        <v>579822</v>
      </c>
      <c r="BA73" s="18">
        <f t="shared" si="109"/>
        <v>549503</v>
      </c>
      <c r="BB73" s="18">
        <f t="shared" si="109"/>
        <v>0</v>
      </c>
      <c r="BC73" s="18">
        <f t="shared" si="109"/>
        <v>0</v>
      </c>
      <c r="BD73" s="18">
        <f t="shared" si="109"/>
        <v>0</v>
      </c>
      <c r="BE73" s="18">
        <f t="shared" si="109"/>
        <v>0</v>
      </c>
      <c r="BF73" s="18">
        <f t="shared" si="109"/>
        <v>0</v>
      </c>
      <c r="BG73" s="18">
        <f t="shared" si="109"/>
        <v>0</v>
      </c>
      <c r="BH73" s="18">
        <f t="shared" si="109"/>
        <v>0</v>
      </c>
      <c r="BI73" s="18">
        <f t="shared" si="109"/>
        <v>0</v>
      </c>
      <c r="BJ73" s="18">
        <f t="shared" si="109"/>
        <v>0</v>
      </c>
      <c r="BK73" s="18">
        <f t="shared" si="109"/>
        <v>133400</v>
      </c>
      <c r="BL73" s="18">
        <f t="shared" si="109"/>
        <v>133400</v>
      </c>
      <c r="BM73" s="18">
        <f t="shared" si="109"/>
        <v>0</v>
      </c>
      <c r="BN73" s="18">
        <f t="shared" si="109"/>
        <v>416103</v>
      </c>
      <c r="BO73" s="18">
        <f t="shared" si="109"/>
        <v>0</v>
      </c>
      <c r="BP73" s="18">
        <f t="shared" si="109"/>
        <v>0</v>
      </c>
      <c r="BQ73" s="18">
        <f t="shared" si="109"/>
        <v>0</v>
      </c>
      <c r="BR73" s="18">
        <f t="shared" si="109"/>
        <v>0</v>
      </c>
      <c r="BS73" s="18">
        <f t="shared" si="109"/>
        <v>0</v>
      </c>
      <c r="BT73" s="18">
        <f t="shared" si="109"/>
        <v>0</v>
      </c>
      <c r="BU73" s="18">
        <f t="shared" si="109"/>
        <v>0</v>
      </c>
      <c r="BV73" s="18">
        <f t="shared" si="109"/>
        <v>0</v>
      </c>
      <c r="BW73" s="18">
        <f t="shared" si="109"/>
        <v>0</v>
      </c>
      <c r="BX73" s="18">
        <f t="shared" si="109"/>
        <v>0</v>
      </c>
      <c r="BY73" s="18">
        <f t="shared" si="109"/>
        <v>416103</v>
      </c>
      <c r="BZ73" s="18">
        <f t="shared" si="109"/>
        <v>1395127</v>
      </c>
      <c r="CA73" s="18">
        <f t="shared" si="109"/>
        <v>1395127</v>
      </c>
      <c r="CB73" s="18">
        <f t="shared" si="109"/>
        <v>856948</v>
      </c>
      <c r="CC73" s="18">
        <f t="shared" si="109"/>
        <v>0</v>
      </c>
      <c r="CD73" s="18">
        <f t="shared" si="109"/>
        <v>856948</v>
      </c>
      <c r="CE73" s="18">
        <f t="shared" si="109"/>
        <v>74579</v>
      </c>
      <c r="CF73" s="18">
        <f t="shared" si="109"/>
        <v>0</v>
      </c>
      <c r="CG73" s="18">
        <f t="shared" si="109"/>
        <v>0</v>
      </c>
      <c r="CH73" s="18">
        <f t="shared" si="109"/>
        <v>74579</v>
      </c>
      <c r="CI73" s="18">
        <f t="shared" si="109"/>
        <v>0</v>
      </c>
      <c r="CJ73" s="18">
        <f t="shared" si="109"/>
        <v>0</v>
      </c>
      <c r="CK73" s="18">
        <f t="shared" si="109"/>
        <v>463600</v>
      </c>
      <c r="CL73" s="18">
        <f t="shared" si="109"/>
        <v>0</v>
      </c>
      <c r="CM73" s="18">
        <f t="shared" si="109"/>
        <v>0</v>
      </c>
      <c r="CN73" s="18">
        <f t="shared" si="109"/>
        <v>463600</v>
      </c>
      <c r="CO73" s="18"/>
      <c r="CP73" s="18"/>
      <c r="CQ73" s="18"/>
      <c r="CR73" s="18"/>
      <c r="CS73" s="18">
        <f t="shared" si="109"/>
        <v>0</v>
      </c>
      <c r="CT73" s="18"/>
      <c r="CU73" s="18"/>
      <c r="CV73" s="18"/>
      <c r="CW73" s="18">
        <f t="shared" si="109"/>
        <v>0</v>
      </c>
      <c r="CX73" s="18">
        <f t="shared" si="109"/>
        <v>0</v>
      </c>
      <c r="CY73" s="18">
        <f t="shared" si="109"/>
        <v>0</v>
      </c>
      <c r="CZ73" s="46">
        <f t="shared" si="109"/>
        <v>0</v>
      </c>
      <c r="DA73" s="57"/>
    </row>
    <row r="74" spans="1:105" ht="31.5" x14ac:dyDescent="0.25">
      <c r="A74" s="80" t="s">
        <v>1</v>
      </c>
      <c r="B74" s="21" t="s">
        <v>162</v>
      </c>
      <c r="C74" s="22" t="s">
        <v>163</v>
      </c>
      <c r="D74" s="18">
        <f>SUM(E74+BZ74+CW74)</f>
        <v>128416869</v>
      </c>
      <c r="E74" s="19">
        <f>SUM(F74+BA74)</f>
        <v>127021742</v>
      </c>
      <c r="F74" s="19">
        <f>SUM(G74+H74+I74+P74+S74+T74+U74+AD74)</f>
        <v>126472239</v>
      </c>
      <c r="G74" s="23">
        <f>82294910+15000000</f>
        <v>97294910</v>
      </c>
      <c r="H74" s="23">
        <v>1089595</v>
      </c>
      <c r="I74" s="19">
        <f t="shared" si="6"/>
        <v>11362504</v>
      </c>
      <c r="J74" s="23">
        <v>216741</v>
      </c>
      <c r="K74" s="23">
        <v>4544814</v>
      </c>
      <c r="L74" s="23">
        <v>1178204</v>
      </c>
      <c r="M74" s="23">
        <v>410849</v>
      </c>
      <c r="N74" s="23">
        <f>4384689+51000</f>
        <v>4435689</v>
      </c>
      <c r="O74" s="23">
        <v>576207</v>
      </c>
      <c r="P74" s="19">
        <f t="shared" si="7"/>
        <v>6474326</v>
      </c>
      <c r="Q74" s="23">
        <v>34326</v>
      </c>
      <c r="R74" s="23">
        <v>6440000</v>
      </c>
      <c r="S74" s="23">
        <v>0</v>
      </c>
      <c r="T74" s="23">
        <v>598740</v>
      </c>
      <c r="U74" s="19">
        <f>SUM(V74:AC74)</f>
        <v>1817802</v>
      </c>
      <c r="V74" s="23">
        <v>67985</v>
      </c>
      <c r="W74" s="23">
        <f>524477+2362</f>
        <v>526839</v>
      </c>
      <c r="X74" s="23">
        <v>1038216</v>
      </c>
      <c r="Y74" s="23">
        <v>124463</v>
      </c>
      <c r="Z74" s="23">
        <v>31357</v>
      </c>
      <c r="AA74" s="23">
        <v>0</v>
      </c>
      <c r="AB74" s="23">
        <v>0</v>
      </c>
      <c r="AC74" s="23">
        <v>28942</v>
      </c>
      <c r="AD74" s="19">
        <f>SUM(AE74:AZ74)</f>
        <v>7834362</v>
      </c>
      <c r="AE74" s="19">
        <v>0</v>
      </c>
      <c r="AF74" s="19">
        <v>0</v>
      </c>
      <c r="AG74" s="23">
        <v>99428</v>
      </c>
      <c r="AH74" s="23">
        <v>372085</v>
      </c>
      <c r="AI74" s="23">
        <v>0</v>
      </c>
      <c r="AJ74" s="23">
        <v>11442</v>
      </c>
      <c r="AK74" s="23">
        <v>45422</v>
      </c>
      <c r="AL74" s="23">
        <v>7663</v>
      </c>
      <c r="AM74" s="23">
        <v>158199</v>
      </c>
      <c r="AN74" s="23">
        <v>18042</v>
      </c>
      <c r="AO74" s="23">
        <v>1720</v>
      </c>
      <c r="AP74" s="23"/>
      <c r="AQ74" s="23">
        <v>240539</v>
      </c>
      <c r="AR74" s="23">
        <v>0</v>
      </c>
      <c r="AS74" s="23">
        <v>0</v>
      </c>
      <c r="AT74" s="23">
        <v>0</v>
      </c>
      <c r="AU74" s="23">
        <v>0</v>
      </c>
      <c r="AV74" s="23">
        <v>0</v>
      </c>
      <c r="AW74" s="23">
        <v>6300000</v>
      </c>
      <c r="AX74" s="23">
        <v>0</v>
      </c>
      <c r="AY74" s="23">
        <v>0</v>
      </c>
      <c r="AZ74" s="23">
        <v>579822</v>
      </c>
      <c r="BA74" s="19">
        <f>SUM(BB74+BF74+BI74+BK74+BN74)</f>
        <v>549503</v>
      </c>
      <c r="BB74" s="19">
        <f>SUM(BC74:BE74)</f>
        <v>0</v>
      </c>
      <c r="BC74" s="19">
        <v>0</v>
      </c>
      <c r="BD74" s="19">
        <v>0</v>
      </c>
      <c r="BE74" s="19">
        <v>0</v>
      </c>
      <c r="BF74" s="19">
        <f>SUM(BH74:BH74)</f>
        <v>0</v>
      </c>
      <c r="BG74" s="19">
        <v>0</v>
      </c>
      <c r="BH74" s="19">
        <v>0</v>
      </c>
      <c r="BI74" s="19">
        <v>0</v>
      </c>
      <c r="BJ74" s="19"/>
      <c r="BK74" s="19">
        <f t="shared" si="8"/>
        <v>133400</v>
      </c>
      <c r="BL74" s="19">
        <v>133400</v>
      </c>
      <c r="BM74" s="19"/>
      <c r="BN74" s="19">
        <f>SUM(BO74:BY74)</f>
        <v>416103</v>
      </c>
      <c r="BO74" s="19">
        <v>0</v>
      </c>
      <c r="BP74" s="19">
        <v>0</v>
      </c>
      <c r="BQ74" s="19">
        <v>0</v>
      </c>
      <c r="BR74" s="19">
        <v>0</v>
      </c>
      <c r="BS74" s="19">
        <v>0</v>
      </c>
      <c r="BT74" s="19">
        <v>0</v>
      </c>
      <c r="BU74" s="19">
        <v>0</v>
      </c>
      <c r="BV74" s="19">
        <v>0</v>
      </c>
      <c r="BW74" s="19">
        <v>0</v>
      </c>
      <c r="BX74" s="19">
        <v>0</v>
      </c>
      <c r="BY74" s="23">
        <f>303360+112743</f>
        <v>416103</v>
      </c>
      <c r="BZ74" s="19">
        <f>SUM(CA74+CS74)</f>
        <v>1395127</v>
      </c>
      <c r="CA74" s="19">
        <f>SUM(CB74+CE74+CK74)</f>
        <v>1395127</v>
      </c>
      <c r="CB74" s="19">
        <f t="shared" si="9"/>
        <v>856948</v>
      </c>
      <c r="CC74" s="19">
        <v>0</v>
      </c>
      <c r="CD74" s="23">
        <v>856948</v>
      </c>
      <c r="CE74" s="19">
        <f>SUM(CF74:CJ74)</f>
        <v>74579</v>
      </c>
      <c r="CF74" s="19">
        <v>0</v>
      </c>
      <c r="CG74" s="19">
        <v>0</v>
      </c>
      <c r="CH74" s="23">
        <v>74579</v>
      </c>
      <c r="CI74" s="23"/>
      <c r="CJ74" s="23"/>
      <c r="CK74" s="19">
        <f>SUM(CL74:CP74)</f>
        <v>463600</v>
      </c>
      <c r="CL74" s="19"/>
      <c r="CM74" s="19"/>
      <c r="CN74" s="23">
        <v>463600</v>
      </c>
      <c r="CO74" s="19"/>
      <c r="CP74" s="19"/>
      <c r="CQ74" s="19"/>
      <c r="CR74" s="19"/>
      <c r="CS74" s="19">
        <v>0</v>
      </c>
      <c r="CT74" s="19"/>
      <c r="CU74" s="19"/>
      <c r="CV74" s="19"/>
      <c r="CW74" s="19">
        <f t="shared" si="10"/>
        <v>0</v>
      </c>
      <c r="CX74" s="19">
        <f t="shared" si="11"/>
        <v>0</v>
      </c>
      <c r="CY74" s="19">
        <v>0</v>
      </c>
      <c r="CZ74" s="20">
        <v>0</v>
      </c>
    </row>
    <row r="75" spans="1:105" s="58" customFormat="1" ht="15.75" x14ac:dyDescent="0.25">
      <c r="A75" s="79" t="s">
        <v>164</v>
      </c>
      <c r="B75" s="16" t="s">
        <v>1</v>
      </c>
      <c r="C75" s="17" t="s">
        <v>165</v>
      </c>
      <c r="D75" s="18">
        <f t="shared" ref="D75:AJ75" si="110">SUM(D76)</f>
        <v>24828981</v>
      </c>
      <c r="E75" s="18">
        <f t="shared" si="110"/>
        <v>23697576</v>
      </c>
      <c r="F75" s="18">
        <f t="shared" si="110"/>
        <v>23697576</v>
      </c>
      <c r="G75" s="18">
        <f t="shared" si="110"/>
        <v>19676499</v>
      </c>
      <c r="H75" s="18">
        <f t="shared" si="110"/>
        <v>652395</v>
      </c>
      <c r="I75" s="18">
        <f t="shared" si="110"/>
        <v>2024244</v>
      </c>
      <c r="J75" s="18">
        <f t="shared" si="110"/>
        <v>3363</v>
      </c>
      <c r="K75" s="18">
        <f t="shared" si="110"/>
        <v>400000</v>
      </c>
      <c r="L75" s="18">
        <f t="shared" si="110"/>
        <v>0</v>
      </c>
      <c r="M75" s="18">
        <f t="shared" si="110"/>
        <v>0</v>
      </c>
      <c r="N75" s="18">
        <f t="shared" si="110"/>
        <v>945627</v>
      </c>
      <c r="O75" s="18">
        <f t="shared" si="110"/>
        <v>675254</v>
      </c>
      <c r="P75" s="18">
        <f t="shared" si="110"/>
        <v>0</v>
      </c>
      <c r="Q75" s="18">
        <f t="shared" si="110"/>
        <v>0</v>
      </c>
      <c r="R75" s="18">
        <f t="shared" si="110"/>
        <v>0</v>
      </c>
      <c r="S75" s="18">
        <f t="shared" si="110"/>
        <v>0</v>
      </c>
      <c r="T75" s="18">
        <f t="shared" si="110"/>
        <v>200000</v>
      </c>
      <c r="U75" s="18">
        <f t="shared" si="110"/>
        <v>498145</v>
      </c>
      <c r="V75" s="18">
        <f t="shared" si="110"/>
        <v>50000</v>
      </c>
      <c r="W75" s="18">
        <f t="shared" si="110"/>
        <v>262935</v>
      </c>
      <c r="X75" s="18">
        <f t="shared" si="110"/>
        <v>149239</v>
      </c>
      <c r="Y75" s="18">
        <f t="shared" si="110"/>
        <v>25459</v>
      </c>
      <c r="Z75" s="18">
        <f t="shared" si="110"/>
        <v>10512</v>
      </c>
      <c r="AA75" s="18">
        <f t="shared" si="110"/>
        <v>0</v>
      </c>
      <c r="AB75" s="18">
        <f t="shared" si="110"/>
        <v>0</v>
      </c>
      <c r="AC75" s="18">
        <f t="shared" si="110"/>
        <v>0</v>
      </c>
      <c r="AD75" s="18">
        <f t="shared" si="110"/>
        <v>646293</v>
      </c>
      <c r="AE75" s="18">
        <f t="shared" si="110"/>
        <v>0</v>
      </c>
      <c r="AF75" s="18">
        <f t="shared" si="110"/>
        <v>0</v>
      </c>
      <c r="AG75" s="18">
        <f t="shared" si="110"/>
        <v>6689</v>
      </c>
      <c r="AH75" s="18">
        <f t="shared" si="110"/>
        <v>28523</v>
      </c>
      <c r="AI75" s="18">
        <f t="shared" si="110"/>
        <v>0</v>
      </c>
      <c r="AJ75" s="18">
        <f t="shared" si="110"/>
        <v>0</v>
      </c>
      <c r="AK75" s="18">
        <f t="shared" ref="AK75:CZ75" si="111">SUM(AK76)</f>
        <v>20170</v>
      </c>
      <c r="AL75" s="18">
        <f t="shared" si="111"/>
        <v>500</v>
      </c>
      <c r="AM75" s="18">
        <f t="shared" si="111"/>
        <v>50000</v>
      </c>
      <c r="AN75" s="18">
        <f t="shared" si="111"/>
        <v>14550</v>
      </c>
      <c r="AO75" s="18">
        <f t="shared" si="111"/>
        <v>0</v>
      </c>
      <c r="AP75" s="18"/>
      <c r="AQ75" s="18">
        <f t="shared" si="111"/>
        <v>0</v>
      </c>
      <c r="AR75" s="18">
        <f t="shared" si="111"/>
        <v>364388</v>
      </c>
      <c r="AS75" s="18">
        <f t="shared" si="111"/>
        <v>33600</v>
      </c>
      <c r="AT75" s="18"/>
      <c r="AU75" s="18"/>
      <c r="AV75" s="18">
        <f t="shared" si="111"/>
        <v>0</v>
      </c>
      <c r="AW75" s="18">
        <f t="shared" si="111"/>
        <v>39089</v>
      </c>
      <c r="AX75" s="18">
        <f t="shared" si="111"/>
        <v>65880</v>
      </c>
      <c r="AY75" s="18"/>
      <c r="AZ75" s="18">
        <f t="shared" si="111"/>
        <v>22904</v>
      </c>
      <c r="BA75" s="18">
        <f t="shared" si="111"/>
        <v>0</v>
      </c>
      <c r="BB75" s="18">
        <f t="shared" si="111"/>
        <v>0</v>
      </c>
      <c r="BC75" s="18">
        <f t="shared" si="111"/>
        <v>0</v>
      </c>
      <c r="BD75" s="18">
        <f t="shared" si="111"/>
        <v>0</v>
      </c>
      <c r="BE75" s="18">
        <f t="shared" si="111"/>
        <v>0</v>
      </c>
      <c r="BF75" s="18">
        <f t="shared" si="111"/>
        <v>0</v>
      </c>
      <c r="BG75" s="18">
        <f t="shared" si="111"/>
        <v>0</v>
      </c>
      <c r="BH75" s="18">
        <f t="shared" si="111"/>
        <v>0</v>
      </c>
      <c r="BI75" s="18">
        <f t="shared" si="111"/>
        <v>0</v>
      </c>
      <c r="BJ75" s="18">
        <f t="shared" si="111"/>
        <v>0</v>
      </c>
      <c r="BK75" s="18">
        <f t="shared" si="111"/>
        <v>0</v>
      </c>
      <c r="BL75" s="18">
        <f t="shared" si="111"/>
        <v>0</v>
      </c>
      <c r="BM75" s="18">
        <f t="shared" si="111"/>
        <v>0</v>
      </c>
      <c r="BN75" s="18">
        <f t="shared" si="111"/>
        <v>0</v>
      </c>
      <c r="BO75" s="18">
        <f t="shared" si="111"/>
        <v>0</v>
      </c>
      <c r="BP75" s="18">
        <f t="shared" si="111"/>
        <v>0</v>
      </c>
      <c r="BQ75" s="18">
        <f t="shared" si="111"/>
        <v>0</v>
      </c>
      <c r="BR75" s="18">
        <f t="shared" si="111"/>
        <v>0</v>
      </c>
      <c r="BS75" s="18">
        <f t="shared" si="111"/>
        <v>0</v>
      </c>
      <c r="BT75" s="18">
        <f t="shared" si="111"/>
        <v>0</v>
      </c>
      <c r="BU75" s="18">
        <f t="shared" si="111"/>
        <v>0</v>
      </c>
      <c r="BV75" s="18">
        <f t="shared" si="111"/>
        <v>0</v>
      </c>
      <c r="BW75" s="18">
        <f t="shared" si="111"/>
        <v>0</v>
      </c>
      <c r="BX75" s="18">
        <f t="shared" si="111"/>
        <v>0</v>
      </c>
      <c r="BY75" s="18">
        <f t="shared" si="111"/>
        <v>0</v>
      </c>
      <c r="BZ75" s="18">
        <f t="shared" si="111"/>
        <v>1131405</v>
      </c>
      <c r="CA75" s="18">
        <f t="shared" si="111"/>
        <v>1131405</v>
      </c>
      <c r="CB75" s="18">
        <f t="shared" si="111"/>
        <v>420000</v>
      </c>
      <c r="CC75" s="18">
        <f t="shared" si="111"/>
        <v>0</v>
      </c>
      <c r="CD75" s="18">
        <f t="shared" si="111"/>
        <v>420000</v>
      </c>
      <c r="CE75" s="18">
        <f t="shared" si="111"/>
        <v>178179</v>
      </c>
      <c r="CF75" s="18">
        <f t="shared" si="111"/>
        <v>0</v>
      </c>
      <c r="CG75" s="18">
        <f t="shared" si="111"/>
        <v>0</v>
      </c>
      <c r="CH75" s="18">
        <f t="shared" si="111"/>
        <v>178179</v>
      </c>
      <c r="CI75" s="18">
        <f t="shared" si="111"/>
        <v>0</v>
      </c>
      <c r="CJ75" s="18">
        <f t="shared" si="111"/>
        <v>0</v>
      </c>
      <c r="CK75" s="18">
        <f t="shared" si="111"/>
        <v>533226</v>
      </c>
      <c r="CL75" s="18">
        <f t="shared" si="111"/>
        <v>0</v>
      </c>
      <c r="CM75" s="18">
        <f t="shared" si="111"/>
        <v>0</v>
      </c>
      <c r="CN75" s="18">
        <f t="shared" si="111"/>
        <v>533226</v>
      </c>
      <c r="CO75" s="18"/>
      <c r="CP75" s="18"/>
      <c r="CQ75" s="18"/>
      <c r="CR75" s="18"/>
      <c r="CS75" s="18">
        <f t="shared" si="111"/>
        <v>0</v>
      </c>
      <c r="CT75" s="18"/>
      <c r="CU75" s="18"/>
      <c r="CV75" s="18"/>
      <c r="CW75" s="18">
        <f t="shared" si="111"/>
        <v>0</v>
      </c>
      <c r="CX75" s="18">
        <f t="shared" si="111"/>
        <v>0</v>
      </c>
      <c r="CY75" s="18">
        <f t="shared" si="111"/>
        <v>0</v>
      </c>
      <c r="CZ75" s="46">
        <f t="shared" si="111"/>
        <v>0</v>
      </c>
      <c r="DA75" s="57"/>
    </row>
    <row r="76" spans="1:105" ht="15.75" x14ac:dyDescent="0.25">
      <c r="A76" s="80" t="s">
        <v>1</v>
      </c>
      <c r="B76" s="21" t="s">
        <v>166</v>
      </c>
      <c r="C76" s="22" t="s">
        <v>167</v>
      </c>
      <c r="D76" s="18">
        <f>SUM(E76+BZ76+CW76)</f>
        <v>24828981</v>
      </c>
      <c r="E76" s="19">
        <f>SUM(F76+BA76)</f>
        <v>23697576</v>
      </c>
      <c r="F76" s="19">
        <f>SUM(G76+H76+I76+P76+S76+T76+U76+AD76)</f>
        <v>23697576</v>
      </c>
      <c r="G76" s="23">
        <v>19676499</v>
      </c>
      <c r="H76" s="23">
        <v>652395</v>
      </c>
      <c r="I76" s="19">
        <f t="shared" ref="I76:I149" si="112">SUM(J76:O76)</f>
        <v>2024244</v>
      </c>
      <c r="J76" s="23">
        <v>3363</v>
      </c>
      <c r="K76" s="23">
        <v>400000</v>
      </c>
      <c r="L76" s="23">
        <v>0</v>
      </c>
      <c r="M76" s="23">
        <v>0</v>
      </c>
      <c r="N76" s="23">
        <v>945627</v>
      </c>
      <c r="O76" s="23">
        <v>675254</v>
      </c>
      <c r="P76" s="19">
        <f t="shared" ref="P76:P149" si="113">SUM(Q76:R76)</f>
        <v>0</v>
      </c>
      <c r="Q76" s="24"/>
      <c r="R76" s="24"/>
      <c r="S76" s="24"/>
      <c r="T76" s="23">
        <v>200000</v>
      </c>
      <c r="U76" s="19">
        <f>SUM(V76:AC76)</f>
        <v>498145</v>
      </c>
      <c r="V76" s="23">
        <v>50000</v>
      </c>
      <c r="W76" s="23">
        <f>262325+610</f>
        <v>262935</v>
      </c>
      <c r="X76" s="23">
        <v>149239</v>
      </c>
      <c r="Y76" s="23">
        <v>25459</v>
      </c>
      <c r="Z76" s="23">
        <v>10512</v>
      </c>
      <c r="AA76" s="23">
        <v>0</v>
      </c>
      <c r="AB76" s="23">
        <v>0</v>
      </c>
      <c r="AC76" s="23">
        <v>0</v>
      </c>
      <c r="AD76" s="19">
        <f>SUM(AE76:AZ76)</f>
        <v>646293</v>
      </c>
      <c r="AE76" s="19">
        <v>0</v>
      </c>
      <c r="AF76" s="19">
        <v>0</v>
      </c>
      <c r="AG76" s="23">
        <v>6689</v>
      </c>
      <c r="AH76" s="23">
        <v>28523</v>
      </c>
      <c r="AI76" s="23">
        <v>0</v>
      </c>
      <c r="AJ76" s="23">
        <v>0</v>
      </c>
      <c r="AK76" s="23">
        <v>20170</v>
      </c>
      <c r="AL76" s="23">
        <v>500</v>
      </c>
      <c r="AM76" s="23">
        <v>50000</v>
      </c>
      <c r="AN76" s="23">
        <v>14550</v>
      </c>
      <c r="AO76" s="23">
        <v>0</v>
      </c>
      <c r="AP76" s="23"/>
      <c r="AQ76" s="23">
        <v>0</v>
      </c>
      <c r="AR76" s="23">
        <v>364388</v>
      </c>
      <c r="AS76" s="23">
        <v>33600</v>
      </c>
      <c r="AT76" s="23">
        <v>0</v>
      </c>
      <c r="AU76" s="23">
        <v>0</v>
      </c>
      <c r="AV76" s="23">
        <v>0</v>
      </c>
      <c r="AW76" s="23">
        <v>39089</v>
      </c>
      <c r="AX76" s="23">
        <v>65880</v>
      </c>
      <c r="AY76" s="23">
        <v>0</v>
      </c>
      <c r="AZ76" s="23">
        <v>22904</v>
      </c>
      <c r="BA76" s="19">
        <f>SUM(BB76+BF76+BI76+BK76+BN76)</f>
        <v>0</v>
      </c>
      <c r="BB76" s="19">
        <f>SUM(BC76:BE76)</f>
        <v>0</v>
      </c>
      <c r="BC76" s="19">
        <v>0</v>
      </c>
      <c r="BD76" s="19">
        <v>0</v>
      </c>
      <c r="BE76" s="19">
        <v>0</v>
      </c>
      <c r="BF76" s="19">
        <f>SUM(BH76:BH76)</f>
        <v>0</v>
      </c>
      <c r="BG76" s="19">
        <v>0</v>
      </c>
      <c r="BH76" s="19">
        <v>0</v>
      </c>
      <c r="BI76" s="19">
        <v>0</v>
      </c>
      <c r="BJ76" s="19">
        <v>0</v>
      </c>
      <c r="BK76" s="19">
        <f t="shared" ref="BK76:BK149" si="114">SUM(BL76)</f>
        <v>0</v>
      </c>
      <c r="BL76" s="19">
        <v>0</v>
      </c>
      <c r="BM76" s="19">
        <v>0</v>
      </c>
      <c r="BN76" s="19">
        <f>SUM(BO76:BY76)</f>
        <v>0</v>
      </c>
      <c r="BO76" s="19">
        <v>0</v>
      </c>
      <c r="BP76" s="19">
        <v>0</v>
      </c>
      <c r="BQ76" s="19">
        <v>0</v>
      </c>
      <c r="BR76" s="19">
        <v>0</v>
      </c>
      <c r="BS76" s="19">
        <v>0</v>
      </c>
      <c r="BT76" s="19">
        <v>0</v>
      </c>
      <c r="BU76" s="19">
        <v>0</v>
      </c>
      <c r="BV76" s="19">
        <v>0</v>
      </c>
      <c r="BW76" s="19">
        <v>0</v>
      </c>
      <c r="BX76" s="19"/>
      <c r="BY76" s="19">
        <v>0</v>
      </c>
      <c r="BZ76" s="19">
        <f>SUM(CA76+CS76)</f>
        <v>1131405</v>
      </c>
      <c r="CA76" s="19">
        <f>SUM(CB76+CE76+CK76)</f>
        <v>1131405</v>
      </c>
      <c r="CB76" s="19">
        <f t="shared" ref="CB76:CB149" si="115">SUM(CC76:CD76)</f>
        <v>420000</v>
      </c>
      <c r="CC76" s="19">
        <v>0</v>
      </c>
      <c r="CD76" s="23">
        <v>420000</v>
      </c>
      <c r="CE76" s="19">
        <f>SUM(CF76:CJ76)</f>
        <v>178179</v>
      </c>
      <c r="CF76" s="19">
        <v>0</v>
      </c>
      <c r="CG76" s="19">
        <v>0</v>
      </c>
      <c r="CH76" s="19">
        <v>178179</v>
      </c>
      <c r="CI76" s="19">
        <v>0</v>
      </c>
      <c r="CJ76" s="19">
        <v>0</v>
      </c>
      <c r="CK76" s="19">
        <f>SUM(CL76:CP76)</f>
        <v>533226</v>
      </c>
      <c r="CL76" s="24"/>
      <c r="CM76" s="24"/>
      <c r="CN76" s="19">
        <v>533226</v>
      </c>
      <c r="CO76" s="19"/>
      <c r="CP76" s="19"/>
      <c r="CQ76" s="19"/>
      <c r="CR76" s="19"/>
      <c r="CS76" s="19">
        <v>0</v>
      </c>
      <c r="CT76" s="19"/>
      <c r="CU76" s="19"/>
      <c r="CV76" s="19"/>
      <c r="CW76" s="19">
        <f t="shared" ref="CW76:CW149" si="116">SUM(CX76)</f>
        <v>0</v>
      </c>
      <c r="CX76" s="19">
        <f t="shared" ref="CX76:CX149" si="117">SUM(CY76:CZ76)</f>
        <v>0</v>
      </c>
      <c r="CY76" s="19">
        <v>0</v>
      </c>
      <c r="CZ76" s="20">
        <v>0</v>
      </c>
    </row>
    <row r="77" spans="1:105" s="58" customFormat="1" ht="31.5" x14ac:dyDescent="0.25">
      <c r="A77" s="79" t="s">
        <v>518</v>
      </c>
      <c r="B77" s="16" t="s">
        <v>1</v>
      </c>
      <c r="C77" s="17" t="s">
        <v>168</v>
      </c>
      <c r="D77" s="18">
        <f t="shared" ref="D77:AJ77" si="118">SUM(D78)</f>
        <v>28171007</v>
      </c>
      <c r="E77" s="18">
        <f t="shared" si="118"/>
        <v>27273249</v>
      </c>
      <c r="F77" s="18">
        <f t="shared" si="118"/>
        <v>27263490</v>
      </c>
      <c r="G77" s="18">
        <f t="shared" si="118"/>
        <v>22614648</v>
      </c>
      <c r="H77" s="18">
        <f t="shared" si="118"/>
        <v>1242172</v>
      </c>
      <c r="I77" s="18">
        <f t="shared" si="118"/>
        <v>1992286</v>
      </c>
      <c r="J77" s="18">
        <f t="shared" si="118"/>
        <v>0</v>
      </c>
      <c r="K77" s="18">
        <f t="shared" si="118"/>
        <v>504492</v>
      </c>
      <c r="L77" s="18">
        <f t="shared" si="118"/>
        <v>0</v>
      </c>
      <c r="M77" s="18">
        <f t="shared" si="118"/>
        <v>0</v>
      </c>
      <c r="N77" s="18">
        <f t="shared" si="118"/>
        <v>963780</v>
      </c>
      <c r="O77" s="18">
        <f t="shared" si="118"/>
        <v>524014</v>
      </c>
      <c r="P77" s="18">
        <f t="shared" si="118"/>
        <v>7776</v>
      </c>
      <c r="Q77" s="18">
        <f t="shared" si="118"/>
        <v>7776</v>
      </c>
      <c r="R77" s="18">
        <f t="shared" si="118"/>
        <v>0</v>
      </c>
      <c r="S77" s="18">
        <f t="shared" si="118"/>
        <v>0</v>
      </c>
      <c r="T77" s="18">
        <f t="shared" si="118"/>
        <v>153997</v>
      </c>
      <c r="U77" s="18">
        <f t="shared" si="118"/>
        <v>517165</v>
      </c>
      <c r="V77" s="18">
        <f t="shared" si="118"/>
        <v>124799</v>
      </c>
      <c r="W77" s="18">
        <f t="shared" si="118"/>
        <v>48290</v>
      </c>
      <c r="X77" s="18">
        <f t="shared" si="118"/>
        <v>89775</v>
      </c>
      <c r="Y77" s="18">
        <f t="shared" si="118"/>
        <v>26475</v>
      </c>
      <c r="Z77" s="18">
        <f t="shared" si="118"/>
        <v>16060</v>
      </c>
      <c r="AA77" s="18">
        <f t="shared" si="118"/>
        <v>192689</v>
      </c>
      <c r="AB77" s="18">
        <f t="shared" si="118"/>
        <v>0</v>
      </c>
      <c r="AC77" s="18">
        <f t="shared" si="118"/>
        <v>19077</v>
      </c>
      <c r="AD77" s="18">
        <f t="shared" si="118"/>
        <v>735446</v>
      </c>
      <c r="AE77" s="18">
        <f t="shared" si="118"/>
        <v>0</v>
      </c>
      <c r="AF77" s="18">
        <f t="shared" si="118"/>
        <v>0</v>
      </c>
      <c r="AG77" s="18">
        <f t="shared" si="118"/>
        <v>6251</v>
      </c>
      <c r="AH77" s="18">
        <f t="shared" si="118"/>
        <v>279744</v>
      </c>
      <c r="AI77" s="18">
        <f t="shared" si="118"/>
        <v>0</v>
      </c>
      <c r="AJ77" s="18">
        <f t="shared" si="118"/>
        <v>0</v>
      </c>
      <c r="AK77" s="18">
        <f t="shared" ref="AK77:CZ77" si="119">SUM(AK78)</f>
        <v>0</v>
      </c>
      <c r="AL77" s="18">
        <f t="shared" si="119"/>
        <v>849</v>
      </c>
      <c r="AM77" s="18">
        <f t="shared" si="119"/>
        <v>16470</v>
      </c>
      <c r="AN77" s="18">
        <f t="shared" si="119"/>
        <v>18042</v>
      </c>
      <c r="AO77" s="18">
        <f t="shared" si="119"/>
        <v>0</v>
      </c>
      <c r="AP77" s="18"/>
      <c r="AQ77" s="18">
        <f t="shared" si="119"/>
        <v>0</v>
      </c>
      <c r="AR77" s="18">
        <f t="shared" si="119"/>
        <v>247249</v>
      </c>
      <c r="AS77" s="18">
        <f t="shared" si="119"/>
        <v>0</v>
      </c>
      <c r="AT77" s="18"/>
      <c r="AU77" s="18"/>
      <c r="AV77" s="18">
        <f t="shared" si="119"/>
        <v>0</v>
      </c>
      <c r="AW77" s="18">
        <f t="shared" si="119"/>
        <v>0</v>
      </c>
      <c r="AX77" s="18">
        <f t="shared" si="119"/>
        <v>0</v>
      </c>
      <c r="AY77" s="18"/>
      <c r="AZ77" s="18">
        <f t="shared" si="119"/>
        <v>166841</v>
      </c>
      <c r="BA77" s="18">
        <f t="shared" si="119"/>
        <v>9759</v>
      </c>
      <c r="BB77" s="18">
        <f t="shared" si="119"/>
        <v>0</v>
      </c>
      <c r="BC77" s="18">
        <f t="shared" si="119"/>
        <v>0</v>
      </c>
      <c r="BD77" s="18">
        <f t="shared" si="119"/>
        <v>0</v>
      </c>
      <c r="BE77" s="18">
        <f t="shared" si="119"/>
        <v>0</v>
      </c>
      <c r="BF77" s="18">
        <f t="shared" si="119"/>
        <v>0</v>
      </c>
      <c r="BG77" s="18">
        <f t="shared" si="119"/>
        <v>0</v>
      </c>
      <c r="BH77" s="18">
        <f t="shared" si="119"/>
        <v>0</v>
      </c>
      <c r="BI77" s="18">
        <f t="shared" si="119"/>
        <v>0</v>
      </c>
      <c r="BJ77" s="18">
        <f t="shared" si="119"/>
        <v>0</v>
      </c>
      <c r="BK77" s="18">
        <f t="shared" si="119"/>
        <v>0</v>
      </c>
      <c r="BL77" s="18">
        <f t="shared" si="119"/>
        <v>0</v>
      </c>
      <c r="BM77" s="18">
        <f t="shared" si="119"/>
        <v>0</v>
      </c>
      <c r="BN77" s="18">
        <f t="shared" si="119"/>
        <v>9759</v>
      </c>
      <c r="BO77" s="18">
        <f t="shared" si="119"/>
        <v>0</v>
      </c>
      <c r="BP77" s="18">
        <f t="shared" si="119"/>
        <v>0</v>
      </c>
      <c r="BQ77" s="18">
        <f t="shared" si="119"/>
        <v>0</v>
      </c>
      <c r="BR77" s="18">
        <f t="shared" si="119"/>
        <v>0</v>
      </c>
      <c r="BS77" s="18">
        <f t="shared" si="119"/>
        <v>0</v>
      </c>
      <c r="BT77" s="18">
        <f t="shared" si="119"/>
        <v>0</v>
      </c>
      <c r="BU77" s="18">
        <f t="shared" si="119"/>
        <v>0</v>
      </c>
      <c r="BV77" s="18">
        <f t="shared" si="119"/>
        <v>0</v>
      </c>
      <c r="BW77" s="18">
        <f t="shared" si="119"/>
        <v>0</v>
      </c>
      <c r="BX77" s="18">
        <f t="shared" si="119"/>
        <v>9759</v>
      </c>
      <c r="BY77" s="18">
        <f t="shared" si="119"/>
        <v>0</v>
      </c>
      <c r="BZ77" s="18">
        <f t="shared" si="119"/>
        <v>897758</v>
      </c>
      <c r="CA77" s="18">
        <f t="shared" si="119"/>
        <v>897758</v>
      </c>
      <c r="CB77" s="18">
        <f t="shared" si="119"/>
        <v>654075</v>
      </c>
      <c r="CC77" s="18">
        <f t="shared" si="119"/>
        <v>0</v>
      </c>
      <c r="CD77" s="18">
        <f t="shared" si="119"/>
        <v>654075</v>
      </c>
      <c r="CE77" s="18">
        <f t="shared" si="119"/>
        <v>0</v>
      </c>
      <c r="CF77" s="18">
        <f t="shared" si="119"/>
        <v>0</v>
      </c>
      <c r="CG77" s="18">
        <f t="shared" si="119"/>
        <v>0</v>
      </c>
      <c r="CH77" s="18">
        <f t="shared" si="119"/>
        <v>0</v>
      </c>
      <c r="CI77" s="18">
        <f t="shared" si="119"/>
        <v>0</v>
      </c>
      <c r="CJ77" s="18">
        <f t="shared" si="119"/>
        <v>0</v>
      </c>
      <c r="CK77" s="18">
        <f t="shared" si="119"/>
        <v>243683</v>
      </c>
      <c r="CL77" s="18">
        <f t="shared" si="119"/>
        <v>0</v>
      </c>
      <c r="CM77" s="18">
        <f t="shared" si="119"/>
        <v>0</v>
      </c>
      <c r="CN77" s="18">
        <f t="shared" si="119"/>
        <v>243683</v>
      </c>
      <c r="CO77" s="18"/>
      <c r="CP77" s="18"/>
      <c r="CQ77" s="18"/>
      <c r="CR77" s="18"/>
      <c r="CS77" s="18">
        <f t="shared" si="119"/>
        <v>0</v>
      </c>
      <c r="CT77" s="18"/>
      <c r="CU77" s="18"/>
      <c r="CV77" s="18"/>
      <c r="CW77" s="18">
        <f t="shared" si="119"/>
        <v>0</v>
      </c>
      <c r="CX77" s="18">
        <f t="shared" si="119"/>
        <v>0</v>
      </c>
      <c r="CY77" s="18">
        <f t="shared" si="119"/>
        <v>0</v>
      </c>
      <c r="CZ77" s="46">
        <f t="shared" si="119"/>
        <v>0</v>
      </c>
      <c r="DA77" s="57"/>
    </row>
    <row r="78" spans="1:105" ht="15.75" x14ac:dyDescent="0.25">
      <c r="A78" s="80" t="s">
        <v>1</v>
      </c>
      <c r="B78" s="21" t="s">
        <v>169</v>
      </c>
      <c r="C78" s="22" t="s">
        <v>170</v>
      </c>
      <c r="D78" s="18">
        <f>SUM(E78+BZ78+CW78)</f>
        <v>28171007</v>
      </c>
      <c r="E78" s="19">
        <f>SUM(F78+BA78)</f>
        <v>27273249</v>
      </c>
      <c r="F78" s="19">
        <f>SUM(G78+H78+I78+P78+S78+T78+U78+AD78)</f>
        <v>27263490</v>
      </c>
      <c r="G78" s="23">
        <v>22614648</v>
      </c>
      <c r="H78" s="23">
        <v>1242172</v>
      </c>
      <c r="I78" s="19">
        <f t="shared" si="112"/>
        <v>1992286</v>
      </c>
      <c r="J78" s="23">
        <v>0</v>
      </c>
      <c r="K78" s="23">
        <v>504492</v>
      </c>
      <c r="L78" s="23">
        <v>0</v>
      </c>
      <c r="M78" s="23">
        <v>0</v>
      </c>
      <c r="N78" s="23">
        <v>963780</v>
      </c>
      <c r="O78" s="23">
        <v>524014</v>
      </c>
      <c r="P78" s="19">
        <f t="shared" si="113"/>
        <v>7776</v>
      </c>
      <c r="Q78" s="23">
        <v>7776</v>
      </c>
      <c r="R78" s="23">
        <v>0</v>
      </c>
      <c r="S78" s="23">
        <v>0</v>
      </c>
      <c r="T78" s="23">
        <v>153997</v>
      </c>
      <c r="U78" s="19">
        <f>SUM(V78:AC78)</f>
        <v>517165</v>
      </c>
      <c r="V78" s="23">
        <v>124799</v>
      </c>
      <c r="W78" s="23">
        <f>47404+886</f>
        <v>48290</v>
      </c>
      <c r="X78" s="23">
        <v>89775</v>
      </c>
      <c r="Y78" s="23">
        <v>26475</v>
      </c>
      <c r="Z78" s="23">
        <v>16060</v>
      </c>
      <c r="AA78" s="23">
        <v>192689</v>
      </c>
      <c r="AB78" s="23">
        <v>0</v>
      </c>
      <c r="AC78" s="23">
        <v>19077</v>
      </c>
      <c r="AD78" s="19">
        <f>SUM(AE78:AZ78)</f>
        <v>735446</v>
      </c>
      <c r="AE78" s="19">
        <v>0</v>
      </c>
      <c r="AF78" s="19">
        <v>0</v>
      </c>
      <c r="AG78" s="23">
        <v>6251</v>
      </c>
      <c r="AH78" s="23">
        <v>279744</v>
      </c>
      <c r="AI78" s="23">
        <v>0</v>
      </c>
      <c r="AJ78" s="23">
        <v>0</v>
      </c>
      <c r="AK78" s="23">
        <v>0</v>
      </c>
      <c r="AL78" s="23">
        <v>849</v>
      </c>
      <c r="AM78" s="23">
        <v>16470</v>
      </c>
      <c r="AN78" s="23">
        <v>18042</v>
      </c>
      <c r="AO78" s="23">
        <v>0</v>
      </c>
      <c r="AP78" s="23"/>
      <c r="AQ78" s="23">
        <v>0</v>
      </c>
      <c r="AR78" s="23">
        <v>247249</v>
      </c>
      <c r="AS78" s="23">
        <v>0</v>
      </c>
      <c r="AT78" s="23">
        <v>0</v>
      </c>
      <c r="AU78" s="23">
        <v>0</v>
      </c>
      <c r="AV78" s="23">
        <v>0</v>
      </c>
      <c r="AW78" s="23">
        <v>0</v>
      </c>
      <c r="AX78" s="23">
        <v>0</v>
      </c>
      <c r="AY78" s="23">
        <v>0</v>
      </c>
      <c r="AZ78" s="23">
        <v>166841</v>
      </c>
      <c r="BA78" s="19">
        <f>SUM(BB78+BF78+BI78+BK78+BN78)</f>
        <v>9759</v>
      </c>
      <c r="BB78" s="19">
        <f>SUM(BC78:BE78)</f>
        <v>0</v>
      </c>
      <c r="BC78" s="19">
        <v>0</v>
      </c>
      <c r="BD78" s="19">
        <v>0</v>
      </c>
      <c r="BE78" s="19">
        <v>0</v>
      </c>
      <c r="BF78" s="19">
        <f>SUM(BH78:BH78)</f>
        <v>0</v>
      </c>
      <c r="BG78" s="19">
        <v>0</v>
      </c>
      <c r="BH78" s="19">
        <v>0</v>
      </c>
      <c r="BI78" s="19">
        <v>0</v>
      </c>
      <c r="BJ78" s="19">
        <v>0</v>
      </c>
      <c r="BK78" s="19">
        <f t="shared" si="114"/>
        <v>0</v>
      </c>
      <c r="BL78" s="19">
        <v>0</v>
      </c>
      <c r="BM78" s="19">
        <v>0</v>
      </c>
      <c r="BN78" s="19">
        <f>SUM(BO78:BY78)</f>
        <v>9759</v>
      </c>
      <c r="BO78" s="19">
        <v>0</v>
      </c>
      <c r="BP78" s="19">
        <v>0</v>
      </c>
      <c r="BQ78" s="19">
        <v>0</v>
      </c>
      <c r="BR78" s="19">
        <v>0</v>
      </c>
      <c r="BS78" s="19">
        <v>0</v>
      </c>
      <c r="BT78" s="19">
        <v>0</v>
      </c>
      <c r="BU78" s="19">
        <v>0</v>
      </c>
      <c r="BV78" s="19">
        <v>0</v>
      </c>
      <c r="BW78" s="19">
        <v>0</v>
      </c>
      <c r="BX78" s="19">
        <v>9759</v>
      </c>
      <c r="BY78" s="19">
        <v>0</v>
      </c>
      <c r="BZ78" s="19">
        <f>SUM(CA78+CS78)</f>
        <v>897758</v>
      </c>
      <c r="CA78" s="19">
        <f>SUM(CB78+CE78+CK78)</f>
        <v>897758</v>
      </c>
      <c r="CB78" s="19">
        <f t="shared" si="115"/>
        <v>654075</v>
      </c>
      <c r="CC78" s="19">
        <v>0</v>
      </c>
      <c r="CD78" s="23">
        <v>654075</v>
      </c>
      <c r="CE78" s="19">
        <f>SUM(CF78:CJ78)</f>
        <v>0</v>
      </c>
      <c r="CF78" s="19">
        <v>0</v>
      </c>
      <c r="CG78" s="19">
        <v>0</v>
      </c>
      <c r="CH78" s="23"/>
      <c r="CI78" s="23"/>
      <c r="CJ78" s="23"/>
      <c r="CK78" s="19">
        <f>SUM(CL78:CP78)</f>
        <v>243683</v>
      </c>
      <c r="CL78" s="19"/>
      <c r="CM78" s="19"/>
      <c r="CN78" s="23">
        <v>243683</v>
      </c>
      <c r="CO78" s="19"/>
      <c r="CP78" s="19"/>
      <c r="CQ78" s="19"/>
      <c r="CR78" s="19"/>
      <c r="CS78" s="19">
        <v>0</v>
      </c>
      <c r="CT78" s="19"/>
      <c r="CU78" s="19"/>
      <c r="CV78" s="19"/>
      <c r="CW78" s="19">
        <f t="shared" si="116"/>
        <v>0</v>
      </c>
      <c r="CX78" s="19">
        <f t="shared" si="117"/>
        <v>0</v>
      </c>
      <c r="CY78" s="19">
        <v>0</v>
      </c>
      <c r="CZ78" s="20">
        <v>0</v>
      </c>
    </row>
    <row r="79" spans="1:105" s="58" customFormat="1" ht="15.75" x14ac:dyDescent="0.25">
      <c r="A79" s="79" t="s">
        <v>171</v>
      </c>
      <c r="B79" s="16" t="s">
        <v>1</v>
      </c>
      <c r="C79" s="17" t="s">
        <v>172</v>
      </c>
      <c r="D79" s="18">
        <f t="shared" ref="D79:AJ81" si="120">SUM(D80)</f>
        <v>9525103</v>
      </c>
      <c r="E79" s="18">
        <f t="shared" si="120"/>
        <v>9294567</v>
      </c>
      <c r="F79" s="18">
        <f t="shared" si="120"/>
        <v>9288049</v>
      </c>
      <c r="G79" s="18">
        <f t="shared" si="120"/>
        <v>6927367</v>
      </c>
      <c r="H79" s="18">
        <f t="shared" si="120"/>
        <v>1570272</v>
      </c>
      <c r="I79" s="18">
        <f t="shared" si="120"/>
        <v>388426</v>
      </c>
      <c r="J79" s="18">
        <f t="shared" si="120"/>
        <v>0</v>
      </c>
      <c r="K79" s="18">
        <f t="shared" si="120"/>
        <v>0</v>
      </c>
      <c r="L79" s="18">
        <f t="shared" si="120"/>
        <v>0</v>
      </c>
      <c r="M79" s="18">
        <f t="shared" si="120"/>
        <v>0</v>
      </c>
      <c r="N79" s="18">
        <v>323324</v>
      </c>
      <c r="O79" s="18">
        <v>65102</v>
      </c>
      <c r="P79" s="18">
        <f t="shared" si="120"/>
        <v>0</v>
      </c>
      <c r="Q79" s="18">
        <f t="shared" si="120"/>
        <v>0</v>
      </c>
      <c r="R79" s="18">
        <f t="shared" si="120"/>
        <v>0</v>
      </c>
      <c r="S79" s="18">
        <f t="shared" si="120"/>
        <v>0</v>
      </c>
      <c r="T79" s="18">
        <f t="shared" si="120"/>
        <v>103941</v>
      </c>
      <c r="U79" s="18">
        <f t="shared" si="120"/>
        <v>136942</v>
      </c>
      <c r="V79" s="18">
        <f t="shared" si="120"/>
        <v>0</v>
      </c>
      <c r="W79" s="18">
        <f t="shared" si="120"/>
        <v>86084</v>
      </c>
      <c r="X79" s="18">
        <f t="shared" si="120"/>
        <v>37655</v>
      </c>
      <c r="Y79" s="18">
        <f t="shared" si="120"/>
        <v>7284</v>
      </c>
      <c r="Z79" s="18">
        <f t="shared" si="120"/>
        <v>5919</v>
      </c>
      <c r="AA79" s="18">
        <f t="shared" si="120"/>
        <v>0</v>
      </c>
      <c r="AB79" s="18">
        <f t="shared" si="120"/>
        <v>0</v>
      </c>
      <c r="AC79" s="18">
        <f t="shared" si="120"/>
        <v>0</v>
      </c>
      <c r="AD79" s="18">
        <f t="shared" si="120"/>
        <v>161101</v>
      </c>
      <c r="AE79" s="18">
        <f t="shared" si="120"/>
        <v>0</v>
      </c>
      <c r="AF79" s="18">
        <f t="shared" si="120"/>
        <v>0</v>
      </c>
      <c r="AG79" s="18">
        <f t="shared" si="120"/>
        <v>11997</v>
      </c>
      <c r="AH79" s="18">
        <f t="shared" si="120"/>
        <v>116876</v>
      </c>
      <c r="AI79" s="18">
        <f t="shared" si="120"/>
        <v>0</v>
      </c>
      <c r="AJ79" s="18">
        <f t="shared" si="120"/>
        <v>0</v>
      </c>
      <c r="AK79" s="18">
        <f t="shared" ref="AK79:CY81" si="121">SUM(AK80)</f>
        <v>0</v>
      </c>
      <c r="AL79" s="18">
        <f t="shared" si="121"/>
        <v>0</v>
      </c>
      <c r="AM79" s="18">
        <f t="shared" si="121"/>
        <v>0</v>
      </c>
      <c r="AN79" s="18">
        <f t="shared" si="121"/>
        <v>15627</v>
      </c>
      <c r="AO79" s="18">
        <f t="shared" si="121"/>
        <v>0</v>
      </c>
      <c r="AP79" s="18"/>
      <c r="AQ79" s="18">
        <f t="shared" si="121"/>
        <v>0</v>
      </c>
      <c r="AR79" s="18">
        <f t="shared" si="121"/>
        <v>16601</v>
      </c>
      <c r="AS79" s="18">
        <f t="shared" si="121"/>
        <v>0</v>
      </c>
      <c r="AT79" s="18"/>
      <c r="AU79" s="18"/>
      <c r="AV79" s="18">
        <f t="shared" si="121"/>
        <v>0</v>
      </c>
      <c r="AW79" s="18">
        <f t="shared" si="121"/>
        <v>0</v>
      </c>
      <c r="AX79" s="18">
        <f t="shared" si="121"/>
        <v>0</v>
      </c>
      <c r="AY79" s="18"/>
      <c r="AZ79" s="18">
        <f t="shared" si="121"/>
        <v>0</v>
      </c>
      <c r="BA79" s="18">
        <f t="shared" si="121"/>
        <v>6518</v>
      </c>
      <c r="BB79" s="18">
        <f t="shared" si="121"/>
        <v>0</v>
      </c>
      <c r="BC79" s="18">
        <f t="shared" si="121"/>
        <v>0</v>
      </c>
      <c r="BD79" s="18">
        <f t="shared" si="121"/>
        <v>0</v>
      </c>
      <c r="BE79" s="18">
        <f t="shared" si="121"/>
        <v>0</v>
      </c>
      <c r="BF79" s="18">
        <f t="shared" si="121"/>
        <v>0</v>
      </c>
      <c r="BG79" s="18">
        <f t="shared" si="121"/>
        <v>0</v>
      </c>
      <c r="BH79" s="18">
        <f t="shared" si="121"/>
        <v>0</v>
      </c>
      <c r="BI79" s="18">
        <f t="shared" si="121"/>
        <v>0</v>
      </c>
      <c r="BJ79" s="18">
        <f t="shared" si="121"/>
        <v>0</v>
      </c>
      <c r="BK79" s="18">
        <f t="shared" si="121"/>
        <v>0</v>
      </c>
      <c r="BL79" s="18">
        <f t="shared" si="121"/>
        <v>0</v>
      </c>
      <c r="BM79" s="18">
        <f t="shared" si="121"/>
        <v>0</v>
      </c>
      <c r="BN79" s="18">
        <f t="shared" si="121"/>
        <v>6518</v>
      </c>
      <c r="BO79" s="18">
        <f t="shared" si="121"/>
        <v>0</v>
      </c>
      <c r="BP79" s="18">
        <f t="shared" si="121"/>
        <v>0</v>
      </c>
      <c r="BQ79" s="18">
        <f t="shared" si="121"/>
        <v>0</v>
      </c>
      <c r="BR79" s="18">
        <f t="shared" si="121"/>
        <v>0</v>
      </c>
      <c r="BS79" s="18">
        <f t="shared" si="121"/>
        <v>0</v>
      </c>
      <c r="BT79" s="18">
        <f t="shared" si="121"/>
        <v>0</v>
      </c>
      <c r="BU79" s="18">
        <f t="shared" si="121"/>
        <v>0</v>
      </c>
      <c r="BV79" s="18">
        <f t="shared" si="121"/>
        <v>0</v>
      </c>
      <c r="BW79" s="18">
        <f t="shared" si="121"/>
        <v>0</v>
      </c>
      <c r="BX79" s="18">
        <f t="shared" si="121"/>
        <v>6518</v>
      </c>
      <c r="BY79" s="18">
        <f t="shared" si="121"/>
        <v>0</v>
      </c>
      <c r="BZ79" s="18">
        <f t="shared" si="121"/>
        <v>230536</v>
      </c>
      <c r="CA79" s="18">
        <f t="shared" si="121"/>
        <v>230536</v>
      </c>
      <c r="CB79" s="18">
        <f t="shared" si="121"/>
        <v>230536</v>
      </c>
      <c r="CC79" s="18">
        <f t="shared" si="121"/>
        <v>0</v>
      </c>
      <c r="CD79" s="18">
        <f t="shared" si="121"/>
        <v>230536</v>
      </c>
      <c r="CE79" s="18">
        <f t="shared" si="121"/>
        <v>0</v>
      </c>
      <c r="CF79" s="18">
        <f t="shared" si="121"/>
        <v>0</v>
      </c>
      <c r="CG79" s="18">
        <f t="shared" si="121"/>
        <v>0</v>
      </c>
      <c r="CH79" s="18">
        <f t="shared" si="121"/>
        <v>0</v>
      </c>
      <c r="CI79" s="18">
        <f t="shared" si="121"/>
        <v>0</v>
      </c>
      <c r="CJ79" s="18">
        <f t="shared" si="121"/>
        <v>0</v>
      </c>
      <c r="CK79" s="18">
        <f t="shared" si="121"/>
        <v>0</v>
      </c>
      <c r="CL79" s="18">
        <f t="shared" si="121"/>
        <v>0</v>
      </c>
      <c r="CM79" s="18">
        <f t="shared" si="121"/>
        <v>0</v>
      </c>
      <c r="CN79" s="18">
        <f t="shared" si="121"/>
        <v>0</v>
      </c>
      <c r="CO79" s="18"/>
      <c r="CP79" s="18"/>
      <c r="CQ79" s="18"/>
      <c r="CR79" s="18"/>
      <c r="CS79" s="18">
        <f t="shared" si="121"/>
        <v>0</v>
      </c>
      <c r="CT79" s="18"/>
      <c r="CU79" s="18"/>
      <c r="CV79" s="18"/>
      <c r="CW79" s="18">
        <f t="shared" si="121"/>
        <v>0</v>
      </c>
      <c r="CX79" s="18">
        <f t="shared" si="121"/>
        <v>0</v>
      </c>
      <c r="CY79" s="18">
        <f t="shared" si="121"/>
        <v>0</v>
      </c>
      <c r="CZ79" s="46">
        <f t="shared" ref="CZ79:CZ81" si="122">SUM(CZ80)</f>
        <v>0</v>
      </c>
      <c r="DA79" s="57"/>
    </row>
    <row r="80" spans="1:105" ht="31.5" x14ac:dyDescent="0.25">
      <c r="A80" s="80" t="s">
        <v>1</v>
      </c>
      <c r="B80" s="21" t="s">
        <v>173</v>
      </c>
      <c r="C80" s="22" t="s">
        <v>174</v>
      </c>
      <c r="D80" s="18">
        <f>SUM(E80+BZ80+CW80)</f>
        <v>9525103</v>
      </c>
      <c r="E80" s="19">
        <f>SUM(F80+BA80)</f>
        <v>9294567</v>
      </c>
      <c r="F80" s="19">
        <f>SUM(G80+H80+I80+P80+S80+T80+U80+AD80)</f>
        <v>9288049</v>
      </c>
      <c r="G80" s="23">
        <v>6927367</v>
      </c>
      <c r="H80" s="23">
        <v>1570272</v>
      </c>
      <c r="I80" s="19">
        <f t="shared" si="112"/>
        <v>388426</v>
      </c>
      <c r="J80" s="19">
        <v>0</v>
      </c>
      <c r="K80" s="19">
        <v>0</v>
      </c>
      <c r="L80" s="19">
        <v>0</v>
      </c>
      <c r="M80" s="19">
        <v>0</v>
      </c>
      <c r="N80" s="23">
        <v>323324</v>
      </c>
      <c r="O80" s="23">
        <v>65102</v>
      </c>
      <c r="P80" s="19">
        <f t="shared" si="113"/>
        <v>0</v>
      </c>
      <c r="Q80" s="19">
        <v>0</v>
      </c>
      <c r="R80" s="19">
        <v>0</v>
      </c>
      <c r="S80" s="19">
        <v>0</v>
      </c>
      <c r="T80" s="23">
        <v>103941</v>
      </c>
      <c r="U80" s="19">
        <f>SUM(V80:AC80)</f>
        <v>136942</v>
      </c>
      <c r="V80" s="23">
        <v>0</v>
      </c>
      <c r="W80" s="23">
        <v>86084</v>
      </c>
      <c r="X80" s="23">
        <v>37655</v>
      </c>
      <c r="Y80" s="23">
        <v>7284</v>
      </c>
      <c r="Z80" s="23">
        <v>5919</v>
      </c>
      <c r="AA80" s="23">
        <v>0</v>
      </c>
      <c r="AB80" s="23">
        <v>0</v>
      </c>
      <c r="AC80" s="23">
        <v>0</v>
      </c>
      <c r="AD80" s="19">
        <f>SUM(AE80:AZ80)</f>
        <v>161101</v>
      </c>
      <c r="AE80" s="19">
        <v>0</v>
      </c>
      <c r="AF80" s="19">
        <v>0</v>
      </c>
      <c r="AG80" s="23">
        <v>11997</v>
      </c>
      <c r="AH80" s="23">
        <v>116876</v>
      </c>
      <c r="AI80" s="23">
        <v>0</v>
      </c>
      <c r="AJ80" s="23">
        <v>0</v>
      </c>
      <c r="AK80" s="23">
        <v>0</v>
      </c>
      <c r="AL80" s="23">
        <v>0</v>
      </c>
      <c r="AM80" s="23">
        <v>0</v>
      </c>
      <c r="AN80" s="23">
        <v>15627</v>
      </c>
      <c r="AO80" s="23">
        <v>0</v>
      </c>
      <c r="AP80" s="23"/>
      <c r="AQ80" s="23">
        <v>0</v>
      </c>
      <c r="AR80" s="23">
        <v>16601</v>
      </c>
      <c r="AS80" s="23">
        <v>0</v>
      </c>
      <c r="AT80" s="23">
        <v>0</v>
      </c>
      <c r="AU80" s="23">
        <v>0</v>
      </c>
      <c r="AV80" s="23">
        <v>0</v>
      </c>
      <c r="AW80" s="23">
        <v>0</v>
      </c>
      <c r="AX80" s="23">
        <v>0</v>
      </c>
      <c r="AY80" s="23">
        <v>0</v>
      </c>
      <c r="AZ80" s="23">
        <v>0</v>
      </c>
      <c r="BA80" s="19">
        <f>SUM(BB80+BF80+BI80+BK80+BN80)</f>
        <v>6518</v>
      </c>
      <c r="BB80" s="19">
        <f>SUM(BC80:BE80)</f>
        <v>0</v>
      </c>
      <c r="BC80" s="19">
        <v>0</v>
      </c>
      <c r="BD80" s="19">
        <v>0</v>
      </c>
      <c r="BE80" s="19">
        <v>0</v>
      </c>
      <c r="BF80" s="19">
        <f>SUM(BH80:BH80)</f>
        <v>0</v>
      </c>
      <c r="BG80" s="19">
        <v>0</v>
      </c>
      <c r="BH80" s="19">
        <v>0</v>
      </c>
      <c r="BI80" s="19">
        <v>0</v>
      </c>
      <c r="BJ80" s="19">
        <v>0</v>
      </c>
      <c r="BK80" s="19">
        <f t="shared" si="114"/>
        <v>0</v>
      </c>
      <c r="BL80" s="19">
        <v>0</v>
      </c>
      <c r="BM80" s="19">
        <v>0</v>
      </c>
      <c r="BN80" s="19">
        <f>SUM(BO80:BY80)</f>
        <v>6518</v>
      </c>
      <c r="BO80" s="19">
        <v>0</v>
      </c>
      <c r="BP80" s="19">
        <v>0</v>
      </c>
      <c r="BQ80" s="19">
        <v>0</v>
      </c>
      <c r="BR80" s="19">
        <v>0</v>
      </c>
      <c r="BS80" s="19">
        <v>0</v>
      </c>
      <c r="BT80" s="19">
        <v>0</v>
      </c>
      <c r="BU80" s="19">
        <v>0</v>
      </c>
      <c r="BV80" s="19">
        <v>0</v>
      </c>
      <c r="BW80" s="19">
        <v>0</v>
      </c>
      <c r="BX80" s="19">
        <v>6518</v>
      </c>
      <c r="BY80" s="19">
        <v>0</v>
      </c>
      <c r="BZ80" s="19">
        <f>SUM(CA80+CS80)</f>
        <v>230536</v>
      </c>
      <c r="CA80" s="19">
        <f>SUM(CB80+CE80+CK80)</f>
        <v>230536</v>
      </c>
      <c r="CB80" s="19">
        <f t="shared" si="115"/>
        <v>230536</v>
      </c>
      <c r="CC80" s="19">
        <v>0</v>
      </c>
      <c r="CD80" s="23">
        <v>230536</v>
      </c>
      <c r="CE80" s="19">
        <f>SUM(CF80:CJ80)</f>
        <v>0</v>
      </c>
      <c r="CF80" s="19">
        <v>0</v>
      </c>
      <c r="CG80" s="19">
        <v>0</v>
      </c>
      <c r="CH80" s="19">
        <v>0</v>
      </c>
      <c r="CI80" s="19">
        <v>0</v>
      </c>
      <c r="CJ80" s="19">
        <v>0</v>
      </c>
      <c r="CK80" s="19">
        <f>SUM(CL80:CP80)</f>
        <v>0</v>
      </c>
      <c r="CL80" s="19">
        <v>0</v>
      </c>
      <c r="CM80" s="19">
        <v>0</v>
      </c>
      <c r="CN80" s="19">
        <v>0</v>
      </c>
      <c r="CO80" s="19"/>
      <c r="CP80" s="19"/>
      <c r="CQ80" s="19"/>
      <c r="CR80" s="19"/>
      <c r="CS80" s="19">
        <v>0</v>
      </c>
      <c r="CT80" s="19"/>
      <c r="CU80" s="19"/>
      <c r="CV80" s="19"/>
      <c r="CW80" s="19">
        <f t="shared" si="116"/>
        <v>0</v>
      </c>
      <c r="CX80" s="19">
        <f t="shared" si="117"/>
        <v>0</v>
      </c>
      <c r="CY80" s="19">
        <v>0</v>
      </c>
      <c r="CZ80" s="20">
        <v>0</v>
      </c>
    </row>
    <row r="81" spans="1:105" s="58" customFormat="1" ht="15.75" x14ac:dyDescent="0.25">
      <c r="A81" s="79" t="s">
        <v>175</v>
      </c>
      <c r="B81" s="16" t="s">
        <v>1</v>
      </c>
      <c r="C81" s="30" t="s">
        <v>360</v>
      </c>
      <c r="D81" s="18">
        <f t="shared" si="120"/>
        <v>72859735</v>
      </c>
      <c r="E81" s="18">
        <f t="shared" si="120"/>
        <v>67166007</v>
      </c>
      <c r="F81" s="18">
        <f t="shared" si="120"/>
        <v>65808857</v>
      </c>
      <c r="G81" s="18">
        <f t="shared" si="120"/>
        <v>35749463</v>
      </c>
      <c r="H81" s="18">
        <f t="shared" si="120"/>
        <v>421016</v>
      </c>
      <c r="I81" s="18">
        <f t="shared" si="120"/>
        <v>6409077</v>
      </c>
      <c r="J81" s="18">
        <f t="shared" si="120"/>
        <v>128138</v>
      </c>
      <c r="K81" s="18">
        <f t="shared" si="120"/>
        <v>2200050</v>
      </c>
      <c r="L81" s="18">
        <f t="shared" si="120"/>
        <v>0</v>
      </c>
      <c r="M81" s="18">
        <f t="shared" si="120"/>
        <v>35020</v>
      </c>
      <c r="N81" s="18">
        <f t="shared" si="120"/>
        <v>3250060</v>
      </c>
      <c r="O81" s="18">
        <f t="shared" si="120"/>
        <v>795809</v>
      </c>
      <c r="P81" s="18">
        <f t="shared" si="120"/>
        <v>60887</v>
      </c>
      <c r="Q81" s="18">
        <f t="shared" si="120"/>
        <v>60887</v>
      </c>
      <c r="R81" s="18">
        <f t="shared" si="120"/>
        <v>0</v>
      </c>
      <c r="S81" s="18">
        <f t="shared" si="120"/>
        <v>36654</v>
      </c>
      <c r="T81" s="18">
        <f t="shared" si="120"/>
        <v>416198</v>
      </c>
      <c r="U81" s="18">
        <f t="shared" si="120"/>
        <v>1086851</v>
      </c>
      <c r="V81" s="18">
        <f t="shared" si="120"/>
        <v>154903</v>
      </c>
      <c r="W81" s="18">
        <f t="shared" si="120"/>
        <v>3826</v>
      </c>
      <c r="X81" s="18">
        <f t="shared" si="120"/>
        <v>736813</v>
      </c>
      <c r="Y81" s="18">
        <f t="shared" si="120"/>
        <v>52392</v>
      </c>
      <c r="Z81" s="18">
        <f t="shared" si="120"/>
        <v>68788</v>
      </c>
      <c r="AA81" s="18">
        <f t="shared" si="120"/>
        <v>18000</v>
      </c>
      <c r="AB81" s="18">
        <f t="shared" si="120"/>
        <v>0</v>
      </c>
      <c r="AC81" s="18">
        <f t="shared" si="120"/>
        <v>52129</v>
      </c>
      <c r="AD81" s="18">
        <f t="shared" si="120"/>
        <v>21628711</v>
      </c>
      <c r="AE81" s="18">
        <f t="shared" si="120"/>
        <v>0</v>
      </c>
      <c r="AF81" s="18">
        <f t="shared" si="120"/>
        <v>0</v>
      </c>
      <c r="AG81" s="18">
        <f t="shared" si="120"/>
        <v>128131</v>
      </c>
      <c r="AH81" s="18">
        <f t="shared" si="120"/>
        <v>200000</v>
      </c>
      <c r="AI81" s="18">
        <f t="shared" si="120"/>
        <v>0</v>
      </c>
      <c r="AJ81" s="18">
        <f t="shared" si="120"/>
        <v>1897</v>
      </c>
      <c r="AK81" s="18">
        <f t="shared" si="121"/>
        <v>3000</v>
      </c>
      <c r="AL81" s="18">
        <f t="shared" si="121"/>
        <v>2286</v>
      </c>
      <c r="AM81" s="18">
        <f t="shared" si="121"/>
        <v>13000</v>
      </c>
      <c r="AN81" s="18">
        <f t="shared" si="121"/>
        <v>13386</v>
      </c>
      <c r="AO81" s="18">
        <f t="shared" si="121"/>
        <v>0</v>
      </c>
      <c r="AP81" s="18"/>
      <c r="AQ81" s="18">
        <f t="shared" si="121"/>
        <v>74250</v>
      </c>
      <c r="AR81" s="18">
        <f t="shared" si="121"/>
        <v>0</v>
      </c>
      <c r="AS81" s="18">
        <f t="shared" si="121"/>
        <v>0</v>
      </c>
      <c r="AT81" s="18"/>
      <c r="AU81" s="18"/>
      <c r="AV81" s="18">
        <f t="shared" si="121"/>
        <v>0</v>
      </c>
      <c r="AW81" s="18">
        <f t="shared" si="121"/>
        <v>19287313</v>
      </c>
      <c r="AX81" s="18">
        <f t="shared" si="121"/>
        <v>388800</v>
      </c>
      <c r="AY81" s="18">
        <f t="shared" si="121"/>
        <v>1057023</v>
      </c>
      <c r="AZ81" s="18">
        <f t="shared" si="121"/>
        <v>459625</v>
      </c>
      <c r="BA81" s="18">
        <f t="shared" si="121"/>
        <v>1357150</v>
      </c>
      <c r="BB81" s="18">
        <f t="shared" si="121"/>
        <v>0</v>
      </c>
      <c r="BC81" s="18">
        <f t="shared" si="121"/>
        <v>0</v>
      </c>
      <c r="BD81" s="18">
        <f t="shared" si="121"/>
        <v>0</v>
      </c>
      <c r="BE81" s="18">
        <f t="shared" si="121"/>
        <v>0</v>
      </c>
      <c r="BF81" s="18">
        <f t="shared" si="121"/>
        <v>0</v>
      </c>
      <c r="BG81" s="18">
        <f t="shared" si="121"/>
        <v>0</v>
      </c>
      <c r="BH81" s="18">
        <f t="shared" si="121"/>
        <v>0</v>
      </c>
      <c r="BI81" s="18">
        <f t="shared" si="121"/>
        <v>0</v>
      </c>
      <c r="BJ81" s="18">
        <f t="shared" si="121"/>
        <v>0</v>
      </c>
      <c r="BK81" s="18">
        <f t="shared" si="121"/>
        <v>358150</v>
      </c>
      <c r="BL81" s="18">
        <f t="shared" si="121"/>
        <v>358150</v>
      </c>
      <c r="BM81" s="18">
        <f t="shared" si="121"/>
        <v>0</v>
      </c>
      <c r="BN81" s="18">
        <f t="shared" si="121"/>
        <v>999000</v>
      </c>
      <c r="BO81" s="18">
        <f t="shared" si="121"/>
        <v>0</v>
      </c>
      <c r="BP81" s="18">
        <f t="shared" si="121"/>
        <v>0</v>
      </c>
      <c r="BQ81" s="18">
        <f t="shared" si="121"/>
        <v>0</v>
      </c>
      <c r="BR81" s="18">
        <f t="shared" si="121"/>
        <v>0</v>
      </c>
      <c r="BS81" s="18">
        <f t="shared" si="121"/>
        <v>0</v>
      </c>
      <c r="BT81" s="18">
        <f t="shared" si="121"/>
        <v>0</v>
      </c>
      <c r="BU81" s="18">
        <f t="shared" si="121"/>
        <v>0</v>
      </c>
      <c r="BV81" s="18">
        <f t="shared" si="121"/>
        <v>0</v>
      </c>
      <c r="BW81" s="18">
        <f t="shared" si="121"/>
        <v>0</v>
      </c>
      <c r="BX81" s="18">
        <f t="shared" si="121"/>
        <v>999000</v>
      </c>
      <c r="BY81" s="18">
        <f t="shared" si="121"/>
        <v>0</v>
      </c>
      <c r="BZ81" s="18">
        <f t="shared" si="121"/>
        <v>5693728</v>
      </c>
      <c r="CA81" s="18">
        <f t="shared" si="121"/>
        <v>5693728</v>
      </c>
      <c r="CB81" s="18">
        <f t="shared" si="121"/>
        <v>2822191</v>
      </c>
      <c r="CC81" s="18">
        <f t="shared" si="121"/>
        <v>0</v>
      </c>
      <c r="CD81" s="18">
        <f t="shared" si="121"/>
        <v>2822191</v>
      </c>
      <c r="CE81" s="18">
        <f t="shared" si="121"/>
        <v>1595500</v>
      </c>
      <c r="CF81" s="18">
        <f t="shared" si="121"/>
        <v>0</v>
      </c>
      <c r="CG81" s="18">
        <f t="shared" si="121"/>
        <v>0</v>
      </c>
      <c r="CH81" s="18">
        <f t="shared" si="121"/>
        <v>795500</v>
      </c>
      <c r="CI81" s="18">
        <f t="shared" si="121"/>
        <v>0</v>
      </c>
      <c r="CJ81" s="18">
        <f t="shared" si="121"/>
        <v>800000</v>
      </c>
      <c r="CK81" s="18">
        <f t="shared" si="121"/>
        <v>1276037</v>
      </c>
      <c r="CL81" s="18">
        <f t="shared" si="121"/>
        <v>0</v>
      </c>
      <c r="CM81" s="18">
        <f t="shared" si="121"/>
        <v>0</v>
      </c>
      <c r="CN81" s="18">
        <f t="shared" si="121"/>
        <v>1276037</v>
      </c>
      <c r="CO81" s="18"/>
      <c r="CP81" s="18"/>
      <c r="CQ81" s="18"/>
      <c r="CR81" s="18"/>
      <c r="CS81" s="18">
        <f t="shared" si="121"/>
        <v>0</v>
      </c>
      <c r="CT81" s="18"/>
      <c r="CU81" s="18"/>
      <c r="CV81" s="18"/>
      <c r="CW81" s="18">
        <f t="shared" si="121"/>
        <v>0</v>
      </c>
      <c r="CX81" s="18">
        <f t="shared" si="121"/>
        <v>0</v>
      </c>
      <c r="CY81" s="18">
        <f t="shared" si="121"/>
        <v>0</v>
      </c>
      <c r="CZ81" s="46">
        <f t="shared" si="122"/>
        <v>0</v>
      </c>
      <c r="DA81" s="57"/>
    </row>
    <row r="82" spans="1:105" ht="31.5" x14ac:dyDescent="0.25">
      <c r="A82" s="80" t="s">
        <v>1</v>
      </c>
      <c r="B82" s="21" t="s">
        <v>176</v>
      </c>
      <c r="C82" s="31" t="s">
        <v>177</v>
      </c>
      <c r="D82" s="18">
        <f>SUM(E82+BZ82+CW82)</f>
        <v>72859735</v>
      </c>
      <c r="E82" s="19">
        <f>SUM(F82+BA82)</f>
        <v>67166007</v>
      </c>
      <c r="F82" s="19">
        <f>SUM(G82+H82+I82+P82+S82+T82+U82+AD82)</f>
        <v>65808857</v>
      </c>
      <c r="G82" s="23">
        <v>35749463</v>
      </c>
      <c r="H82" s="23">
        <v>421016</v>
      </c>
      <c r="I82" s="19">
        <f t="shared" ref="I82" si="123">SUM(J82:O82)</f>
        <v>6409077</v>
      </c>
      <c r="J82" s="23">
        <v>128138</v>
      </c>
      <c r="K82" s="23">
        <v>2200050</v>
      </c>
      <c r="L82" s="23">
        <v>0</v>
      </c>
      <c r="M82" s="23">
        <v>35020</v>
      </c>
      <c r="N82" s="23">
        <v>3250060</v>
      </c>
      <c r="O82" s="23">
        <v>795809</v>
      </c>
      <c r="P82" s="19">
        <f t="shared" ref="P82" si="124">SUM(Q82:R82)</f>
        <v>60887</v>
      </c>
      <c r="Q82" s="23">
        <v>60887</v>
      </c>
      <c r="R82" s="23">
        <v>0</v>
      </c>
      <c r="S82" s="23">
        <v>36654</v>
      </c>
      <c r="T82" s="23">
        <v>416198</v>
      </c>
      <c r="U82" s="19">
        <f>SUM(V82:AC82)</f>
        <v>1086851</v>
      </c>
      <c r="V82" s="23">
        <v>154903</v>
      </c>
      <c r="W82" s="23">
        <v>3826</v>
      </c>
      <c r="X82" s="23">
        <v>736813</v>
      </c>
      <c r="Y82" s="23">
        <v>52392</v>
      </c>
      <c r="Z82" s="23">
        <v>68788</v>
      </c>
      <c r="AA82" s="23">
        <v>18000</v>
      </c>
      <c r="AB82" s="23">
        <v>0</v>
      </c>
      <c r="AC82" s="23">
        <v>52129</v>
      </c>
      <c r="AD82" s="19">
        <f>SUM(AE82:AZ82)</f>
        <v>21628711</v>
      </c>
      <c r="AE82" s="19">
        <v>0</v>
      </c>
      <c r="AF82" s="19">
        <v>0</v>
      </c>
      <c r="AG82" s="23">
        <v>128131</v>
      </c>
      <c r="AH82" s="23">
        <v>200000</v>
      </c>
      <c r="AI82" s="23">
        <v>0</v>
      </c>
      <c r="AJ82" s="23">
        <v>1897</v>
      </c>
      <c r="AK82" s="23">
        <v>3000</v>
      </c>
      <c r="AL82" s="23">
        <v>2286</v>
      </c>
      <c r="AM82" s="23">
        <v>13000</v>
      </c>
      <c r="AN82" s="23">
        <v>13386</v>
      </c>
      <c r="AO82" s="23">
        <v>0</v>
      </c>
      <c r="AP82" s="23"/>
      <c r="AQ82" s="23">
        <v>74250</v>
      </c>
      <c r="AR82" s="23">
        <v>0</v>
      </c>
      <c r="AS82" s="23">
        <v>0</v>
      </c>
      <c r="AT82" s="23">
        <v>0</v>
      </c>
      <c r="AU82" s="23">
        <v>0</v>
      </c>
      <c r="AV82" s="23">
        <v>0</v>
      </c>
      <c r="AW82" s="23">
        <v>19287313</v>
      </c>
      <c r="AX82" s="23">
        <v>388800</v>
      </c>
      <c r="AY82" s="23">
        <v>1057023</v>
      </c>
      <c r="AZ82" s="23">
        <v>459625</v>
      </c>
      <c r="BA82" s="19">
        <f>SUM(BB82+BF82+BI82+BK82+BN82)</f>
        <v>1357150</v>
      </c>
      <c r="BB82" s="19">
        <f>SUM(BC82:BE82)</f>
        <v>0</v>
      </c>
      <c r="BC82" s="19">
        <v>0</v>
      </c>
      <c r="BD82" s="19">
        <v>0</v>
      </c>
      <c r="BE82" s="19">
        <v>0</v>
      </c>
      <c r="BF82" s="19">
        <f>SUM(BH82:BH82)</f>
        <v>0</v>
      </c>
      <c r="BG82" s="19">
        <v>0</v>
      </c>
      <c r="BH82" s="19">
        <v>0</v>
      </c>
      <c r="BI82" s="19">
        <v>0</v>
      </c>
      <c r="BJ82" s="23"/>
      <c r="BK82" s="19">
        <f t="shared" ref="BK82" si="125">SUM(BL82)</f>
        <v>358150</v>
      </c>
      <c r="BL82" s="23">
        <v>358150</v>
      </c>
      <c r="BM82" s="19">
        <v>0</v>
      </c>
      <c r="BN82" s="19">
        <f>SUM(BO82:BY82)</f>
        <v>999000</v>
      </c>
      <c r="BO82" s="19">
        <v>0</v>
      </c>
      <c r="BP82" s="19">
        <v>0</v>
      </c>
      <c r="BQ82" s="19">
        <v>0</v>
      </c>
      <c r="BR82" s="19">
        <v>0</v>
      </c>
      <c r="BS82" s="19">
        <v>0</v>
      </c>
      <c r="BT82" s="19">
        <v>0</v>
      </c>
      <c r="BU82" s="19">
        <v>0</v>
      </c>
      <c r="BV82" s="19">
        <v>0</v>
      </c>
      <c r="BW82" s="19">
        <v>0</v>
      </c>
      <c r="BX82" s="23">
        <v>999000</v>
      </c>
      <c r="BY82" s="19">
        <v>0</v>
      </c>
      <c r="BZ82" s="19">
        <f>SUM(CA82+CS82)</f>
        <v>5693728</v>
      </c>
      <c r="CA82" s="19">
        <f>SUM(CB82+CE82+CK82)</f>
        <v>5693728</v>
      </c>
      <c r="CB82" s="19">
        <f t="shared" ref="CB82" si="126">SUM(CC82:CD82)</f>
        <v>2822191</v>
      </c>
      <c r="CC82" s="19">
        <v>0</v>
      </c>
      <c r="CD82" s="23">
        <v>2822191</v>
      </c>
      <c r="CE82" s="19">
        <f>SUM(CF82:CJ82)</f>
        <v>1595500</v>
      </c>
      <c r="CF82" s="19">
        <v>0</v>
      </c>
      <c r="CG82" s="19">
        <v>0</v>
      </c>
      <c r="CH82" s="23">
        <v>795500</v>
      </c>
      <c r="CI82" s="23"/>
      <c r="CJ82" s="23">
        <v>800000</v>
      </c>
      <c r="CK82" s="19">
        <f>SUM(CL82:CP82)</f>
        <v>1276037</v>
      </c>
      <c r="CL82" s="24"/>
      <c r="CM82" s="24"/>
      <c r="CN82" s="23">
        <v>1276037</v>
      </c>
      <c r="CO82" s="19"/>
      <c r="CP82" s="19"/>
      <c r="CQ82" s="19"/>
      <c r="CR82" s="19"/>
      <c r="CS82" s="19">
        <v>0</v>
      </c>
      <c r="CT82" s="19"/>
      <c r="CU82" s="19"/>
      <c r="CV82" s="19"/>
      <c r="CW82" s="19">
        <f t="shared" ref="CW82" si="127">SUM(CX82)</f>
        <v>0</v>
      </c>
      <c r="CX82" s="19">
        <f t="shared" ref="CX82" si="128">SUM(CY82:CZ82)</f>
        <v>0</v>
      </c>
      <c r="CY82" s="19">
        <v>0</v>
      </c>
      <c r="CZ82" s="20">
        <v>0</v>
      </c>
    </row>
    <row r="83" spans="1:105" s="58" customFormat="1" ht="31.5" x14ac:dyDescent="0.25">
      <c r="A83" s="79" t="s">
        <v>178</v>
      </c>
      <c r="B83" s="16" t="s">
        <v>1</v>
      </c>
      <c r="C83" s="17" t="s">
        <v>550</v>
      </c>
      <c r="D83" s="18">
        <f t="shared" ref="D83:AJ83" si="129">SUM(D84)</f>
        <v>44586776</v>
      </c>
      <c r="E83" s="18">
        <f t="shared" si="129"/>
        <v>42013686</v>
      </c>
      <c r="F83" s="18">
        <f t="shared" si="129"/>
        <v>42007358</v>
      </c>
      <c r="G83" s="18">
        <f t="shared" si="129"/>
        <v>34164376</v>
      </c>
      <c r="H83" s="18">
        <f t="shared" si="129"/>
        <v>684000</v>
      </c>
      <c r="I83" s="18">
        <f t="shared" si="129"/>
        <v>5193096</v>
      </c>
      <c r="J83" s="18">
        <f t="shared" si="129"/>
        <v>34761</v>
      </c>
      <c r="K83" s="18">
        <f t="shared" si="129"/>
        <v>441647</v>
      </c>
      <c r="L83" s="18">
        <f t="shared" si="129"/>
        <v>40255</v>
      </c>
      <c r="M83" s="18">
        <f t="shared" si="129"/>
        <v>0</v>
      </c>
      <c r="N83" s="18">
        <f t="shared" si="129"/>
        <v>4243632</v>
      </c>
      <c r="O83" s="18">
        <f t="shared" si="129"/>
        <v>432801</v>
      </c>
      <c r="P83" s="18">
        <f t="shared" si="129"/>
        <v>171205</v>
      </c>
      <c r="Q83" s="18">
        <f t="shared" si="129"/>
        <v>4418</v>
      </c>
      <c r="R83" s="18">
        <f t="shared" si="129"/>
        <v>166787</v>
      </c>
      <c r="S83" s="18">
        <f t="shared" si="129"/>
        <v>0</v>
      </c>
      <c r="T83" s="18">
        <f t="shared" si="129"/>
        <v>33343</v>
      </c>
      <c r="U83" s="18">
        <f t="shared" si="129"/>
        <v>385700</v>
      </c>
      <c r="V83" s="18">
        <f t="shared" si="129"/>
        <v>192429</v>
      </c>
      <c r="W83" s="18">
        <f t="shared" si="129"/>
        <v>0</v>
      </c>
      <c r="X83" s="18">
        <f t="shared" si="129"/>
        <v>143251</v>
      </c>
      <c r="Y83" s="18">
        <f t="shared" si="129"/>
        <v>24103</v>
      </c>
      <c r="Z83" s="18">
        <f t="shared" si="129"/>
        <v>7120</v>
      </c>
      <c r="AA83" s="18">
        <f t="shared" si="129"/>
        <v>0</v>
      </c>
      <c r="AB83" s="18">
        <f t="shared" si="129"/>
        <v>0</v>
      </c>
      <c r="AC83" s="18">
        <f t="shared" si="129"/>
        <v>18797</v>
      </c>
      <c r="AD83" s="18">
        <f t="shared" si="129"/>
        <v>1375638</v>
      </c>
      <c r="AE83" s="18">
        <f t="shared" si="129"/>
        <v>0</v>
      </c>
      <c r="AF83" s="18">
        <f t="shared" si="129"/>
        <v>0</v>
      </c>
      <c r="AG83" s="18">
        <f t="shared" si="129"/>
        <v>0</v>
      </c>
      <c r="AH83" s="18">
        <f t="shared" si="129"/>
        <v>0</v>
      </c>
      <c r="AI83" s="18">
        <f t="shared" si="129"/>
        <v>0</v>
      </c>
      <c r="AJ83" s="18">
        <f t="shared" si="129"/>
        <v>0</v>
      </c>
      <c r="AK83" s="18">
        <f t="shared" ref="AK83:CZ83" si="130">SUM(AK84)</f>
        <v>6693</v>
      </c>
      <c r="AL83" s="18">
        <f t="shared" si="130"/>
        <v>0</v>
      </c>
      <c r="AM83" s="18">
        <f t="shared" si="130"/>
        <v>50768</v>
      </c>
      <c r="AN83" s="18">
        <f t="shared" si="130"/>
        <v>52380</v>
      </c>
      <c r="AO83" s="18">
        <f t="shared" si="130"/>
        <v>0</v>
      </c>
      <c r="AP83" s="18"/>
      <c r="AQ83" s="18">
        <f t="shared" si="130"/>
        <v>30000</v>
      </c>
      <c r="AR83" s="18">
        <f t="shared" si="130"/>
        <v>2430</v>
      </c>
      <c r="AS83" s="18">
        <f t="shared" si="130"/>
        <v>19200</v>
      </c>
      <c r="AT83" s="18"/>
      <c r="AU83" s="18"/>
      <c r="AV83" s="18">
        <f t="shared" si="130"/>
        <v>0</v>
      </c>
      <c r="AW83" s="18">
        <f t="shared" si="130"/>
        <v>1052116</v>
      </c>
      <c r="AX83" s="18">
        <f t="shared" si="130"/>
        <v>0</v>
      </c>
      <c r="AY83" s="18"/>
      <c r="AZ83" s="18">
        <f t="shared" si="130"/>
        <v>162051</v>
      </c>
      <c r="BA83" s="18">
        <f t="shared" si="130"/>
        <v>6328</v>
      </c>
      <c r="BB83" s="18">
        <f t="shared" si="130"/>
        <v>0</v>
      </c>
      <c r="BC83" s="18">
        <f t="shared" si="130"/>
        <v>0</v>
      </c>
      <c r="BD83" s="18">
        <f t="shared" si="130"/>
        <v>0</v>
      </c>
      <c r="BE83" s="18">
        <f t="shared" si="130"/>
        <v>0</v>
      </c>
      <c r="BF83" s="18">
        <f t="shared" si="130"/>
        <v>0</v>
      </c>
      <c r="BG83" s="18">
        <f t="shared" si="130"/>
        <v>0</v>
      </c>
      <c r="BH83" s="18">
        <f t="shared" si="130"/>
        <v>0</v>
      </c>
      <c r="BI83" s="18">
        <f t="shared" si="130"/>
        <v>0</v>
      </c>
      <c r="BJ83" s="18">
        <f t="shared" si="130"/>
        <v>0</v>
      </c>
      <c r="BK83" s="18">
        <f t="shared" si="130"/>
        <v>6328</v>
      </c>
      <c r="BL83" s="18">
        <f t="shared" si="130"/>
        <v>6328</v>
      </c>
      <c r="BM83" s="18">
        <f t="shared" si="130"/>
        <v>0</v>
      </c>
      <c r="BN83" s="18">
        <f t="shared" si="130"/>
        <v>0</v>
      </c>
      <c r="BO83" s="18">
        <f t="shared" si="130"/>
        <v>0</v>
      </c>
      <c r="BP83" s="18">
        <f t="shared" si="130"/>
        <v>0</v>
      </c>
      <c r="BQ83" s="18">
        <f t="shared" si="130"/>
        <v>0</v>
      </c>
      <c r="BR83" s="18">
        <f t="shared" si="130"/>
        <v>0</v>
      </c>
      <c r="BS83" s="18">
        <f t="shared" si="130"/>
        <v>0</v>
      </c>
      <c r="BT83" s="18">
        <f t="shared" si="130"/>
        <v>0</v>
      </c>
      <c r="BU83" s="18">
        <f t="shared" si="130"/>
        <v>0</v>
      </c>
      <c r="BV83" s="18">
        <f t="shared" si="130"/>
        <v>0</v>
      </c>
      <c r="BW83" s="18">
        <f t="shared" si="130"/>
        <v>0</v>
      </c>
      <c r="BX83" s="18">
        <f t="shared" si="130"/>
        <v>0</v>
      </c>
      <c r="BY83" s="18">
        <f t="shared" si="130"/>
        <v>0</v>
      </c>
      <c r="BZ83" s="18">
        <f t="shared" si="130"/>
        <v>2573090</v>
      </c>
      <c r="CA83" s="18">
        <f t="shared" si="130"/>
        <v>2573090</v>
      </c>
      <c r="CB83" s="18">
        <f t="shared" si="130"/>
        <v>1152177</v>
      </c>
      <c r="CC83" s="18">
        <f t="shared" si="130"/>
        <v>0</v>
      </c>
      <c r="CD83" s="18">
        <f t="shared" si="130"/>
        <v>1152177</v>
      </c>
      <c r="CE83" s="18">
        <f t="shared" si="130"/>
        <v>377913</v>
      </c>
      <c r="CF83" s="18">
        <f t="shared" si="130"/>
        <v>0</v>
      </c>
      <c r="CG83" s="18">
        <f t="shared" si="130"/>
        <v>0</v>
      </c>
      <c r="CH83" s="18">
        <f t="shared" si="130"/>
        <v>377913</v>
      </c>
      <c r="CI83" s="18">
        <f t="shared" si="130"/>
        <v>0</v>
      </c>
      <c r="CJ83" s="18">
        <f t="shared" si="130"/>
        <v>0</v>
      </c>
      <c r="CK83" s="18">
        <f t="shared" si="130"/>
        <v>1043000</v>
      </c>
      <c r="CL83" s="18">
        <f t="shared" si="130"/>
        <v>0</v>
      </c>
      <c r="CM83" s="18">
        <f t="shared" si="130"/>
        <v>0</v>
      </c>
      <c r="CN83" s="18">
        <f t="shared" si="130"/>
        <v>1043000</v>
      </c>
      <c r="CO83" s="18"/>
      <c r="CP83" s="18"/>
      <c r="CQ83" s="18"/>
      <c r="CR83" s="18"/>
      <c r="CS83" s="18">
        <f t="shared" si="130"/>
        <v>0</v>
      </c>
      <c r="CT83" s="18"/>
      <c r="CU83" s="18"/>
      <c r="CV83" s="18"/>
      <c r="CW83" s="18">
        <f t="shared" si="130"/>
        <v>0</v>
      </c>
      <c r="CX83" s="18">
        <f t="shared" si="130"/>
        <v>0</v>
      </c>
      <c r="CY83" s="18">
        <f t="shared" si="130"/>
        <v>0</v>
      </c>
      <c r="CZ83" s="46">
        <f t="shared" si="130"/>
        <v>0</v>
      </c>
      <c r="DA83" s="57"/>
    </row>
    <row r="84" spans="1:105" ht="15.75" x14ac:dyDescent="0.25">
      <c r="A84" s="80" t="s">
        <v>1</v>
      </c>
      <c r="B84" s="21" t="s">
        <v>179</v>
      </c>
      <c r="C84" s="22" t="s">
        <v>180</v>
      </c>
      <c r="D84" s="18">
        <f>SUM(E84+BZ84+CW84)</f>
        <v>44586776</v>
      </c>
      <c r="E84" s="19">
        <f>SUM(F84+BA84)</f>
        <v>42013686</v>
      </c>
      <c r="F84" s="19">
        <f>SUM(G84+H84+I84+P84+S84+T84+U84+AD84)</f>
        <v>42007358</v>
      </c>
      <c r="G84" s="23">
        <v>34164376</v>
      </c>
      <c r="H84" s="23">
        <v>684000</v>
      </c>
      <c r="I84" s="19">
        <f t="shared" si="112"/>
        <v>5193096</v>
      </c>
      <c r="J84" s="23">
        <v>34761</v>
      </c>
      <c r="K84" s="23">
        <v>441647</v>
      </c>
      <c r="L84" s="23">
        <v>40255</v>
      </c>
      <c r="M84" s="23">
        <v>0</v>
      </c>
      <c r="N84" s="23">
        <v>4243632</v>
      </c>
      <c r="O84" s="23">
        <v>432801</v>
      </c>
      <c r="P84" s="19">
        <f t="shared" si="113"/>
        <v>171205</v>
      </c>
      <c r="Q84" s="23">
        <v>4418</v>
      </c>
      <c r="R84" s="23">
        <v>166787</v>
      </c>
      <c r="S84" s="23">
        <v>0</v>
      </c>
      <c r="T84" s="23">
        <v>33343</v>
      </c>
      <c r="U84" s="19">
        <f>SUM(V84:AC84)</f>
        <v>385700</v>
      </c>
      <c r="V84" s="23">
        <v>192429</v>
      </c>
      <c r="W84" s="23">
        <v>0</v>
      </c>
      <c r="X84" s="23">
        <v>143251</v>
      </c>
      <c r="Y84" s="23">
        <v>24103</v>
      </c>
      <c r="Z84" s="23">
        <v>7120</v>
      </c>
      <c r="AA84" s="23">
        <v>0</v>
      </c>
      <c r="AB84" s="23">
        <v>0</v>
      </c>
      <c r="AC84" s="23">
        <v>18797</v>
      </c>
      <c r="AD84" s="19">
        <f>SUM(AE84:AZ84)</f>
        <v>1375638</v>
      </c>
      <c r="AE84" s="19">
        <v>0</v>
      </c>
      <c r="AF84" s="19">
        <v>0</v>
      </c>
      <c r="AG84" s="19">
        <v>0</v>
      </c>
      <c r="AH84" s="19">
        <v>0</v>
      </c>
      <c r="AI84" s="23">
        <v>0</v>
      </c>
      <c r="AJ84" s="23">
        <v>0</v>
      </c>
      <c r="AK84" s="23">
        <v>6693</v>
      </c>
      <c r="AL84" s="23">
        <v>0</v>
      </c>
      <c r="AM84" s="23">
        <v>50768</v>
      </c>
      <c r="AN84" s="23">
        <v>52380</v>
      </c>
      <c r="AO84" s="23">
        <v>0</v>
      </c>
      <c r="AP84" s="23"/>
      <c r="AQ84" s="23">
        <v>30000</v>
      </c>
      <c r="AR84" s="23">
        <v>2430</v>
      </c>
      <c r="AS84" s="23">
        <v>19200</v>
      </c>
      <c r="AT84" s="23">
        <v>0</v>
      </c>
      <c r="AU84" s="23">
        <v>0</v>
      </c>
      <c r="AV84" s="23">
        <v>0</v>
      </c>
      <c r="AW84" s="23">
        <v>1052116</v>
      </c>
      <c r="AX84" s="23">
        <v>0</v>
      </c>
      <c r="AY84" s="23">
        <v>0</v>
      </c>
      <c r="AZ84" s="23">
        <v>162051</v>
      </c>
      <c r="BA84" s="19">
        <f>SUM(BB84+BF84+BI84+BK84+BN84)</f>
        <v>6328</v>
      </c>
      <c r="BB84" s="19">
        <f>SUM(BC84:BE84)</f>
        <v>0</v>
      </c>
      <c r="BC84" s="19">
        <v>0</v>
      </c>
      <c r="BD84" s="19">
        <v>0</v>
      </c>
      <c r="BE84" s="19">
        <v>0</v>
      </c>
      <c r="BF84" s="19">
        <f>SUM(BH84:BH84)</f>
        <v>0</v>
      </c>
      <c r="BG84" s="19">
        <v>0</v>
      </c>
      <c r="BH84" s="19">
        <v>0</v>
      </c>
      <c r="BI84" s="19">
        <v>0</v>
      </c>
      <c r="BJ84" s="19"/>
      <c r="BK84" s="19">
        <f t="shared" si="114"/>
        <v>6328</v>
      </c>
      <c r="BL84" s="19">
        <v>6328</v>
      </c>
      <c r="BM84" s="19"/>
      <c r="BN84" s="19">
        <f>SUM(BO84:BY84)</f>
        <v>0</v>
      </c>
      <c r="BO84" s="19">
        <v>0</v>
      </c>
      <c r="BP84" s="19">
        <v>0</v>
      </c>
      <c r="BQ84" s="19">
        <v>0</v>
      </c>
      <c r="BR84" s="19">
        <v>0</v>
      </c>
      <c r="BS84" s="19">
        <v>0</v>
      </c>
      <c r="BT84" s="19">
        <v>0</v>
      </c>
      <c r="BU84" s="19">
        <v>0</v>
      </c>
      <c r="BV84" s="19">
        <v>0</v>
      </c>
      <c r="BW84" s="19">
        <v>0</v>
      </c>
      <c r="BX84" s="19">
        <v>0</v>
      </c>
      <c r="BY84" s="19"/>
      <c r="BZ84" s="19">
        <f>SUM(CA84+CS84)</f>
        <v>2573090</v>
      </c>
      <c r="CA84" s="19">
        <f>SUM(CB84+CE84+CK84)</f>
        <v>2573090</v>
      </c>
      <c r="CB84" s="19">
        <f t="shared" si="115"/>
        <v>1152177</v>
      </c>
      <c r="CC84" s="19">
        <v>0</v>
      </c>
      <c r="CD84" s="23">
        <v>1152177</v>
      </c>
      <c r="CE84" s="19">
        <f>SUM(CF84:CJ84)</f>
        <v>377913</v>
      </c>
      <c r="CF84" s="19">
        <v>0</v>
      </c>
      <c r="CG84" s="19">
        <v>0</v>
      </c>
      <c r="CH84" s="19">
        <v>377913</v>
      </c>
      <c r="CI84" s="19">
        <v>0</v>
      </c>
      <c r="CJ84" s="19">
        <v>0</v>
      </c>
      <c r="CK84" s="19">
        <f>SUM(CL84:CP84)</f>
        <v>1043000</v>
      </c>
      <c r="CL84" s="19"/>
      <c r="CM84" s="19"/>
      <c r="CN84" s="19">
        <v>1043000</v>
      </c>
      <c r="CO84" s="19"/>
      <c r="CP84" s="19"/>
      <c r="CQ84" s="19"/>
      <c r="CR84" s="19"/>
      <c r="CS84" s="19">
        <v>0</v>
      </c>
      <c r="CT84" s="19"/>
      <c r="CU84" s="19"/>
      <c r="CV84" s="19"/>
      <c r="CW84" s="19">
        <f t="shared" si="116"/>
        <v>0</v>
      </c>
      <c r="CX84" s="19">
        <f t="shared" si="117"/>
        <v>0</v>
      </c>
      <c r="CY84" s="19">
        <v>0</v>
      </c>
      <c r="CZ84" s="20">
        <v>0</v>
      </c>
    </row>
    <row r="85" spans="1:105" s="58" customFormat="1" ht="47.25" x14ac:dyDescent="0.25">
      <c r="A85" s="81" t="s">
        <v>181</v>
      </c>
      <c r="B85" s="25" t="s">
        <v>1</v>
      </c>
      <c r="C85" s="26" t="s">
        <v>182</v>
      </c>
      <c r="D85" s="27">
        <f>SUM(D86+D89)</f>
        <v>16511126</v>
      </c>
      <c r="E85" s="27">
        <f t="shared" ref="E85:BT85" si="131">SUM(E86+E89)</f>
        <v>16507495</v>
      </c>
      <c r="F85" s="27">
        <f t="shared" si="131"/>
        <v>16506592</v>
      </c>
      <c r="G85" s="27">
        <f t="shared" si="131"/>
        <v>3235607</v>
      </c>
      <c r="H85" s="27">
        <f t="shared" si="131"/>
        <v>738563</v>
      </c>
      <c r="I85" s="27">
        <f t="shared" si="131"/>
        <v>65608</v>
      </c>
      <c r="J85" s="27">
        <f t="shared" si="131"/>
        <v>0</v>
      </c>
      <c r="K85" s="27">
        <f t="shared" si="131"/>
        <v>0</v>
      </c>
      <c r="L85" s="27">
        <f t="shared" si="131"/>
        <v>0</v>
      </c>
      <c r="M85" s="27">
        <f t="shared" si="131"/>
        <v>0</v>
      </c>
      <c r="N85" s="27">
        <f t="shared" si="131"/>
        <v>65409</v>
      </c>
      <c r="O85" s="27">
        <f t="shared" si="131"/>
        <v>199</v>
      </c>
      <c r="P85" s="27">
        <f t="shared" si="131"/>
        <v>0</v>
      </c>
      <c r="Q85" s="27">
        <f t="shared" si="131"/>
        <v>0</v>
      </c>
      <c r="R85" s="27">
        <f t="shared" si="131"/>
        <v>0</v>
      </c>
      <c r="S85" s="27">
        <f t="shared" si="131"/>
        <v>0</v>
      </c>
      <c r="T85" s="27">
        <f t="shared" si="131"/>
        <v>27606</v>
      </c>
      <c r="U85" s="27">
        <f t="shared" si="131"/>
        <v>198199</v>
      </c>
      <c r="V85" s="27">
        <f t="shared" si="131"/>
        <v>0</v>
      </c>
      <c r="W85" s="27">
        <f t="shared" si="131"/>
        <v>149066</v>
      </c>
      <c r="X85" s="27">
        <f t="shared" si="131"/>
        <v>18894</v>
      </c>
      <c r="Y85" s="27">
        <f t="shared" si="131"/>
        <v>30239</v>
      </c>
      <c r="Z85" s="27">
        <f t="shared" si="131"/>
        <v>0</v>
      </c>
      <c r="AA85" s="27">
        <f t="shared" si="131"/>
        <v>0</v>
      </c>
      <c r="AB85" s="27">
        <f t="shared" si="131"/>
        <v>0</v>
      </c>
      <c r="AC85" s="27">
        <f t="shared" si="131"/>
        <v>0</v>
      </c>
      <c r="AD85" s="27">
        <f t="shared" si="131"/>
        <v>12241009</v>
      </c>
      <c r="AE85" s="27">
        <f t="shared" si="131"/>
        <v>0</v>
      </c>
      <c r="AF85" s="27">
        <f t="shared" si="131"/>
        <v>12156937</v>
      </c>
      <c r="AG85" s="27">
        <f t="shared" si="131"/>
        <v>0</v>
      </c>
      <c r="AH85" s="27">
        <f t="shared" si="131"/>
        <v>0</v>
      </c>
      <c r="AI85" s="27">
        <f t="shared" si="131"/>
        <v>0</v>
      </c>
      <c r="AJ85" s="27">
        <f t="shared" si="131"/>
        <v>3363</v>
      </c>
      <c r="AK85" s="27">
        <f t="shared" si="131"/>
        <v>0</v>
      </c>
      <c r="AL85" s="27">
        <f t="shared" si="131"/>
        <v>0</v>
      </c>
      <c r="AM85" s="27">
        <f t="shared" si="131"/>
        <v>0</v>
      </c>
      <c r="AN85" s="27">
        <f t="shared" si="131"/>
        <v>0</v>
      </c>
      <c r="AO85" s="27">
        <f t="shared" si="131"/>
        <v>0</v>
      </c>
      <c r="AP85" s="27"/>
      <c r="AQ85" s="27">
        <f t="shared" si="131"/>
        <v>0</v>
      </c>
      <c r="AR85" s="27">
        <f t="shared" si="131"/>
        <v>0</v>
      </c>
      <c r="AS85" s="27">
        <f t="shared" si="131"/>
        <v>0</v>
      </c>
      <c r="AT85" s="27"/>
      <c r="AU85" s="27"/>
      <c r="AV85" s="27">
        <f t="shared" si="131"/>
        <v>0</v>
      </c>
      <c r="AW85" s="27">
        <f t="shared" si="131"/>
        <v>0</v>
      </c>
      <c r="AX85" s="27">
        <f t="shared" si="131"/>
        <v>73200</v>
      </c>
      <c r="AY85" s="27"/>
      <c r="AZ85" s="27">
        <f t="shared" si="131"/>
        <v>7509</v>
      </c>
      <c r="BA85" s="27">
        <f t="shared" si="131"/>
        <v>903</v>
      </c>
      <c r="BB85" s="27">
        <f t="shared" si="131"/>
        <v>0</v>
      </c>
      <c r="BC85" s="27">
        <f t="shared" si="131"/>
        <v>0</v>
      </c>
      <c r="BD85" s="27">
        <f t="shared" si="131"/>
        <v>0</v>
      </c>
      <c r="BE85" s="27">
        <f t="shared" si="131"/>
        <v>0</v>
      </c>
      <c r="BF85" s="27">
        <f t="shared" si="131"/>
        <v>0</v>
      </c>
      <c r="BG85" s="27">
        <f t="shared" si="131"/>
        <v>0</v>
      </c>
      <c r="BH85" s="27">
        <f t="shared" si="131"/>
        <v>0</v>
      </c>
      <c r="BI85" s="27">
        <f t="shared" si="131"/>
        <v>0</v>
      </c>
      <c r="BJ85" s="27">
        <f t="shared" ref="BJ85" si="132">SUM(BJ86+BJ89)</f>
        <v>0</v>
      </c>
      <c r="BK85" s="27">
        <f t="shared" si="131"/>
        <v>0</v>
      </c>
      <c r="BL85" s="27">
        <f t="shared" si="131"/>
        <v>0</v>
      </c>
      <c r="BM85" s="27">
        <f t="shared" ref="BM85" si="133">SUM(BM86+BM89)</f>
        <v>0</v>
      </c>
      <c r="BN85" s="27">
        <f t="shared" si="131"/>
        <v>903</v>
      </c>
      <c r="BO85" s="27">
        <f t="shared" si="131"/>
        <v>0</v>
      </c>
      <c r="BP85" s="27">
        <f t="shared" si="131"/>
        <v>0</v>
      </c>
      <c r="BQ85" s="27">
        <f t="shared" si="131"/>
        <v>903</v>
      </c>
      <c r="BR85" s="27">
        <f t="shared" si="131"/>
        <v>0</v>
      </c>
      <c r="BS85" s="27">
        <f t="shared" si="131"/>
        <v>0</v>
      </c>
      <c r="BT85" s="27">
        <f t="shared" si="131"/>
        <v>0</v>
      </c>
      <c r="BU85" s="27">
        <f t="shared" ref="BU85:CZ85" si="134">SUM(BU86+BU89)</f>
        <v>0</v>
      </c>
      <c r="BV85" s="27">
        <f t="shared" si="134"/>
        <v>0</v>
      </c>
      <c r="BW85" s="27">
        <f t="shared" si="134"/>
        <v>0</v>
      </c>
      <c r="BX85" s="27">
        <f t="shared" si="134"/>
        <v>0</v>
      </c>
      <c r="BY85" s="27">
        <f t="shared" si="134"/>
        <v>0</v>
      </c>
      <c r="BZ85" s="27">
        <f t="shared" si="134"/>
        <v>3631</v>
      </c>
      <c r="CA85" s="27">
        <f t="shared" si="134"/>
        <v>3631</v>
      </c>
      <c r="CB85" s="27">
        <f t="shared" si="134"/>
        <v>3631</v>
      </c>
      <c r="CC85" s="27">
        <f t="shared" si="134"/>
        <v>0</v>
      </c>
      <c r="CD85" s="27">
        <f t="shared" si="134"/>
        <v>3631</v>
      </c>
      <c r="CE85" s="27">
        <f t="shared" si="134"/>
        <v>0</v>
      </c>
      <c r="CF85" s="27">
        <f t="shared" si="134"/>
        <v>0</v>
      </c>
      <c r="CG85" s="27">
        <f t="shared" ref="CG85:CH85" si="135">SUM(CG86+CG89)</f>
        <v>0</v>
      </c>
      <c r="CH85" s="27">
        <f t="shared" si="135"/>
        <v>0</v>
      </c>
      <c r="CI85" s="27">
        <f t="shared" si="134"/>
        <v>0</v>
      </c>
      <c r="CJ85" s="27">
        <f t="shared" ref="CJ85" si="136">SUM(CJ86+CJ89)</f>
        <v>0</v>
      </c>
      <c r="CK85" s="27">
        <f t="shared" si="134"/>
        <v>0</v>
      </c>
      <c r="CL85" s="27">
        <f t="shared" si="134"/>
        <v>0</v>
      </c>
      <c r="CM85" s="27">
        <f t="shared" ref="CM85" si="137">SUM(CM86+CM89)</f>
        <v>0</v>
      </c>
      <c r="CN85" s="27">
        <f t="shared" si="134"/>
        <v>0</v>
      </c>
      <c r="CO85" s="27"/>
      <c r="CP85" s="27"/>
      <c r="CQ85" s="27"/>
      <c r="CR85" s="27"/>
      <c r="CS85" s="27">
        <f t="shared" si="134"/>
        <v>0</v>
      </c>
      <c r="CT85" s="27"/>
      <c r="CU85" s="27"/>
      <c r="CV85" s="27"/>
      <c r="CW85" s="27">
        <f t="shared" si="134"/>
        <v>0</v>
      </c>
      <c r="CX85" s="27">
        <f t="shared" si="134"/>
        <v>0</v>
      </c>
      <c r="CY85" s="27">
        <f t="shared" si="134"/>
        <v>0</v>
      </c>
      <c r="CZ85" s="60">
        <f t="shared" si="134"/>
        <v>0</v>
      </c>
      <c r="DA85" s="57"/>
    </row>
    <row r="86" spans="1:105" s="58" customFormat="1" ht="15.75" x14ac:dyDescent="0.25">
      <c r="A86" s="79" t="s">
        <v>183</v>
      </c>
      <c r="B86" s="16" t="s">
        <v>1</v>
      </c>
      <c r="C86" s="17" t="s">
        <v>184</v>
      </c>
      <c r="D86" s="18">
        <f t="shared" ref="D86:AJ86" si="138">SUM(D87:D88)</f>
        <v>3989147</v>
      </c>
      <c r="E86" s="18">
        <f t="shared" si="138"/>
        <v>3985516</v>
      </c>
      <c r="F86" s="18">
        <f t="shared" si="138"/>
        <v>3984613</v>
      </c>
      <c r="G86" s="18">
        <f t="shared" si="138"/>
        <v>2939186</v>
      </c>
      <c r="H86" s="18">
        <f t="shared" si="138"/>
        <v>669942</v>
      </c>
      <c r="I86" s="18">
        <f t="shared" si="138"/>
        <v>65608</v>
      </c>
      <c r="J86" s="18">
        <f t="shared" si="138"/>
        <v>0</v>
      </c>
      <c r="K86" s="18">
        <f t="shared" si="138"/>
        <v>0</v>
      </c>
      <c r="L86" s="18">
        <f t="shared" si="138"/>
        <v>0</v>
      </c>
      <c r="M86" s="18">
        <f t="shared" si="138"/>
        <v>0</v>
      </c>
      <c r="N86" s="18">
        <f t="shared" si="138"/>
        <v>65409</v>
      </c>
      <c r="O86" s="18">
        <f t="shared" si="138"/>
        <v>199</v>
      </c>
      <c r="P86" s="18">
        <f t="shared" si="138"/>
        <v>0</v>
      </c>
      <c r="Q86" s="18">
        <f t="shared" si="138"/>
        <v>0</v>
      </c>
      <c r="R86" s="18">
        <f t="shared" si="138"/>
        <v>0</v>
      </c>
      <c r="S86" s="18">
        <f t="shared" si="138"/>
        <v>0</v>
      </c>
      <c r="T86" s="18">
        <f t="shared" si="138"/>
        <v>27606</v>
      </c>
      <c r="U86" s="18">
        <f t="shared" si="138"/>
        <v>198199</v>
      </c>
      <c r="V86" s="18">
        <f t="shared" si="138"/>
        <v>0</v>
      </c>
      <c r="W86" s="18">
        <f t="shared" si="138"/>
        <v>149066</v>
      </c>
      <c r="X86" s="18">
        <f t="shared" si="138"/>
        <v>18894</v>
      </c>
      <c r="Y86" s="18">
        <f t="shared" si="138"/>
        <v>30239</v>
      </c>
      <c r="Z86" s="18">
        <f t="shared" si="138"/>
        <v>0</v>
      </c>
      <c r="AA86" s="18">
        <f t="shared" si="138"/>
        <v>0</v>
      </c>
      <c r="AB86" s="18">
        <f t="shared" si="138"/>
        <v>0</v>
      </c>
      <c r="AC86" s="18">
        <f t="shared" ref="AC86" si="139">SUM(AC87:AC88)</f>
        <v>0</v>
      </c>
      <c r="AD86" s="18">
        <f t="shared" si="138"/>
        <v>84072</v>
      </c>
      <c r="AE86" s="18">
        <f t="shared" si="138"/>
        <v>0</v>
      </c>
      <c r="AF86" s="18">
        <f t="shared" ref="AF86" si="140">SUM(AF87:AF88)</f>
        <v>0</v>
      </c>
      <c r="AG86" s="18">
        <f t="shared" si="138"/>
        <v>0</v>
      </c>
      <c r="AH86" s="18">
        <f t="shared" si="138"/>
        <v>0</v>
      </c>
      <c r="AI86" s="18">
        <f t="shared" si="138"/>
        <v>0</v>
      </c>
      <c r="AJ86" s="18">
        <f t="shared" si="138"/>
        <v>3363</v>
      </c>
      <c r="AK86" s="18">
        <f t="shared" ref="AK86:CZ86" si="141">SUM(AK87:AK88)</f>
        <v>0</v>
      </c>
      <c r="AL86" s="18">
        <f t="shared" si="141"/>
        <v>0</v>
      </c>
      <c r="AM86" s="18">
        <f t="shared" si="141"/>
        <v>0</v>
      </c>
      <c r="AN86" s="18">
        <f t="shared" si="141"/>
        <v>0</v>
      </c>
      <c r="AO86" s="18">
        <f t="shared" si="141"/>
        <v>0</v>
      </c>
      <c r="AP86" s="18"/>
      <c r="AQ86" s="18">
        <f t="shared" si="141"/>
        <v>0</v>
      </c>
      <c r="AR86" s="18">
        <f t="shared" si="141"/>
        <v>0</v>
      </c>
      <c r="AS86" s="18">
        <f t="shared" si="141"/>
        <v>0</v>
      </c>
      <c r="AT86" s="18"/>
      <c r="AU86" s="18"/>
      <c r="AV86" s="18">
        <f t="shared" si="141"/>
        <v>0</v>
      </c>
      <c r="AW86" s="18">
        <f t="shared" si="141"/>
        <v>0</v>
      </c>
      <c r="AX86" s="18">
        <f t="shared" si="141"/>
        <v>73200</v>
      </c>
      <c r="AY86" s="18"/>
      <c r="AZ86" s="18">
        <f t="shared" si="141"/>
        <v>7509</v>
      </c>
      <c r="BA86" s="18">
        <f t="shared" si="141"/>
        <v>903</v>
      </c>
      <c r="BB86" s="18">
        <f t="shared" si="141"/>
        <v>0</v>
      </c>
      <c r="BC86" s="18">
        <f t="shared" si="141"/>
        <v>0</v>
      </c>
      <c r="BD86" s="18">
        <f t="shared" si="141"/>
        <v>0</v>
      </c>
      <c r="BE86" s="18">
        <f t="shared" si="141"/>
        <v>0</v>
      </c>
      <c r="BF86" s="18">
        <f t="shared" si="141"/>
        <v>0</v>
      </c>
      <c r="BG86" s="18">
        <f t="shared" si="141"/>
        <v>0</v>
      </c>
      <c r="BH86" s="18">
        <f t="shared" si="141"/>
        <v>0</v>
      </c>
      <c r="BI86" s="18">
        <f t="shared" si="141"/>
        <v>0</v>
      </c>
      <c r="BJ86" s="18">
        <f t="shared" ref="BJ86" si="142">SUM(BJ87:BJ88)</f>
        <v>0</v>
      </c>
      <c r="BK86" s="18">
        <f t="shared" si="141"/>
        <v>0</v>
      </c>
      <c r="BL86" s="18">
        <f t="shared" si="141"/>
        <v>0</v>
      </c>
      <c r="BM86" s="18">
        <f t="shared" ref="BM86" si="143">SUM(BM87:BM88)</f>
        <v>0</v>
      </c>
      <c r="BN86" s="18">
        <f t="shared" si="141"/>
        <v>903</v>
      </c>
      <c r="BO86" s="18">
        <f t="shared" si="141"/>
        <v>0</v>
      </c>
      <c r="BP86" s="18">
        <f t="shared" si="141"/>
        <v>0</v>
      </c>
      <c r="BQ86" s="18">
        <f t="shared" si="141"/>
        <v>903</v>
      </c>
      <c r="BR86" s="18">
        <f t="shared" si="141"/>
        <v>0</v>
      </c>
      <c r="BS86" s="18">
        <f t="shared" si="141"/>
        <v>0</v>
      </c>
      <c r="BT86" s="18">
        <f t="shared" si="141"/>
        <v>0</v>
      </c>
      <c r="BU86" s="18">
        <f t="shared" si="141"/>
        <v>0</v>
      </c>
      <c r="BV86" s="18">
        <f t="shared" si="141"/>
        <v>0</v>
      </c>
      <c r="BW86" s="18">
        <f t="shared" si="141"/>
        <v>0</v>
      </c>
      <c r="BX86" s="18">
        <f t="shared" si="141"/>
        <v>0</v>
      </c>
      <c r="BY86" s="18">
        <f t="shared" si="141"/>
        <v>0</v>
      </c>
      <c r="BZ86" s="18">
        <f t="shared" si="141"/>
        <v>3631</v>
      </c>
      <c r="CA86" s="18">
        <f t="shared" si="141"/>
        <v>3631</v>
      </c>
      <c r="CB86" s="18">
        <f t="shared" si="141"/>
        <v>3631</v>
      </c>
      <c r="CC86" s="18">
        <f t="shared" si="141"/>
        <v>0</v>
      </c>
      <c r="CD86" s="18">
        <f t="shared" si="141"/>
        <v>3631</v>
      </c>
      <c r="CE86" s="18">
        <f t="shared" si="141"/>
        <v>0</v>
      </c>
      <c r="CF86" s="18">
        <f t="shared" si="141"/>
        <v>0</v>
      </c>
      <c r="CG86" s="18">
        <f t="shared" ref="CG86:CH86" si="144">SUM(CG87:CG88)</f>
        <v>0</v>
      </c>
      <c r="CH86" s="18">
        <f t="shared" si="144"/>
        <v>0</v>
      </c>
      <c r="CI86" s="18">
        <f t="shared" si="141"/>
        <v>0</v>
      </c>
      <c r="CJ86" s="18">
        <f t="shared" ref="CJ86" si="145">SUM(CJ87:CJ88)</f>
        <v>0</v>
      </c>
      <c r="CK86" s="18">
        <f t="shared" si="141"/>
        <v>0</v>
      </c>
      <c r="CL86" s="18">
        <f t="shared" si="141"/>
        <v>0</v>
      </c>
      <c r="CM86" s="18">
        <f t="shared" ref="CM86" si="146">SUM(CM87:CM88)</f>
        <v>0</v>
      </c>
      <c r="CN86" s="18">
        <f t="shared" si="141"/>
        <v>0</v>
      </c>
      <c r="CO86" s="18"/>
      <c r="CP86" s="18"/>
      <c r="CQ86" s="18"/>
      <c r="CR86" s="18"/>
      <c r="CS86" s="18">
        <f t="shared" si="141"/>
        <v>0</v>
      </c>
      <c r="CT86" s="18"/>
      <c r="CU86" s="18"/>
      <c r="CV86" s="18"/>
      <c r="CW86" s="18">
        <f t="shared" si="141"/>
        <v>0</v>
      </c>
      <c r="CX86" s="18">
        <f t="shared" si="141"/>
        <v>0</v>
      </c>
      <c r="CY86" s="18">
        <f t="shared" si="141"/>
        <v>0</v>
      </c>
      <c r="CZ86" s="46">
        <f t="shared" si="141"/>
        <v>0</v>
      </c>
      <c r="DA86" s="57"/>
    </row>
    <row r="87" spans="1:105" s="73" customFormat="1" ht="31.5" x14ac:dyDescent="0.25">
      <c r="A87" s="83" t="s">
        <v>1</v>
      </c>
      <c r="B87" s="66" t="s">
        <v>92</v>
      </c>
      <c r="C87" s="67" t="s">
        <v>185</v>
      </c>
      <c r="D87" s="68">
        <f>SUM(E87+BZ87+CW87)</f>
        <v>3097888</v>
      </c>
      <c r="E87" s="69">
        <f>SUM(F87+BA87)</f>
        <v>3097888</v>
      </c>
      <c r="F87" s="69">
        <f t="shared" ref="F87:F88" si="147">SUM(G87+H87+I87+P87+S87+T87+U87+AD87)</f>
        <v>3096985</v>
      </c>
      <c r="G87" s="70">
        <f>6257378-3910422</f>
        <v>2346956</v>
      </c>
      <c r="H87" s="70">
        <f>1537153-1003101</f>
        <v>534052</v>
      </c>
      <c r="I87" s="69">
        <f t="shared" si="112"/>
        <v>0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  <c r="O87" s="70">
        <v>0</v>
      </c>
      <c r="P87" s="69">
        <f t="shared" si="113"/>
        <v>0</v>
      </c>
      <c r="Q87" s="69">
        <v>0</v>
      </c>
      <c r="R87" s="69">
        <v>0</v>
      </c>
      <c r="S87" s="69">
        <v>0</v>
      </c>
      <c r="T87" s="70">
        <f>28338-16856</f>
        <v>11482</v>
      </c>
      <c r="U87" s="69">
        <f t="shared" ref="U87:U88" si="148">SUM(V87:AC87)</f>
        <v>196986</v>
      </c>
      <c r="V87" s="71"/>
      <c r="W87" s="70">
        <f>296685-147619</f>
        <v>149066</v>
      </c>
      <c r="X87" s="70">
        <f>80979-63298</f>
        <v>17681</v>
      </c>
      <c r="Y87" s="70">
        <f>91590-61351</f>
        <v>30239</v>
      </c>
      <c r="Z87" s="70">
        <v>0</v>
      </c>
      <c r="AA87" s="71"/>
      <c r="AB87" s="71"/>
      <c r="AC87" s="71"/>
      <c r="AD87" s="69">
        <f>SUM(AE87:AZ87)</f>
        <v>7509</v>
      </c>
      <c r="AE87" s="71">
        <v>0</v>
      </c>
      <c r="AF87" s="71">
        <v>0</v>
      </c>
      <c r="AG87" s="71">
        <v>0</v>
      </c>
      <c r="AH87" s="71">
        <v>0</v>
      </c>
      <c r="AI87" s="71">
        <v>0</v>
      </c>
      <c r="AJ87" s="71">
        <v>0</v>
      </c>
      <c r="AK87" s="71">
        <v>0</v>
      </c>
      <c r="AL87" s="71">
        <v>0</v>
      </c>
      <c r="AM87" s="71">
        <v>0</v>
      </c>
      <c r="AN87" s="71">
        <v>0</v>
      </c>
      <c r="AO87" s="71">
        <v>0</v>
      </c>
      <c r="AP87" s="71"/>
      <c r="AQ87" s="71">
        <v>0</v>
      </c>
      <c r="AR87" s="71">
        <v>0</v>
      </c>
      <c r="AS87" s="69">
        <v>0</v>
      </c>
      <c r="AT87" s="69">
        <v>0</v>
      </c>
      <c r="AU87" s="69">
        <v>0</v>
      </c>
      <c r="AV87" s="69">
        <v>0</v>
      </c>
      <c r="AW87" s="69">
        <v>0</v>
      </c>
      <c r="AX87" s="70">
        <f>407025-407025</f>
        <v>0</v>
      </c>
      <c r="AY87" s="70">
        <v>0</v>
      </c>
      <c r="AZ87" s="70">
        <f>14434-6925</f>
        <v>7509</v>
      </c>
      <c r="BA87" s="69">
        <f>SUM(BB87+BF87+BI87+BK87+BN87)</f>
        <v>903</v>
      </c>
      <c r="BB87" s="69">
        <f>SUM(BC87:BE87)</f>
        <v>0</v>
      </c>
      <c r="BC87" s="69">
        <v>0</v>
      </c>
      <c r="BD87" s="69">
        <v>0</v>
      </c>
      <c r="BE87" s="69">
        <v>0</v>
      </c>
      <c r="BF87" s="69">
        <f>SUM(BH87:BH87)</f>
        <v>0</v>
      </c>
      <c r="BG87" s="69">
        <v>0</v>
      </c>
      <c r="BH87" s="69">
        <v>0</v>
      </c>
      <c r="BI87" s="69">
        <v>0</v>
      </c>
      <c r="BJ87" s="69">
        <v>0</v>
      </c>
      <c r="BK87" s="69">
        <f t="shared" si="114"/>
        <v>0</v>
      </c>
      <c r="BL87" s="69">
        <v>0</v>
      </c>
      <c r="BM87" s="69">
        <v>0</v>
      </c>
      <c r="BN87" s="69">
        <f>SUM(BO87:BY87)</f>
        <v>903</v>
      </c>
      <c r="BO87" s="69">
        <v>0</v>
      </c>
      <c r="BP87" s="69">
        <v>0</v>
      </c>
      <c r="BQ87" s="70">
        <f>7217-6314</f>
        <v>903</v>
      </c>
      <c r="BR87" s="69">
        <v>0</v>
      </c>
      <c r="BS87" s="69">
        <v>0</v>
      </c>
      <c r="BT87" s="69">
        <v>0</v>
      </c>
      <c r="BU87" s="69">
        <v>0</v>
      </c>
      <c r="BV87" s="69">
        <v>0</v>
      </c>
      <c r="BW87" s="69">
        <v>0</v>
      </c>
      <c r="BX87" s="69">
        <v>0</v>
      </c>
      <c r="BY87" s="69">
        <v>0</v>
      </c>
      <c r="BZ87" s="69">
        <f>SUM(CA87+CS87)</f>
        <v>0</v>
      </c>
      <c r="CA87" s="69">
        <f>SUM(CB87+CE87+CK87)</f>
        <v>0</v>
      </c>
      <c r="CB87" s="69">
        <f t="shared" si="115"/>
        <v>0</v>
      </c>
      <c r="CC87" s="69">
        <v>0</v>
      </c>
      <c r="CD87" s="69">
        <v>0</v>
      </c>
      <c r="CE87" s="69">
        <f>SUM(CF87:CJ87)</f>
        <v>0</v>
      </c>
      <c r="CF87" s="69">
        <v>0</v>
      </c>
      <c r="CG87" s="69">
        <v>0</v>
      </c>
      <c r="CH87" s="69">
        <v>0</v>
      </c>
      <c r="CI87" s="69">
        <v>0</v>
      </c>
      <c r="CJ87" s="69">
        <v>0</v>
      </c>
      <c r="CK87" s="69">
        <f>SUM(CL87:CP87)</f>
        <v>0</v>
      </c>
      <c r="CL87" s="69">
        <v>0</v>
      </c>
      <c r="CM87" s="69">
        <v>0</v>
      </c>
      <c r="CN87" s="69">
        <v>0</v>
      </c>
      <c r="CO87" s="69"/>
      <c r="CP87" s="69"/>
      <c r="CQ87" s="69"/>
      <c r="CR87" s="69"/>
      <c r="CS87" s="69">
        <v>0</v>
      </c>
      <c r="CT87" s="69"/>
      <c r="CU87" s="69"/>
      <c r="CV87" s="69"/>
      <c r="CW87" s="69">
        <f t="shared" si="116"/>
        <v>0</v>
      </c>
      <c r="CX87" s="69">
        <f t="shared" si="117"/>
        <v>0</v>
      </c>
      <c r="CY87" s="69">
        <v>0</v>
      </c>
      <c r="CZ87" s="72">
        <v>0</v>
      </c>
    </row>
    <row r="88" spans="1:105" s="73" customFormat="1" ht="31.5" x14ac:dyDescent="0.25">
      <c r="A88" s="83" t="s">
        <v>1</v>
      </c>
      <c r="B88" s="66" t="s">
        <v>100</v>
      </c>
      <c r="C88" s="67" t="s">
        <v>186</v>
      </c>
      <c r="D88" s="68">
        <f>SUM(E88+BZ88+CW88)</f>
        <v>891259</v>
      </c>
      <c r="E88" s="69">
        <f>SUM(F88+BA88)</f>
        <v>887628</v>
      </c>
      <c r="F88" s="69">
        <f t="shared" si="147"/>
        <v>887628</v>
      </c>
      <c r="G88" s="70">
        <v>592230</v>
      </c>
      <c r="H88" s="70">
        <v>135890</v>
      </c>
      <c r="I88" s="69">
        <f t="shared" si="112"/>
        <v>65608</v>
      </c>
      <c r="J88" s="70">
        <v>0</v>
      </c>
      <c r="K88" s="70">
        <v>0</v>
      </c>
      <c r="L88" s="70">
        <v>0</v>
      </c>
      <c r="M88" s="70">
        <v>0</v>
      </c>
      <c r="N88" s="70">
        <v>65409</v>
      </c>
      <c r="O88" s="70">
        <v>199</v>
      </c>
      <c r="P88" s="69">
        <f t="shared" si="113"/>
        <v>0</v>
      </c>
      <c r="Q88" s="69">
        <v>0</v>
      </c>
      <c r="R88" s="69">
        <v>0</v>
      </c>
      <c r="S88" s="69">
        <v>0</v>
      </c>
      <c r="T88" s="70">
        <v>16124</v>
      </c>
      <c r="U88" s="69">
        <f t="shared" si="148"/>
        <v>1213</v>
      </c>
      <c r="V88" s="71"/>
      <c r="W88" s="70">
        <v>0</v>
      </c>
      <c r="X88" s="70">
        <v>1213</v>
      </c>
      <c r="Y88" s="70">
        <v>0</v>
      </c>
      <c r="Z88" s="70">
        <v>0</v>
      </c>
      <c r="AA88" s="71"/>
      <c r="AB88" s="71"/>
      <c r="AC88" s="71"/>
      <c r="AD88" s="69">
        <f>SUM(AE88:AZ88)</f>
        <v>76563</v>
      </c>
      <c r="AE88" s="70">
        <v>0</v>
      </c>
      <c r="AF88" s="71">
        <v>0</v>
      </c>
      <c r="AG88" s="71">
        <v>0</v>
      </c>
      <c r="AH88" s="71">
        <v>0</v>
      </c>
      <c r="AI88" s="71">
        <v>0</v>
      </c>
      <c r="AJ88" s="71">
        <v>3363</v>
      </c>
      <c r="AK88" s="71">
        <v>0</v>
      </c>
      <c r="AL88" s="71">
        <v>0</v>
      </c>
      <c r="AM88" s="71">
        <v>0</v>
      </c>
      <c r="AN88" s="71">
        <v>0</v>
      </c>
      <c r="AO88" s="71">
        <v>0</v>
      </c>
      <c r="AP88" s="71"/>
      <c r="AQ88" s="71">
        <v>0</v>
      </c>
      <c r="AR88" s="71">
        <v>0</v>
      </c>
      <c r="AS88" s="69">
        <v>0</v>
      </c>
      <c r="AT88" s="69">
        <v>0</v>
      </c>
      <c r="AU88" s="69">
        <v>0</v>
      </c>
      <c r="AV88" s="69">
        <v>0</v>
      </c>
      <c r="AW88" s="69">
        <v>0</v>
      </c>
      <c r="AX88" s="70">
        <v>73200</v>
      </c>
      <c r="AY88" s="70">
        <v>0</v>
      </c>
      <c r="AZ88" s="70">
        <v>0</v>
      </c>
      <c r="BA88" s="69">
        <f>SUM(BB88+BF88+BI88+BK88+BN88)</f>
        <v>0</v>
      </c>
      <c r="BB88" s="69">
        <f>SUM(BC88:BE88)</f>
        <v>0</v>
      </c>
      <c r="BC88" s="69">
        <v>0</v>
      </c>
      <c r="BD88" s="69">
        <v>0</v>
      </c>
      <c r="BE88" s="69">
        <v>0</v>
      </c>
      <c r="BF88" s="69">
        <f>SUM(BH88:BH88)</f>
        <v>0</v>
      </c>
      <c r="BG88" s="69">
        <v>0</v>
      </c>
      <c r="BH88" s="69">
        <v>0</v>
      </c>
      <c r="BI88" s="69">
        <v>0</v>
      </c>
      <c r="BJ88" s="69">
        <v>0</v>
      </c>
      <c r="BK88" s="69">
        <f t="shared" si="114"/>
        <v>0</v>
      </c>
      <c r="BL88" s="69">
        <v>0</v>
      </c>
      <c r="BM88" s="69">
        <v>0</v>
      </c>
      <c r="BN88" s="69">
        <f>SUM(BO88:BY88)</f>
        <v>0</v>
      </c>
      <c r="BO88" s="69">
        <v>0</v>
      </c>
      <c r="BP88" s="69">
        <v>0</v>
      </c>
      <c r="BQ88" s="69">
        <v>0</v>
      </c>
      <c r="BR88" s="69">
        <v>0</v>
      </c>
      <c r="BS88" s="69">
        <v>0</v>
      </c>
      <c r="BT88" s="69">
        <v>0</v>
      </c>
      <c r="BU88" s="69">
        <v>0</v>
      </c>
      <c r="BV88" s="69">
        <v>0</v>
      </c>
      <c r="BW88" s="69">
        <v>0</v>
      </c>
      <c r="BX88" s="69">
        <v>0</v>
      </c>
      <c r="BY88" s="69">
        <v>0</v>
      </c>
      <c r="BZ88" s="69">
        <f>SUM(CA88+CS88)</f>
        <v>3631</v>
      </c>
      <c r="CA88" s="69">
        <f>SUM(CB88+CE88+CK88)</f>
        <v>3631</v>
      </c>
      <c r="CB88" s="69">
        <f t="shared" si="115"/>
        <v>3631</v>
      </c>
      <c r="CC88" s="69">
        <v>0</v>
      </c>
      <c r="CD88" s="70">
        <v>3631</v>
      </c>
      <c r="CE88" s="69">
        <f>SUM(CF88:CJ88)</f>
        <v>0</v>
      </c>
      <c r="CF88" s="69">
        <v>0</v>
      </c>
      <c r="CG88" s="69">
        <v>0</v>
      </c>
      <c r="CH88" s="69">
        <v>0</v>
      </c>
      <c r="CI88" s="69">
        <v>0</v>
      </c>
      <c r="CJ88" s="69">
        <v>0</v>
      </c>
      <c r="CK88" s="69">
        <f>SUM(CL88:CP88)</f>
        <v>0</v>
      </c>
      <c r="CL88" s="69">
        <v>0</v>
      </c>
      <c r="CM88" s="69">
        <v>0</v>
      </c>
      <c r="CN88" s="69">
        <v>0</v>
      </c>
      <c r="CO88" s="69"/>
      <c r="CP88" s="69"/>
      <c r="CQ88" s="69"/>
      <c r="CR88" s="69"/>
      <c r="CS88" s="69">
        <v>0</v>
      </c>
      <c r="CT88" s="69"/>
      <c r="CU88" s="69"/>
      <c r="CV88" s="69"/>
      <c r="CW88" s="69">
        <f t="shared" si="116"/>
        <v>0</v>
      </c>
      <c r="CX88" s="69">
        <f t="shared" si="117"/>
        <v>0</v>
      </c>
      <c r="CY88" s="69">
        <v>0</v>
      </c>
      <c r="CZ88" s="72">
        <v>0</v>
      </c>
    </row>
    <row r="89" spans="1:105" s="90" customFormat="1" ht="31.5" x14ac:dyDescent="0.25">
      <c r="A89" s="86" t="s">
        <v>187</v>
      </c>
      <c r="B89" s="87" t="s">
        <v>1</v>
      </c>
      <c r="C89" s="88" t="s">
        <v>551</v>
      </c>
      <c r="D89" s="68">
        <f>SUM(D90:D98)</f>
        <v>12521979</v>
      </c>
      <c r="E89" s="68">
        <f t="shared" ref="E89:BP89" si="149">SUM(E90:E98)</f>
        <v>12521979</v>
      </c>
      <c r="F89" s="68">
        <f t="shared" si="149"/>
        <v>12521979</v>
      </c>
      <c r="G89" s="68">
        <f t="shared" si="149"/>
        <v>296421</v>
      </c>
      <c r="H89" s="68">
        <f t="shared" si="149"/>
        <v>68621</v>
      </c>
      <c r="I89" s="68">
        <f t="shared" si="149"/>
        <v>0</v>
      </c>
      <c r="J89" s="68">
        <f t="shared" si="149"/>
        <v>0</v>
      </c>
      <c r="K89" s="68">
        <f t="shared" si="149"/>
        <v>0</v>
      </c>
      <c r="L89" s="68">
        <f t="shared" si="149"/>
        <v>0</v>
      </c>
      <c r="M89" s="68">
        <f t="shared" si="149"/>
        <v>0</v>
      </c>
      <c r="N89" s="68">
        <f t="shared" si="149"/>
        <v>0</v>
      </c>
      <c r="O89" s="68">
        <f t="shared" si="149"/>
        <v>0</v>
      </c>
      <c r="P89" s="68">
        <f t="shared" si="149"/>
        <v>0</v>
      </c>
      <c r="Q89" s="68">
        <f t="shared" si="149"/>
        <v>0</v>
      </c>
      <c r="R89" s="68">
        <f t="shared" si="149"/>
        <v>0</v>
      </c>
      <c r="S89" s="68">
        <f t="shared" si="149"/>
        <v>0</v>
      </c>
      <c r="T89" s="68">
        <f t="shared" si="149"/>
        <v>0</v>
      </c>
      <c r="U89" s="68">
        <f t="shared" si="149"/>
        <v>0</v>
      </c>
      <c r="V89" s="68">
        <f t="shared" si="149"/>
        <v>0</v>
      </c>
      <c r="W89" s="68">
        <f t="shared" si="149"/>
        <v>0</v>
      </c>
      <c r="X89" s="68">
        <f t="shared" si="149"/>
        <v>0</v>
      </c>
      <c r="Y89" s="68">
        <f t="shared" si="149"/>
        <v>0</v>
      </c>
      <c r="Z89" s="68">
        <f t="shared" si="149"/>
        <v>0</v>
      </c>
      <c r="AA89" s="68">
        <f t="shared" si="149"/>
        <v>0</v>
      </c>
      <c r="AB89" s="68">
        <f t="shared" si="149"/>
        <v>0</v>
      </c>
      <c r="AC89" s="68">
        <f t="shared" si="149"/>
        <v>0</v>
      </c>
      <c r="AD89" s="68">
        <f t="shared" si="149"/>
        <v>12156937</v>
      </c>
      <c r="AE89" s="68">
        <f t="shared" si="149"/>
        <v>0</v>
      </c>
      <c r="AF89" s="68">
        <f t="shared" si="149"/>
        <v>12156937</v>
      </c>
      <c r="AG89" s="68">
        <f t="shared" si="149"/>
        <v>0</v>
      </c>
      <c r="AH89" s="68">
        <f t="shared" si="149"/>
        <v>0</v>
      </c>
      <c r="AI89" s="68">
        <f t="shared" si="149"/>
        <v>0</v>
      </c>
      <c r="AJ89" s="68">
        <f t="shared" si="149"/>
        <v>0</v>
      </c>
      <c r="AK89" s="68">
        <f t="shared" si="149"/>
        <v>0</v>
      </c>
      <c r="AL89" s="68">
        <f t="shared" si="149"/>
        <v>0</v>
      </c>
      <c r="AM89" s="68">
        <f t="shared" si="149"/>
        <v>0</v>
      </c>
      <c r="AN89" s="68">
        <f t="shared" si="149"/>
        <v>0</v>
      </c>
      <c r="AO89" s="68">
        <f t="shared" si="149"/>
        <v>0</v>
      </c>
      <c r="AP89" s="68">
        <f t="shared" si="149"/>
        <v>0</v>
      </c>
      <c r="AQ89" s="68">
        <f t="shared" si="149"/>
        <v>0</v>
      </c>
      <c r="AR89" s="68">
        <f t="shared" si="149"/>
        <v>0</v>
      </c>
      <c r="AS89" s="68">
        <f t="shared" si="149"/>
        <v>0</v>
      </c>
      <c r="AT89" s="68">
        <f t="shared" si="149"/>
        <v>0</v>
      </c>
      <c r="AU89" s="68">
        <f t="shared" si="149"/>
        <v>0</v>
      </c>
      <c r="AV89" s="68">
        <f t="shared" si="149"/>
        <v>0</v>
      </c>
      <c r="AW89" s="68">
        <f t="shared" si="149"/>
        <v>0</v>
      </c>
      <c r="AX89" s="68">
        <f t="shared" si="149"/>
        <v>0</v>
      </c>
      <c r="AY89" s="68">
        <f t="shared" si="149"/>
        <v>0</v>
      </c>
      <c r="AZ89" s="68">
        <f t="shared" si="149"/>
        <v>0</v>
      </c>
      <c r="BA89" s="68">
        <f t="shared" si="149"/>
        <v>0</v>
      </c>
      <c r="BB89" s="68">
        <f t="shared" si="149"/>
        <v>0</v>
      </c>
      <c r="BC89" s="68">
        <f t="shared" si="149"/>
        <v>0</v>
      </c>
      <c r="BD89" s="68">
        <f t="shared" si="149"/>
        <v>0</v>
      </c>
      <c r="BE89" s="68">
        <f t="shared" si="149"/>
        <v>0</v>
      </c>
      <c r="BF89" s="68">
        <f t="shared" si="149"/>
        <v>0</v>
      </c>
      <c r="BG89" s="68">
        <f t="shared" si="149"/>
        <v>0</v>
      </c>
      <c r="BH89" s="68">
        <f t="shared" si="149"/>
        <v>0</v>
      </c>
      <c r="BI89" s="68">
        <f t="shared" si="149"/>
        <v>0</v>
      </c>
      <c r="BJ89" s="68">
        <f t="shared" si="149"/>
        <v>0</v>
      </c>
      <c r="BK89" s="68">
        <f t="shared" si="149"/>
        <v>0</v>
      </c>
      <c r="BL89" s="68">
        <f t="shared" si="149"/>
        <v>0</v>
      </c>
      <c r="BM89" s="68">
        <f t="shared" si="149"/>
        <v>0</v>
      </c>
      <c r="BN89" s="68">
        <f t="shared" si="149"/>
        <v>0</v>
      </c>
      <c r="BO89" s="68">
        <f t="shared" si="149"/>
        <v>0</v>
      </c>
      <c r="BP89" s="68">
        <f t="shared" si="149"/>
        <v>0</v>
      </c>
      <c r="BQ89" s="68">
        <f t="shared" ref="BQ89:CZ89" si="150">SUM(BQ90:BQ98)</f>
        <v>0</v>
      </c>
      <c r="BR89" s="68">
        <f t="shared" si="150"/>
        <v>0</v>
      </c>
      <c r="BS89" s="68">
        <f t="shared" si="150"/>
        <v>0</v>
      </c>
      <c r="BT89" s="68">
        <f t="shared" si="150"/>
        <v>0</v>
      </c>
      <c r="BU89" s="68">
        <f t="shared" si="150"/>
        <v>0</v>
      </c>
      <c r="BV89" s="68">
        <f t="shared" si="150"/>
        <v>0</v>
      </c>
      <c r="BW89" s="68">
        <f t="shared" si="150"/>
        <v>0</v>
      </c>
      <c r="BX89" s="68">
        <f t="shared" si="150"/>
        <v>0</v>
      </c>
      <c r="BY89" s="68">
        <f t="shared" si="150"/>
        <v>0</v>
      </c>
      <c r="BZ89" s="68">
        <f t="shared" si="150"/>
        <v>0</v>
      </c>
      <c r="CA89" s="68">
        <f t="shared" si="150"/>
        <v>0</v>
      </c>
      <c r="CB89" s="68">
        <f t="shared" si="150"/>
        <v>0</v>
      </c>
      <c r="CC89" s="68">
        <f t="shared" si="150"/>
        <v>0</v>
      </c>
      <c r="CD89" s="68">
        <f t="shared" si="150"/>
        <v>0</v>
      </c>
      <c r="CE89" s="68">
        <f t="shared" si="150"/>
        <v>0</v>
      </c>
      <c r="CF89" s="68">
        <f t="shared" si="150"/>
        <v>0</v>
      </c>
      <c r="CG89" s="68">
        <f t="shared" si="150"/>
        <v>0</v>
      </c>
      <c r="CH89" s="68">
        <f t="shared" si="150"/>
        <v>0</v>
      </c>
      <c r="CI89" s="68">
        <f t="shared" si="150"/>
        <v>0</v>
      </c>
      <c r="CJ89" s="68">
        <f t="shared" si="150"/>
        <v>0</v>
      </c>
      <c r="CK89" s="68">
        <f t="shared" si="150"/>
        <v>0</v>
      </c>
      <c r="CL89" s="68">
        <f t="shared" si="150"/>
        <v>0</v>
      </c>
      <c r="CM89" s="68">
        <f t="shared" si="150"/>
        <v>0</v>
      </c>
      <c r="CN89" s="68">
        <f t="shared" si="150"/>
        <v>0</v>
      </c>
      <c r="CO89" s="68">
        <f t="shared" si="150"/>
        <v>0</v>
      </c>
      <c r="CP89" s="68">
        <f t="shared" si="150"/>
        <v>0</v>
      </c>
      <c r="CQ89" s="68">
        <f t="shared" si="150"/>
        <v>0</v>
      </c>
      <c r="CR89" s="68">
        <f t="shared" si="150"/>
        <v>0</v>
      </c>
      <c r="CS89" s="68">
        <f t="shared" si="150"/>
        <v>0</v>
      </c>
      <c r="CT89" s="68">
        <f t="shared" si="150"/>
        <v>0</v>
      </c>
      <c r="CU89" s="68">
        <f t="shared" si="150"/>
        <v>0</v>
      </c>
      <c r="CV89" s="68">
        <f t="shared" si="150"/>
        <v>0</v>
      </c>
      <c r="CW89" s="68">
        <f t="shared" si="150"/>
        <v>0</v>
      </c>
      <c r="CX89" s="68">
        <f t="shared" si="150"/>
        <v>0</v>
      </c>
      <c r="CY89" s="68">
        <f t="shared" si="150"/>
        <v>0</v>
      </c>
      <c r="CZ89" s="89">
        <f t="shared" si="150"/>
        <v>0</v>
      </c>
    </row>
    <row r="90" spans="1:105" s="73" customFormat="1" ht="31.5" x14ac:dyDescent="0.25">
      <c r="A90" s="83" t="s">
        <v>1</v>
      </c>
      <c r="B90" s="66" t="s">
        <v>80</v>
      </c>
      <c r="C90" s="67" t="s">
        <v>520</v>
      </c>
      <c r="D90" s="68">
        <f t="shared" ref="D90:D98" si="151">SUM(E90+BZ90+CW90)</f>
        <v>211424</v>
      </c>
      <c r="E90" s="69">
        <f t="shared" ref="E90:E98" si="152">SUM(F90+BA90)</f>
        <v>211424</v>
      </c>
      <c r="F90" s="69">
        <f t="shared" ref="F90:F98" si="153">SUM(G90+H90+I90+P90+S90+T90+U90+AD90)</f>
        <v>211424</v>
      </c>
      <c r="G90" s="69">
        <v>0</v>
      </c>
      <c r="H90" s="69">
        <v>0</v>
      </c>
      <c r="I90" s="69">
        <f>SUM(J90:O90)</f>
        <v>0</v>
      </c>
      <c r="J90" s="69">
        <v>0</v>
      </c>
      <c r="K90" s="69">
        <v>0</v>
      </c>
      <c r="L90" s="69">
        <v>0</v>
      </c>
      <c r="M90" s="69">
        <v>0</v>
      </c>
      <c r="N90" s="69">
        <v>0</v>
      </c>
      <c r="O90" s="69">
        <v>0</v>
      </c>
      <c r="P90" s="69">
        <f>SUM(Q90:R90)</f>
        <v>0</v>
      </c>
      <c r="Q90" s="69">
        <v>0</v>
      </c>
      <c r="R90" s="69">
        <v>0</v>
      </c>
      <c r="S90" s="69">
        <v>0</v>
      </c>
      <c r="T90" s="69">
        <v>0</v>
      </c>
      <c r="U90" s="69">
        <f t="shared" ref="U90" si="154">SUM(V90:AC90)</f>
        <v>0</v>
      </c>
      <c r="V90" s="69">
        <v>0</v>
      </c>
      <c r="W90" s="69">
        <v>0</v>
      </c>
      <c r="X90" s="69">
        <v>0</v>
      </c>
      <c r="Y90" s="69">
        <v>0</v>
      </c>
      <c r="Z90" s="69">
        <v>0</v>
      </c>
      <c r="AA90" s="69">
        <v>0</v>
      </c>
      <c r="AB90" s="69">
        <v>0</v>
      </c>
      <c r="AC90" s="69">
        <v>0</v>
      </c>
      <c r="AD90" s="69">
        <f t="shared" ref="AD90" si="155">SUM(AE90:AZ90)</f>
        <v>211424</v>
      </c>
      <c r="AE90" s="71">
        <v>0</v>
      </c>
      <c r="AF90" s="70">
        <v>211424</v>
      </c>
      <c r="AG90" s="69">
        <v>0</v>
      </c>
      <c r="AH90" s="69">
        <v>0</v>
      </c>
      <c r="AI90" s="69">
        <v>0</v>
      </c>
      <c r="AJ90" s="69">
        <v>0</v>
      </c>
      <c r="AK90" s="69">
        <v>0</v>
      </c>
      <c r="AL90" s="69">
        <v>0</v>
      </c>
      <c r="AM90" s="69">
        <v>0</v>
      </c>
      <c r="AN90" s="69">
        <v>0</v>
      </c>
      <c r="AO90" s="69">
        <v>0</v>
      </c>
      <c r="AP90" s="69"/>
      <c r="AQ90" s="69">
        <v>0</v>
      </c>
      <c r="AR90" s="69">
        <v>0</v>
      </c>
      <c r="AS90" s="69">
        <v>0</v>
      </c>
      <c r="AT90" s="69">
        <v>0</v>
      </c>
      <c r="AU90" s="69">
        <v>0</v>
      </c>
      <c r="AV90" s="69">
        <v>0</v>
      </c>
      <c r="AW90" s="69">
        <v>0</v>
      </c>
      <c r="AX90" s="69">
        <v>0</v>
      </c>
      <c r="AY90" s="69">
        <v>0</v>
      </c>
      <c r="AZ90" s="69">
        <v>0</v>
      </c>
      <c r="BA90" s="69">
        <f t="shared" ref="BA90" si="156">SUM(BB90+BF90+BI90+BK90+BN90)</f>
        <v>0</v>
      </c>
      <c r="BB90" s="69">
        <f t="shared" ref="BB90" si="157">SUM(BC90:BE90)</f>
        <v>0</v>
      </c>
      <c r="BC90" s="69">
        <v>0</v>
      </c>
      <c r="BD90" s="69">
        <v>0</v>
      </c>
      <c r="BE90" s="69">
        <v>0</v>
      </c>
      <c r="BF90" s="69">
        <f t="shared" ref="BF90" si="158">SUM(BH90:BH90)</f>
        <v>0</v>
      </c>
      <c r="BG90" s="69">
        <v>0</v>
      </c>
      <c r="BH90" s="69">
        <v>0</v>
      </c>
      <c r="BI90" s="69">
        <v>0</v>
      </c>
      <c r="BJ90" s="69">
        <v>0</v>
      </c>
      <c r="BK90" s="69">
        <f>SUM(BL90)</f>
        <v>0</v>
      </c>
      <c r="BL90" s="69">
        <v>0</v>
      </c>
      <c r="BM90" s="69">
        <v>0</v>
      </c>
      <c r="BN90" s="69">
        <f t="shared" ref="BN90" si="159">SUM(BO90:BY90)</f>
        <v>0</v>
      </c>
      <c r="BO90" s="69">
        <v>0</v>
      </c>
      <c r="BP90" s="69">
        <v>0</v>
      </c>
      <c r="BQ90" s="69">
        <v>0</v>
      </c>
      <c r="BR90" s="69">
        <v>0</v>
      </c>
      <c r="BS90" s="69">
        <v>0</v>
      </c>
      <c r="BT90" s="69">
        <v>0</v>
      </c>
      <c r="BU90" s="69">
        <v>0</v>
      </c>
      <c r="BV90" s="69">
        <v>0</v>
      </c>
      <c r="BW90" s="69">
        <v>0</v>
      </c>
      <c r="BX90" s="69">
        <v>0</v>
      </c>
      <c r="BY90" s="69">
        <v>0</v>
      </c>
      <c r="BZ90" s="69">
        <f t="shared" ref="BZ90" si="160">SUM(CA90+CS90)</f>
        <v>0</v>
      </c>
      <c r="CA90" s="69">
        <f t="shared" ref="CA90" si="161">SUM(CB90+CE90+CK90)</f>
        <v>0</v>
      </c>
      <c r="CB90" s="69">
        <f>SUM(CC90:CD90)</f>
        <v>0</v>
      </c>
      <c r="CC90" s="69">
        <v>0</v>
      </c>
      <c r="CD90" s="69">
        <v>0</v>
      </c>
      <c r="CE90" s="69">
        <f t="shared" ref="CE90" si="162">SUM(CF90:CJ90)</f>
        <v>0</v>
      </c>
      <c r="CF90" s="69">
        <v>0</v>
      </c>
      <c r="CG90" s="69">
        <v>0</v>
      </c>
      <c r="CH90" s="69">
        <v>0</v>
      </c>
      <c r="CI90" s="69">
        <v>0</v>
      </c>
      <c r="CJ90" s="69">
        <v>0</v>
      </c>
      <c r="CK90" s="69">
        <f t="shared" ref="CK90" si="163">SUM(CL90:CP90)</f>
        <v>0</v>
      </c>
      <c r="CL90" s="69">
        <v>0</v>
      </c>
      <c r="CM90" s="69">
        <v>0</v>
      </c>
      <c r="CN90" s="69">
        <v>0</v>
      </c>
      <c r="CO90" s="69"/>
      <c r="CP90" s="69"/>
      <c r="CQ90" s="69"/>
      <c r="CR90" s="69"/>
      <c r="CS90" s="69">
        <v>0</v>
      </c>
      <c r="CT90" s="69"/>
      <c r="CU90" s="69"/>
      <c r="CV90" s="69"/>
      <c r="CW90" s="69">
        <f>SUM(CX90)</f>
        <v>0</v>
      </c>
      <c r="CX90" s="69">
        <f>SUM(CY90:CZ90)</f>
        <v>0</v>
      </c>
      <c r="CY90" s="69">
        <v>0</v>
      </c>
      <c r="CZ90" s="72">
        <v>0</v>
      </c>
    </row>
    <row r="91" spans="1:105" s="73" customFormat="1" ht="15.75" x14ac:dyDescent="0.25">
      <c r="A91" s="83" t="s">
        <v>1</v>
      </c>
      <c r="B91" s="66" t="s">
        <v>84</v>
      </c>
      <c r="C91" s="67" t="s">
        <v>361</v>
      </c>
      <c r="D91" s="68">
        <f t="shared" si="151"/>
        <v>474887</v>
      </c>
      <c r="E91" s="69">
        <f t="shared" si="152"/>
        <v>474887</v>
      </c>
      <c r="F91" s="69">
        <f t="shared" si="153"/>
        <v>474887</v>
      </c>
      <c r="G91" s="69">
        <v>0</v>
      </c>
      <c r="H91" s="69">
        <v>0</v>
      </c>
      <c r="I91" s="69">
        <f>SUM(J91:O91)</f>
        <v>0</v>
      </c>
      <c r="J91" s="69">
        <v>0</v>
      </c>
      <c r="K91" s="69">
        <v>0</v>
      </c>
      <c r="L91" s="69">
        <v>0</v>
      </c>
      <c r="M91" s="69">
        <v>0</v>
      </c>
      <c r="N91" s="69">
        <v>0</v>
      </c>
      <c r="O91" s="69">
        <v>0</v>
      </c>
      <c r="P91" s="69">
        <f>SUM(Q91:R91)</f>
        <v>0</v>
      </c>
      <c r="Q91" s="69">
        <v>0</v>
      </c>
      <c r="R91" s="69">
        <v>0</v>
      </c>
      <c r="S91" s="69">
        <v>0</v>
      </c>
      <c r="T91" s="69">
        <v>0</v>
      </c>
      <c r="U91" s="69">
        <f t="shared" ref="U91:U98" si="164">SUM(V91:AC91)</f>
        <v>0</v>
      </c>
      <c r="V91" s="69">
        <v>0</v>
      </c>
      <c r="W91" s="69">
        <v>0</v>
      </c>
      <c r="X91" s="69">
        <v>0</v>
      </c>
      <c r="Y91" s="69">
        <v>0</v>
      </c>
      <c r="Z91" s="69">
        <v>0</v>
      </c>
      <c r="AA91" s="69">
        <v>0</v>
      </c>
      <c r="AB91" s="69">
        <v>0</v>
      </c>
      <c r="AC91" s="69">
        <v>0</v>
      </c>
      <c r="AD91" s="69">
        <f t="shared" ref="AD91:AD98" si="165">SUM(AE91:AZ91)</f>
        <v>474887</v>
      </c>
      <c r="AE91" s="71">
        <v>0</v>
      </c>
      <c r="AF91" s="70">
        <v>474887</v>
      </c>
      <c r="AG91" s="69">
        <v>0</v>
      </c>
      <c r="AH91" s="69">
        <v>0</v>
      </c>
      <c r="AI91" s="69">
        <v>0</v>
      </c>
      <c r="AJ91" s="69">
        <v>0</v>
      </c>
      <c r="AK91" s="69">
        <v>0</v>
      </c>
      <c r="AL91" s="69">
        <v>0</v>
      </c>
      <c r="AM91" s="69">
        <v>0</v>
      </c>
      <c r="AN91" s="69">
        <v>0</v>
      </c>
      <c r="AO91" s="69">
        <v>0</v>
      </c>
      <c r="AP91" s="69"/>
      <c r="AQ91" s="69">
        <v>0</v>
      </c>
      <c r="AR91" s="69">
        <v>0</v>
      </c>
      <c r="AS91" s="69">
        <v>0</v>
      </c>
      <c r="AT91" s="69">
        <v>0</v>
      </c>
      <c r="AU91" s="69">
        <v>0</v>
      </c>
      <c r="AV91" s="69">
        <v>0</v>
      </c>
      <c r="AW91" s="69">
        <v>0</v>
      </c>
      <c r="AX91" s="69">
        <v>0</v>
      </c>
      <c r="AY91" s="69">
        <v>0</v>
      </c>
      <c r="AZ91" s="69">
        <v>0</v>
      </c>
      <c r="BA91" s="69">
        <f t="shared" ref="BA91:BA98" si="166">SUM(BB91+BF91+BI91+BK91+BN91)</f>
        <v>0</v>
      </c>
      <c r="BB91" s="69">
        <f t="shared" ref="BB91:BB98" si="167">SUM(BC91:BE91)</f>
        <v>0</v>
      </c>
      <c r="BC91" s="69">
        <v>0</v>
      </c>
      <c r="BD91" s="69">
        <v>0</v>
      </c>
      <c r="BE91" s="69">
        <v>0</v>
      </c>
      <c r="BF91" s="69">
        <f t="shared" ref="BF91:BF98" si="168">SUM(BH91:BH91)</f>
        <v>0</v>
      </c>
      <c r="BG91" s="69">
        <v>0</v>
      </c>
      <c r="BH91" s="69">
        <v>0</v>
      </c>
      <c r="BI91" s="69">
        <v>0</v>
      </c>
      <c r="BJ91" s="69">
        <v>0</v>
      </c>
      <c r="BK91" s="69">
        <f>SUM(BL91)</f>
        <v>0</v>
      </c>
      <c r="BL91" s="69">
        <v>0</v>
      </c>
      <c r="BM91" s="69">
        <v>0</v>
      </c>
      <c r="BN91" s="69">
        <f t="shared" ref="BN91:BN98" si="169">SUM(BO91:BY91)</f>
        <v>0</v>
      </c>
      <c r="BO91" s="69">
        <v>0</v>
      </c>
      <c r="BP91" s="69">
        <v>0</v>
      </c>
      <c r="BQ91" s="69">
        <v>0</v>
      </c>
      <c r="BR91" s="69">
        <v>0</v>
      </c>
      <c r="BS91" s="69">
        <v>0</v>
      </c>
      <c r="BT91" s="69">
        <v>0</v>
      </c>
      <c r="BU91" s="69">
        <v>0</v>
      </c>
      <c r="BV91" s="69">
        <v>0</v>
      </c>
      <c r="BW91" s="69">
        <v>0</v>
      </c>
      <c r="BX91" s="69">
        <v>0</v>
      </c>
      <c r="BY91" s="69">
        <v>0</v>
      </c>
      <c r="BZ91" s="69">
        <f t="shared" ref="BZ91:BZ98" si="170">SUM(CA91+CS91)</f>
        <v>0</v>
      </c>
      <c r="CA91" s="69">
        <f t="shared" ref="CA91:CA98" si="171">SUM(CB91+CE91+CK91)</f>
        <v>0</v>
      </c>
      <c r="CB91" s="69">
        <f>SUM(CC91:CD91)</f>
        <v>0</v>
      </c>
      <c r="CC91" s="69">
        <v>0</v>
      </c>
      <c r="CD91" s="69">
        <v>0</v>
      </c>
      <c r="CE91" s="69">
        <f t="shared" ref="CE91:CE98" si="172">SUM(CF91:CJ91)</f>
        <v>0</v>
      </c>
      <c r="CF91" s="69">
        <v>0</v>
      </c>
      <c r="CG91" s="69">
        <v>0</v>
      </c>
      <c r="CH91" s="69">
        <v>0</v>
      </c>
      <c r="CI91" s="69">
        <v>0</v>
      </c>
      <c r="CJ91" s="69">
        <v>0</v>
      </c>
      <c r="CK91" s="69">
        <f t="shared" ref="CK91:CK98" si="173">SUM(CL91:CP91)</f>
        <v>0</v>
      </c>
      <c r="CL91" s="69">
        <v>0</v>
      </c>
      <c r="CM91" s="69">
        <v>0</v>
      </c>
      <c r="CN91" s="69">
        <v>0</v>
      </c>
      <c r="CO91" s="69"/>
      <c r="CP91" s="69"/>
      <c r="CQ91" s="69"/>
      <c r="CR91" s="69"/>
      <c r="CS91" s="69">
        <v>0</v>
      </c>
      <c r="CT91" s="69"/>
      <c r="CU91" s="69"/>
      <c r="CV91" s="69"/>
      <c r="CW91" s="69">
        <f>SUM(CX91)</f>
        <v>0</v>
      </c>
      <c r="CX91" s="69">
        <f>SUM(CY91:CZ91)</f>
        <v>0</v>
      </c>
      <c r="CY91" s="69">
        <v>0</v>
      </c>
      <c r="CZ91" s="72">
        <v>0</v>
      </c>
    </row>
    <row r="92" spans="1:105" s="73" customFormat="1" ht="15.75" x14ac:dyDescent="0.25">
      <c r="A92" s="83" t="s">
        <v>1</v>
      </c>
      <c r="B92" s="66" t="s">
        <v>86</v>
      </c>
      <c r="C92" s="67" t="s">
        <v>188</v>
      </c>
      <c r="D92" s="68">
        <f t="shared" si="151"/>
        <v>3636305</v>
      </c>
      <c r="E92" s="69">
        <f t="shared" si="152"/>
        <v>3636305</v>
      </c>
      <c r="F92" s="69">
        <f t="shared" si="153"/>
        <v>3636305</v>
      </c>
      <c r="G92" s="69">
        <v>0</v>
      </c>
      <c r="H92" s="69">
        <v>0</v>
      </c>
      <c r="I92" s="69">
        <f>SUM(J92:O92)</f>
        <v>0</v>
      </c>
      <c r="J92" s="69">
        <v>0</v>
      </c>
      <c r="K92" s="69">
        <v>0</v>
      </c>
      <c r="L92" s="69">
        <v>0</v>
      </c>
      <c r="M92" s="69">
        <v>0</v>
      </c>
      <c r="N92" s="69">
        <v>0</v>
      </c>
      <c r="O92" s="69">
        <v>0</v>
      </c>
      <c r="P92" s="69">
        <f>SUM(Q92:R92)</f>
        <v>0</v>
      </c>
      <c r="Q92" s="69">
        <v>0</v>
      </c>
      <c r="R92" s="69">
        <v>0</v>
      </c>
      <c r="S92" s="69">
        <v>0</v>
      </c>
      <c r="T92" s="69">
        <v>0</v>
      </c>
      <c r="U92" s="69">
        <f t="shared" si="164"/>
        <v>0</v>
      </c>
      <c r="V92" s="69">
        <v>0</v>
      </c>
      <c r="W92" s="69">
        <v>0</v>
      </c>
      <c r="X92" s="69">
        <v>0</v>
      </c>
      <c r="Y92" s="69">
        <v>0</v>
      </c>
      <c r="Z92" s="69">
        <v>0</v>
      </c>
      <c r="AA92" s="69">
        <v>0</v>
      </c>
      <c r="AB92" s="69">
        <v>0</v>
      </c>
      <c r="AC92" s="69">
        <v>0</v>
      </c>
      <c r="AD92" s="69">
        <f t="shared" si="165"/>
        <v>3636305</v>
      </c>
      <c r="AE92" s="71">
        <v>0</v>
      </c>
      <c r="AF92" s="70">
        <v>3636305</v>
      </c>
      <c r="AG92" s="69">
        <v>0</v>
      </c>
      <c r="AH92" s="69">
        <v>0</v>
      </c>
      <c r="AI92" s="69">
        <v>0</v>
      </c>
      <c r="AJ92" s="69">
        <v>0</v>
      </c>
      <c r="AK92" s="69">
        <v>0</v>
      </c>
      <c r="AL92" s="69">
        <v>0</v>
      </c>
      <c r="AM92" s="69">
        <v>0</v>
      </c>
      <c r="AN92" s="69">
        <v>0</v>
      </c>
      <c r="AO92" s="69">
        <v>0</v>
      </c>
      <c r="AP92" s="69"/>
      <c r="AQ92" s="69">
        <v>0</v>
      </c>
      <c r="AR92" s="69">
        <v>0</v>
      </c>
      <c r="AS92" s="69">
        <v>0</v>
      </c>
      <c r="AT92" s="69">
        <v>0</v>
      </c>
      <c r="AU92" s="69">
        <v>0</v>
      </c>
      <c r="AV92" s="69">
        <v>0</v>
      </c>
      <c r="AW92" s="69">
        <v>0</v>
      </c>
      <c r="AX92" s="69">
        <v>0</v>
      </c>
      <c r="AY92" s="69">
        <v>0</v>
      </c>
      <c r="AZ92" s="69">
        <v>0</v>
      </c>
      <c r="BA92" s="69">
        <f t="shared" si="166"/>
        <v>0</v>
      </c>
      <c r="BB92" s="69">
        <f t="shared" si="167"/>
        <v>0</v>
      </c>
      <c r="BC92" s="69">
        <v>0</v>
      </c>
      <c r="BD92" s="69">
        <v>0</v>
      </c>
      <c r="BE92" s="69">
        <v>0</v>
      </c>
      <c r="BF92" s="69">
        <f t="shared" si="168"/>
        <v>0</v>
      </c>
      <c r="BG92" s="69">
        <v>0</v>
      </c>
      <c r="BH92" s="69">
        <v>0</v>
      </c>
      <c r="BI92" s="69">
        <v>0</v>
      </c>
      <c r="BJ92" s="69">
        <v>0</v>
      </c>
      <c r="BK92" s="69">
        <f>SUM(BL92)</f>
        <v>0</v>
      </c>
      <c r="BL92" s="69">
        <v>0</v>
      </c>
      <c r="BM92" s="69">
        <v>0</v>
      </c>
      <c r="BN92" s="69">
        <f t="shared" si="169"/>
        <v>0</v>
      </c>
      <c r="BO92" s="69">
        <v>0</v>
      </c>
      <c r="BP92" s="69">
        <v>0</v>
      </c>
      <c r="BQ92" s="69">
        <v>0</v>
      </c>
      <c r="BR92" s="69">
        <v>0</v>
      </c>
      <c r="BS92" s="69">
        <v>0</v>
      </c>
      <c r="BT92" s="69">
        <v>0</v>
      </c>
      <c r="BU92" s="69">
        <v>0</v>
      </c>
      <c r="BV92" s="69">
        <v>0</v>
      </c>
      <c r="BW92" s="69">
        <v>0</v>
      </c>
      <c r="BX92" s="69">
        <v>0</v>
      </c>
      <c r="BY92" s="69">
        <v>0</v>
      </c>
      <c r="BZ92" s="69">
        <f t="shared" si="170"/>
        <v>0</v>
      </c>
      <c r="CA92" s="69">
        <f t="shared" si="171"/>
        <v>0</v>
      </c>
      <c r="CB92" s="69">
        <f>SUM(CC92:CD92)</f>
        <v>0</v>
      </c>
      <c r="CC92" s="69">
        <v>0</v>
      </c>
      <c r="CD92" s="69">
        <v>0</v>
      </c>
      <c r="CE92" s="69">
        <f t="shared" si="172"/>
        <v>0</v>
      </c>
      <c r="CF92" s="69">
        <v>0</v>
      </c>
      <c r="CG92" s="69">
        <v>0</v>
      </c>
      <c r="CH92" s="69">
        <v>0</v>
      </c>
      <c r="CI92" s="69">
        <v>0</v>
      </c>
      <c r="CJ92" s="69">
        <v>0</v>
      </c>
      <c r="CK92" s="69">
        <f t="shared" si="173"/>
        <v>0</v>
      </c>
      <c r="CL92" s="69">
        <v>0</v>
      </c>
      <c r="CM92" s="69">
        <v>0</v>
      </c>
      <c r="CN92" s="69">
        <v>0</v>
      </c>
      <c r="CO92" s="69"/>
      <c r="CP92" s="69"/>
      <c r="CQ92" s="69"/>
      <c r="CR92" s="69"/>
      <c r="CS92" s="69">
        <v>0</v>
      </c>
      <c r="CT92" s="69"/>
      <c r="CU92" s="69"/>
      <c r="CV92" s="69"/>
      <c r="CW92" s="69">
        <f>SUM(CX92)</f>
        <v>0</v>
      </c>
      <c r="CX92" s="69">
        <f>SUM(CY92:CZ92)</f>
        <v>0</v>
      </c>
      <c r="CY92" s="69">
        <v>0</v>
      </c>
      <c r="CZ92" s="72">
        <v>0</v>
      </c>
    </row>
    <row r="93" spans="1:105" s="73" customFormat="1" ht="31.5" x14ac:dyDescent="0.25">
      <c r="A93" s="83" t="s">
        <v>1</v>
      </c>
      <c r="B93" s="66" t="s">
        <v>153</v>
      </c>
      <c r="C93" s="67" t="s">
        <v>537</v>
      </c>
      <c r="D93" s="68">
        <f t="shared" si="151"/>
        <v>200142</v>
      </c>
      <c r="E93" s="69">
        <f t="shared" si="152"/>
        <v>200142</v>
      </c>
      <c r="F93" s="69">
        <f t="shared" si="153"/>
        <v>200142</v>
      </c>
      <c r="G93" s="69">
        <v>0</v>
      </c>
      <c r="H93" s="69">
        <v>0</v>
      </c>
      <c r="I93" s="69">
        <f t="shared" si="112"/>
        <v>0</v>
      </c>
      <c r="J93" s="69">
        <v>0</v>
      </c>
      <c r="K93" s="69">
        <v>0</v>
      </c>
      <c r="L93" s="69">
        <v>0</v>
      </c>
      <c r="M93" s="69">
        <v>0</v>
      </c>
      <c r="N93" s="69">
        <v>0</v>
      </c>
      <c r="O93" s="69">
        <v>0</v>
      </c>
      <c r="P93" s="69">
        <f t="shared" si="113"/>
        <v>0</v>
      </c>
      <c r="Q93" s="69">
        <v>0</v>
      </c>
      <c r="R93" s="69">
        <v>0</v>
      </c>
      <c r="S93" s="69">
        <v>0</v>
      </c>
      <c r="T93" s="69">
        <v>0</v>
      </c>
      <c r="U93" s="69">
        <f t="shared" si="164"/>
        <v>0</v>
      </c>
      <c r="V93" s="69">
        <v>0</v>
      </c>
      <c r="W93" s="69">
        <v>0</v>
      </c>
      <c r="X93" s="69">
        <v>0</v>
      </c>
      <c r="Y93" s="69">
        <v>0</v>
      </c>
      <c r="Z93" s="69">
        <v>0</v>
      </c>
      <c r="AA93" s="69">
        <v>0</v>
      </c>
      <c r="AB93" s="69">
        <v>0</v>
      </c>
      <c r="AC93" s="69">
        <v>0</v>
      </c>
      <c r="AD93" s="69">
        <f t="shared" si="165"/>
        <v>200142</v>
      </c>
      <c r="AE93" s="71">
        <v>0</v>
      </c>
      <c r="AF93" s="70">
        <v>200142</v>
      </c>
      <c r="AG93" s="69">
        <v>0</v>
      </c>
      <c r="AH93" s="69">
        <v>0</v>
      </c>
      <c r="AI93" s="69">
        <v>0</v>
      </c>
      <c r="AJ93" s="69">
        <v>0</v>
      </c>
      <c r="AK93" s="69">
        <v>0</v>
      </c>
      <c r="AL93" s="69">
        <v>0</v>
      </c>
      <c r="AM93" s="69">
        <v>0</v>
      </c>
      <c r="AN93" s="69">
        <v>0</v>
      </c>
      <c r="AO93" s="69">
        <v>0</v>
      </c>
      <c r="AP93" s="69"/>
      <c r="AQ93" s="69">
        <v>0</v>
      </c>
      <c r="AR93" s="69">
        <v>0</v>
      </c>
      <c r="AS93" s="69">
        <v>0</v>
      </c>
      <c r="AT93" s="69">
        <v>0</v>
      </c>
      <c r="AU93" s="69">
        <v>0</v>
      </c>
      <c r="AV93" s="69">
        <v>0</v>
      </c>
      <c r="AW93" s="69">
        <v>0</v>
      </c>
      <c r="AX93" s="69">
        <v>0</v>
      </c>
      <c r="AY93" s="69">
        <v>0</v>
      </c>
      <c r="AZ93" s="69">
        <v>0</v>
      </c>
      <c r="BA93" s="69">
        <f t="shared" si="166"/>
        <v>0</v>
      </c>
      <c r="BB93" s="69">
        <f t="shared" si="167"/>
        <v>0</v>
      </c>
      <c r="BC93" s="69">
        <v>0</v>
      </c>
      <c r="BD93" s="69">
        <v>0</v>
      </c>
      <c r="BE93" s="69">
        <v>0</v>
      </c>
      <c r="BF93" s="69">
        <f t="shared" si="168"/>
        <v>0</v>
      </c>
      <c r="BG93" s="69">
        <v>0</v>
      </c>
      <c r="BH93" s="69">
        <v>0</v>
      </c>
      <c r="BI93" s="69">
        <v>0</v>
      </c>
      <c r="BJ93" s="69">
        <v>0</v>
      </c>
      <c r="BK93" s="69">
        <f t="shared" si="114"/>
        <v>0</v>
      </c>
      <c r="BL93" s="69">
        <v>0</v>
      </c>
      <c r="BM93" s="69">
        <v>0</v>
      </c>
      <c r="BN93" s="69">
        <f t="shared" si="169"/>
        <v>0</v>
      </c>
      <c r="BO93" s="69">
        <v>0</v>
      </c>
      <c r="BP93" s="69">
        <v>0</v>
      </c>
      <c r="BQ93" s="69">
        <v>0</v>
      </c>
      <c r="BR93" s="69">
        <v>0</v>
      </c>
      <c r="BS93" s="69">
        <v>0</v>
      </c>
      <c r="BT93" s="69">
        <v>0</v>
      </c>
      <c r="BU93" s="69">
        <v>0</v>
      </c>
      <c r="BV93" s="69">
        <v>0</v>
      </c>
      <c r="BW93" s="69">
        <v>0</v>
      </c>
      <c r="BX93" s="69">
        <v>0</v>
      </c>
      <c r="BY93" s="69">
        <v>0</v>
      </c>
      <c r="BZ93" s="69">
        <f t="shared" si="170"/>
        <v>0</v>
      </c>
      <c r="CA93" s="69">
        <f t="shared" si="171"/>
        <v>0</v>
      </c>
      <c r="CB93" s="69">
        <f t="shared" si="115"/>
        <v>0</v>
      </c>
      <c r="CC93" s="69">
        <v>0</v>
      </c>
      <c r="CD93" s="69">
        <v>0</v>
      </c>
      <c r="CE93" s="69">
        <f t="shared" si="172"/>
        <v>0</v>
      </c>
      <c r="CF93" s="69">
        <v>0</v>
      </c>
      <c r="CG93" s="69">
        <v>0</v>
      </c>
      <c r="CH93" s="69">
        <v>0</v>
      </c>
      <c r="CI93" s="69">
        <v>0</v>
      </c>
      <c r="CJ93" s="69">
        <v>0</v>
      </c>
      <c r="CK93" s="69">
        <f t="shared" si="173"/>
        <v>0</v>
      </c>
      <c r="CL93" s="69">
        <v>0</v>
      </c>
      <c r="CM93" s="69">
        <v>0</v>
      </c>
      <c r="CN93" s="69">
        <v>0</v>
      </c>
      <c r="CO93" s="69"/>
      <c r="CP93" s="69"/>
      <c r="CQ93" s="69"/>
      <c r="CR93" s="69"/>
      <c r="CS93" s="69">
        <v>0</v>
      </c>
      <c r="CT93" s="69"/>
      <c r="CU93" s="69"/>
      <c r="CV93" s="69"/>
      <c r="CW93" s="69">
        <f t="shared" si="116"/>
        <v>0</v>
      </c>
      <c r="CX93" s="69">
        <f t="shared" si="117"/>
        <v>0</v>
      </c>
      <c r="CY93" s="69">
        <v>0</v>
      </c>
      <c r="CZ93" s="72">
        <v>0</v>
      </c>
    </row>
    <row r="94" spans="1:105" s="73" customFormat="1" ht="31.5" x14ac:dyDescent="0.25">
      <c r="A94" s="83"/>
      <c r="B94" s="76" t="s">
        <v>90</v>
      </c>
      <c r="C94" s="77" t="s">
        <v>486</v>
      </c>
      <c r="D94" s="68">
        <f t="shared" si="151"/>
        <v>1379836</v>
      </c>
      <c r="E94" s="69">
        <f t="shared" si="152"/>
        <v>1379836</v>
      </c>
      <c r="F94" s="69">
        <f t="shared" si="153"/>
        <v>1379836</v>
      </c>
      <c r="G94" s="70">
        <v>0</v>
      </c>
      <c r="H94" s="70">
        <v>0</v>
      </c>
      <c r="I94" s="69">
        <f t="shared" ref="I94" si="174">SUM(J94:O94)</f>
        <v>0</v>
      </c>
      <c r="J94" s="70">
        <v>0</v>
      </c>
      <c r="K94" s="70">
        <v>0</v>
      </c>
      <c r="L94" s="70">
        <v>0</v>
      </c>
      <c r="M94" s="70">
        <v>0</v>
      </c>
      <c r="N94" s="70">
        <v>0</v>
      </c>
      <c r="O94" s="70">
        <v>0</v>
      </c>
      <c r="P94" s="69">
        <f t="shared" ref="P94" si="175">SUM(Q94:R94)</f>
        <v>0</v>
      </c>
      <c r="Q94" s="69">
        <v>0</v>
      </c>
      <c r="R94" s="69">
        <v>0</v>
      </c>
      <c r="S94" s="69">
        <v>0</v>
      </c>
      <c r="T94" s="69">
        <v>0</v>
      </c>
      <c r="U94" s="69">
        <f t="shared" ref="U94" si="176">SUM(V94:AC94)</f>
        <v>0</v>
      </c>
      <c r="V94" s="69">
        <v>0</v>
      </c>
      <c r="W94" s="69">
        <v>0</v>
      </c>
      <c r="X94" s="69">
        <v>0</v>
      </c>
      <c r="Y94" s="69">
        <v>0</v>
      </c>
      <c r="Z94" s="69">
        <v>0</v>
      </c>
      <c r="AA94" s="69">
        <v>0</v>
      </c>
      <c r="AB94" s="69">
        <v>0</v>
      </c>
      <c r="AC94" s="69">
        <v>0</v>
      </c>
      <c r="AD94" s="69">
        <f t="shared" si="165"/>
        <v>1379836</v>
      </c>
      <c r="AE94" s="71">
        <v>0</v>
      </c>
      <c r="AF94" s="70">
        <v>1379836</v>
      </c>
      <c r="AG94" s="69">
        <v>0</v>
      </c>
      <c r="AH94" s="69">
        <v>0</v>
      </c>
      <c r="AI94" s="69">
        <v>0</v>
      </c>
      <c r="AJ94" s="69">
        <v>0</v>
      </c>
      <c r="AK94" s="69">
        <v>0</v>
      </c>
      <c r="AL94" s="69">
        <v>0</v>
      </c>
      <c r="AM94" s="69">
        <v>0</v>
      </c>
      <c r="AN94" s="69">
        <v>0</v>
      </c>
      <c r="AO94" s="69">
        <v>0</v>
      </c>
      <c r="AP94" s="69"/>
      <c r="AQ94" s="69">
        <v>0</v>
      </c>
      <c r="AR94" s="69">
        <v>0</v>
      </c>
      <c r="AS94" s="69">
        <v>0</v>
      </c>
      <c r="AT94" s="69">
        <v>0</v>
      </c>
      <c r="AU94" s="69">
        <v>0</v>
      </c>
      <c r="AV94" s="69">
        <v>0</v>
      </c>
      <c r="AW94" s="69">
        <v>0</v>
      </c>
      <c r="AX94" s="69">
        <v>0</v>
      </c>
      <c r="AY94" s="69">
        <v>0</v>
      </c>
      <c r="AZ94" s="69">
        <v>0</v>
      </c>
      <c r="BA94" s="69">
        <f t="shared" si="166"/>
        <v>0</v>
      </c>
      <c r="BB94" s="69">
        <f t="shared" ref="BB94" si="177">SUM(BC94:BE94)</f>
        <v>0</v>
      </c>
      <c r="BC94" s="69">
        <v>0</v>
      </c>
      <c r="BD94" s="69">
        <v>0</v>
      </c>
      <c r="BE94" s="69">
        <v>0</v>
      </c>
      <c r="BF94" s="69">
        <f t="shared" si="168"/>
        <v>0</v>
      </c>
      <c r="BG94" s="69">
        <v>0</v>
      </c>
      <c r="BH94" s="69">
        <v>0</v>
      </c>
      <c r="BI94" s="69">
        <v>0</v>
      </c>
      <c r="BJ94" s="69">
        <v>0</v>
      </c>
      <c r="BK94" s="69">
        <f t="shared" ref="BK94" si="178">SUM(BL94)</f>
        <v>0</v>
      </c>
      <c r="BL94" s="69">
        <v>0</v>
      </c>
      <c r="BM94" s="69">
        <v>0</v>
      </c>
      <c r="BN94" s="69">
        <f t="shared" si="169"/>
        <v>0</v>
      </c>
      <c r="BO94" s="69">
        <v>0</v>
      </c>
      <c r="BP94" s="69">
        <v>0</v>
      </c>
      <c r="BQ94" s="69">
        <v>0</v>
      </c>
      <c r="BR94" s="69">
        <v>0</v>
      </c>
      <c r="BS94" s="69">
        <v>0</v>
      </c>
      <c r="BT94" s="69">
        <v>0</v>
      </c>
      <c r="BU94" s="69">
        <v>0</v>
      </c>
      <c r="BV94" s="69">
        <v>0</v>
      </c>
      <c r="BW94" s="69">
        <v>0</v>
      </c>
      <c r="BX94" s="69">
        <v>0</v>
      </c>
      <c r="BY94" s="69">
        <v>0</v>
      </c>
      <c r="BZ94" s="69">
        <f t="shared" si="170"/>
        <v>0</v>
      </c>
      <c r="CA94" s="69">
        <f t="shared" si="171"/>
        <v>0</v>
      </c>
      <c r="CB94" s="69">
        <f t="shared" ref="CB94" si="179">SUM(CC94:CD94)</f>
        <v>0</v>
      </c>
      <c r="CC94" s="69">
        <v>0</v>
      </c>
      <c r="CD94" s="69">
        <v>0</v>
      </c>
      <c r="CE94" s="69">
        <f t="shared" si="172"/>
        <v>0</v>
      </c>
      <c r="CF94" s="69">
        <v>0</v>
      </c>
      <c r="CG94" s="69">
        <v>0</v>
      </c>
      <c r="CH94" s="69">
        <v>0</v>
      </c>
      <c r="CI94" s="69">
        <v>0</v>
      </c>
      <c r="CJ94" s="69">
        <v>0</v>
      </c>
      <c r="CK94" s="69">
        <f t="shared" si="173"/>
        <v>0</v>
      </c>
      <c r="CL94" s="69">
        <v>0</v>
      </c>
      <c r="CM94" s="69">
        <v>0</v>
      </c>
      <c r="CN94" s="69">
        <v>0</v>
      </c>
      <c r="CO94" s="69"/>
      <c r="CP94" s="69"/>
      <c r="CQ94" s="69"/>
      <c r="CR94" s="69"/>
      <c r="CS94" s="69">
        <v>0</v>
      </c>
      <c r="CT94" s="69"/>
      <c r="CU94" s="69"/>
      <c r="CV94" s="69"/>
      <c r="CW94" s="69">
        <f t="shared" ref="CW94" si="180">SUM(CX94)</f>
        <v>0</v>
      </c>
      <c r="CX94" s="69">
        <f t="shared" ref="CX94" si="181">SUM(CY94:CZ94)</f>
        <v>0</v>
      </c>
      <c r="CY94" s="69">
        <v>0</v>
      </c>
      <c r="CZ94" s="72">
        <v>0</v>
      </c>
    </row>
    <row r="95" spans="1:105" s="73" customFormat="1" ht="31.5" x14ac:dyDescent="0.25">
      <c r="A95" s="83" t="s">
        <v>1</v>
      </c>
      <c r="B95" s="76" t="s">
        <v>92</v>
      </c>
      <c r="C95" s="77" t="s">
        <v>487</v>
      </c>
      <c r="D95" s="68">
        <f t="shared" si="151"/>
        <v>5882262</v>
      </c>
      <c r="E95" s="69">
        <f t="shared" si="152"/>
        <v>5882262</v>
      </c>
      <c r="F95" s="69">
        <f t="shared" si="153"/>
        <v>5882262</v>
      </c>
      <c r="G95" s="70">
        <v>0</v>
      </c>
      <c r="H95" s="70">
        <v>0</v>
      </c>
      <c r="I95" s="69">
        <f t="shared" si="112"/>
        <v>0</v>
      </c>
      <c r="J95" s="70">
        <v>0</v>
      </c>
      <c r="K95" s="70">
        <v>0</v>
      </c>
      <c r="L95" s="70">
        <v>0</v>
      </c>
      <c r="M95" s="70">
        <v>0</v>
      </c>
      <c r="N95" s="70">
        <v>0</v>
      </c>
      <c r="O95" s="70">
        <v>0</v>
      </c>
      <c r="P95" s="69">
        <f t="shared" si="113"/>
        <v>0</v>
      </c>
      <c r="Q95" s="69">
        <v>0</v>
      </c>
      <c r="R95" s="69">
        <v>0</v>
      </c>
      <c r="S95" s="69">
        <v>0</v>
      </c>
      <c r="T95" s="69">
        <v>0</v>
      </c>
      <c r="U95" s="69">
        <f t="shared" si="164"/>
        <v>0</v>
      </c>
      <c r="V95" s="69">
        <v>0</v>
      </c>
      <c r="W95" s="69">
        <v>0</v>
      </c>
      <c r="X95" s="69">
        <v>0</v>
      </c>
      <c r="Y95" s="69">
        <v>0</v>
      </c>
      <c r="Z95" s="69">
        <v>0</v>
      </c>
      <c r="AA95" s="69">
        <v>0</v>
      </c>
      <c r="AB95" s="69">
        <v>0</v>
      </c>
      <c r="AC95" s="69">
        <v>0</v>
      </c>
      <c r="AD95" s="69">
        <f t="shared" si="165"/>
        <v>5882262</v>
      </c>
      <c r="AE95" s="71">
        <v>0</v>
      </c>
      <c r="AF95" s="70">
        <f>259351+5622911</f>
        <v>5882262</v>
      </c>
      <c r="AG95" s="69">
        <v>0</v>
      </c>
      <c r="AH95" s="69">
        <v>0</v>
      </c>
      <c r="AI95" s="69">
        <v>0</v>
      </c>
      <c r="AJ95" s="69">
        <v>0</v>
      </c>
      <c r="AK95" s="69">
        <v>0</v>
      </c>
      <c r="AL95" s="69">
        <v>0</v>
      </c>
      <c r="AM95" s="69">
        <v>0</v>
      </c>
      <c r="AN95" s="69">
        <v>0</v>
      </c>
      <c r="AO95" s="69">
        <v>0</v>
      </c>
      <c r="AP95" s="69"/>
      <c r="AQ95" s="69">
        <v>0</v>
      </c>
      <c r="AR95" s="69">
        <v>0</v>
      </c>
      <c r="AS95" s="69">
        <v>0</v>
      </c>
      <c r="AT95" s="69">
        <v>0</v>
      </c>
      <c r="AU95" s="69">
        <v>0</v>
      </c>
      <c r="AV95" s="69">
        <v>0</v>
      </c>
      <c r="AW95" s="69">
        <v>0</v>
      </c>
      <c r="AX95" s="69">
        <v>0</v>
      </c>
      <c r="AY95" s="69">
        <v>0</v>
      </c>
      <c r="AZ95" s="69">
        <v>0</v>
      </c>
      <c r="BA95" s="69">
        <f t="shared" si="166"/>
        <v>0</v>
      </c>
      <c r="BB95" s="69">
        <f t="shared" si="167"/>
        <v>0</v>
      </c>
      <c r="BC95" s="69">
        <v>0</v>
      </c>
      <c r="BD95" s="69">
        <v>0</v>
      </c>
      <c r="BE95" s="69">
        <v>0</v>
      </c>
      <c r="BF95" s="69">
        <f t="shared" si="168"/>
        <v>0</v>
      </c>
      <c r="BG95" s="69">
        <v>0</v>
      </c>
      <c r="BH95" s="69">
        <v>0</v>
      </c>
      <c r="BI95" s="69">
        <v>0</v>
      </c>
      <c r="BJ95" s="69">
        <v>0</v>
      </c>
      <c r="BK95" s="69">
        <f t="shared" si="114"/>
        <v>0</v>
      </c>
      <c r="BL95" s="69">
        <v>0</v>
      </c>
      <c r="BM95" s="69">
        <v>0</v>
      </c>
      <c r="BN95" s="69">
        <f t="shared" si="169"/>
        <v>0</v>
      </c>
      <c r="BO95" s="69">
        <v>0</v>
      </c>
      <c r="BP95" s="69">
        <v>0</v>
      </c>
      <c r="BQ95" s="69">
        <v>0</v>
      </c>
      <c r="BR95" s="69">
        <v>0</v>
      </c>
      <c r="BS95" s="69">
        <v>0</v>
      </c>
      <c r="BT95" s="69">
        <v>0</v>
      </c>
      <c r="BU95" s="69">
        <v>0</v>
      </c>
      <c r="BV95" s="69">
        <v>0</v>
      </c>
      <c r="BW95" s="69">
        <v>0</v>
      </c>
      <c r="BX95" s="69">
        <v>0</v>
      </c>
      <c r="BY95" s="69">
        <v>0</v>
      </c>
      <c r="BZ95" s="69">
        <f t="shared" si="170"/>
        <v>0</v>
      </c>
      <c r="CA95" s="69">
        <f t="shared" si="171"/>
        <v>0</v>
      </c>
      <c r="CB95" s="69">
        <f t="shared" si="115"/>
        <v>0</v>
      </c>
      <c r="CC95" s="69">
        <v>0</v>
      </c>
      <c r="CD95" s="69">
        <v>0</v>
      </c>
      <c r="CE95" s="69">
        <f t="shared" si="172"/>
        <v>0</v>
      </c>
      <c r="CF95" s="69">
        <v>0</v>
      </c>
      <c r="CG95" s="69">
        <v>0</v>
      </c>
      <c r="CH95" s="69">
        <v>0</v>
      </c>
      <c r="CI95" s="69">
        <v>0</v>
      </c>
      <c r="CJ95" s="69">
        <v>0</v>
      </c>
      <c r="CK95" s="69">
        <f t="shared" si="173"/>
        <v>0</v>
      </c>
      <c r="CL95" s="69">
        <v>0</v>
      </c>
      <c r="CM95" s="69">
        <v>0</v>
      </c>
      <c r="CN95" s="69">
        <v>0</v>
      </c>
      <c r="CO95" s="69"/>
      <c r="CP95" s="69"/>
      <c r="CQ95" s="69"/>
      <c r="CR95" s="69"/>
      <c r="CS95" s="69">
        <v>0</v>
      </c>
      <c r="CT95" s="69"/>
      <c r="CU95" s="69"/>
      <c r="CV95" s="69"/>
      <c r="CW95" s="69">
        <f t="shared" si="116"/>
        <v>0</v>
      </c>
      <c r="CX95" s="69">
        <f t="shared" si="117"/>
        <v>0</v>
      </c>
      <c r="CY95" s="69">
        <v>0</v>
      </c>
      <c r="CZ95" s="72">
        <v>0</v>
      </c>
    </row>
    <row r="96" spans="1:105" ht="31.5" x14ac:dyDescent="0.25">
      <c r="A96" s="82" t="s">
        <v>1</v>
      </c>
      <c r="B96" s="36" t="s">
        <v>189</v>
      </c>
      <c r="C96" s="37" t="s">
        <v>362</v>
      </c>
      <c r="D96" s="38">
        <f t="shared" si="151"/>
        <v>365042</v>
      </c>
      <c r="E96" s="39">
        <f t="shared" si="152"/>
        <v>365042</v>
      </c>
      <c r="F96" s="39">
        <f t="shared" si="153"/>
        <v>365042</v>
      </c>
      <c r="G96" s="35">
        <v>296421</v>
      </c>
      <c r="H96" s="35">
        <v>68621</v>
      </c>
      <c r="I96" s="39">
        <f t="shared" si="112"/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/>
      <c r="P96" s="39">
        <f t="shared" si="113"/>
        <v>0</v>
      </c>
      <c r="Q96" s="39">
        <v>0</v>
      </c>
      <c r="R96" s="39"/>
      <c r="S96" s="39">
        <v>0</v>
      </c>
      <c r="T96" s="39">
        <v>0</v>
      </c>
      <c r="U96" s="39">
        <f t="shared" si="164"/>
        <v>0</v>
      </c>
      <c r="V96" s="39">
        <v>0</v>
      </c>
      <c r="W96" s="39">
        <v>0</v>
      </c>
      <c r="X96" s="39">
        <v>0</v>
      </c>
      <c r="Y96" s="39">
        <v>0</v>
      </c>
      <c r="Z96" s="39">
        <v>0</v>
      </c>
      <c r="AA96" s="39">
        <v>0</v>
      </c>
      <c r="AB96" s="39">
        <v>0</v>
      </c>
      <c r="AC96" s="39">
        <v>0</v>
      </c>
      <c r="AD96" s="39">
        <f t="shared" si="165"/>
        <v>0</v>
      </c>
      <c r="AE96" s="40">
        <v>0</v>
      </c>
      <c r="AF96" s="35">
        <v>0</v>
      </c>
      <c r="AG96" s="39">
        <v>0</v>
      </c>
      <c r="AH96" s="39">
        <v>0</v>
      </c>
      <c r="AI96" s="39">
        <v>0</v>
      </c>
      <c r="AJ96" s="39">
        <v>0</v>
      </c>
      <c r="AK96" s="39">
        <v>0</v>
      </c>
      <c r="AL96" s="39">
        <v>0</v>
      </c>
      <c r="AM96" s="39">
        <v>0</v>
      </c>
      <c r="AN96" s="39">
        <v>0</v>
      </c>
      <c r="AO96" s="39">
        <v>0</v>
      </c>
      <c r="AP96" s="39"/>
      <c r="AQ96" s="39">
        <v>0</v>
      </c>
      <c r="AR96" s="39">
        <v>0</v>
      </c>
      <c r="AS96" s="39">
        <v>0</v>
      </c>
      <c r="AT96" s="39">
        <v>0</v>
      </c>
      <c r="AU96" s="39">
        <v>0</v>
      </c>
      <c r="AV96" s="39">
        <v>0</v>
      </c>
      <c r="AW96" s="39">
        <v>0</v>
      </c>
      <c r="AX96" s="39">
        <v>0</v>
      </c>
      <c r="AY96" s="39">
        <v>0</v>
      </c>
      <c r="AZ96" s="39">
        <v>0</v>
      </c>
      <c r="BA96" s="39">
        <f t="shared" si="166"/>
        <v>0</v>
      </c>
      <c r="BB96" s="39">
        <f t="shared" si="167"/>
        <v>0</v>
      </c>
      <c r="BC96" s="39">
        <v>0</v>
      </c>
      <c r="BD96" s="39">
        <v>0</v>
      </c>
      <c r="BE96" s="39">
        <v>0</v>
      </c>
      <c r="BF96" s="39">
        <f t="shared" si="168"/>
        <v>0</v>
      </c>
      <c r="BG96" s="39">
        <v>0</v>
      </c>
      <c r="BH96" s="39">
        <v>0</v>
      </c>
      <c r="BI96" s="39">
        <v>0</v>
      </c>
      <c r="BJ96" s="39">
        <v>0</v>
      </c>
      <c r="BK96" s="39">
        <f t="shared" si="114"/>
        <v>0</v>
      </c>
      <c r="BL96" s="39">
        <v>0</v>
      </c>
      <c r="BM96" s="39">
        <v>0</v>
      </c>
      <c r="BN96" s="39">
        <f t="shared" si="169"/>
        <v>0</v>
      </c>
      <c r="BO96" s="39">
        <v>0</v>
      </c>
      <c r="BP96" s="39">
        <v>0</v>
      </c>
      <c r="BQ96" s="39">
        <v>0</v>
      </c>
      <c r="BR96" s="39">
        <v>0</v>
      </c>
      <c r="BS96" s="39">
        <v>0</v>
      </c>
      <c r="BT96" s="39">
        <v>0</v>
      </c>
      <c r="BU96" s="39">
        <v>0</v>
      </c>
      <c r="BV96" s="39">
        <v>0</v>
      </c>
      <c r="BW96" s="39">
        <v>0</v>
      </c>
      <c r="BX96" s="39">
        <v>0</v>
      </c>
      <c r="BY96" s="39">
        <v>0</v>
      </c>
      <c r="BZ96" s="39">
        <f t="shared" si="170"/>
        <v>0</v>
      </c>
      <c r="CA96" s="39">
        <f t="shared" si="171"/>
        <v>0</v>
      </c>
      <c r="CB96" s="39">
        <f t="shared" si="115"/>
        <v>0</v>
      </c>
      <c r="CC96" s="39">
        <v>0</v>
      </c>
      <c r="CD96" s="39"/>
      <c r="CE96" s="19">
        <f t="shared" si="172"/>
        <v>0</v>
      </c>
      <c r="CF96" s="39">
        <v>0</v>
      </c>
      <c r="CG96" s="39">
        <v>0</v>
      </c>
      <c r="CH96" s="39">
        <v>0</v>
      </c>
      <c r="CI96" s="39">
        <v>0</v>
      </c>
      <c r="CJ96" s="39">
        <v>0</v>
      </c>
      <c r="CK96" s="39">
        <f t="shared" si="173"/>
        <v>0</v>
      </c>
      <c r="CL96" s="39">
        <v>0</v>
      </c>
      <c r="CM96" s="39">
        <v>0</v>
      </c>
      <c r="CN96" s="39">
        <v>0</v>
      </c>
      <c r="CO96" s="39"/>
      <c r="CP96" s="39"/>
      <c r="CQ96" s="39"/>
      <c r="CR96" s="39"/>
      <c r="CS96" s="39">
        <v>0</v>
      </c>
      <c r="CT96" s="39"/>
      <c r="CU96" s="39"/>
      <c r="CV96" s="39"/>
      <c r="CW96" s="39">
        <f t="shared" si="116"/>
        <v>0</v>
      </c>
      <c r="CX96" s="39">
        <f t="shared" si="117"/>
        <v>0</v>
      </c>
      <c r="CY96" s="39">
        <v>0</v>
      </c>
      <c r="CZ96" s="41">
        <v>0</v>
      </c>
    </row>
    <row r="97" spans="1:105" ht="31.5" x14ac:dyDescent="0.25">
      <c r="A97" s="82"/>
      <c r="B97" s="36" t="s">
        <v>100</v>
      </c>
      <c r="C97" s="37" t="s">
        <v>186</v>
      </c>
      <c r="D97" s="38">
        <f t="shared" si="151"/>
        <v>72028</v>
      </c>
      <c r="E97" s="39">
        <f t="shared" si="152"/>
        <v>72028</v>
      </c>
      <c r="F97" s="39">
        <f t="shared" si="153"/>
        <v>72028</v>
      </c>
      <c r="G97" s="35">
        <v>0</v>
      </c>
      <c r="H97" s="35">
        <v>0</v>
      </c>
      <c r="I97" s="39">
        <f t="shared" ref="I97" si="182">SUM(J97:O97)</f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9">
        <f t="shared" ref="P97" si="183">SUM(Q97:R97)</f>
        <v>0</v>
      </c>
      <c r="Q97" s="39">
        <v>0</v>
      </c>
      <c r="R97" s="39">
        <v>0</v>
      </c>
      <c r="S97" s="39">
        <v>0</v>
      </c>
      <c r="T97" s="39">
        <v>0</v>
      </c>
      <c r="U97" s="39">
        <f t="shared" ref="U97" si="184">SUM(V97:AC97)</f>
        <v>0</v>
      </c>
      <c r="V97" s="39">
        <v>0</v>
      </c>
      <c r="W97" s="39">
        <v>0</v>
      </c>
      <c r="X97" s="39">
        <v>0</v>
      </c>
      <c r="Y97" s="39">
        <v>0</v>
      </c>
      <c r="Z97" s="39">
        <v>0</v>
      </c>
      <c r="AA97" s="39">
        <v>0</v>
      </c>
      <c r="AB97" s="39">
        <v>0</v>
      </c>
      <c r="AC97" s="39">
        <v>0</v>
      </c>
      <c r="AD97" s="39">
        <f t="shared" ref="AD97" si="185">SUM(AE97:AZ97)</f>
        <v>72028</v>
      </c>
      <c r="AE97" s="40">
        <v>0</v>
      </c>
      <c r="AF97" s="35">
        <v>72028</v>
      </c>
      <c r="AG97" s="39">
        <v>0</v>
      </c>
      <c r="AH97" s="39">
        <v>0</v>
      </c>
      <c r="AI97" s="39">
        <v>0</v>
      </c>
      <c r="AJ97" s="39">
        <v>0</v>
      </c>
      <c r="AK97" s="39">
        <v>0</v>
      </c>
      <c r="AL97" s="39">
        <v>0</v>
      </c>
      <c r="AM97" s="39">
        <v>0</v>
      </c>
      <c r="AN97" s="39">
        <v>0</v>
      </c>
      <c r="AO97" s="39">
        <v>0</v>
      </c>
      <c r="AP97" s="39"/>
      <c r="AQ97" s="39">
        <v>0</v>
      </c>
      <c r="AR97" s="39">
        <v>0</v>
      </c>
      <c r="AS97" s="39">
        <v>0</v>
      </c>
      <c r="AT97" s="39">
        <v>0</v>
      </c>
      <c r="AU97" s="39">
        <v>0</v>
      </c>
      <c r="AV97" s="39">
        <v>0</v>
      </c>
      <c r="AW97" s="39">
        <v>0</v>
      </c>
      <c r="AX97" s="39">
        <v>0</v>
      </c>
      <c r="AY97" s="39">
        <v>0</v>
      </c>
      <c r="AZ97" s="39">
        <v>0</v>
      </c>
      <c r="BA97" s="39">
        <f t="shared" ref="BA97" si="186">SUM(BB97+BF97+BI97+BK97+BN97)</f>
        <v>0</v>
      </c>
      <c r="BB97" s="39">
        <f t="shared" ref="BB97" si="187">SUM(BC97:BE97)</f>
        <v>0</v>
      </c>
      <c r="BC97" s="39">
        <v>0</v>
      </c>
      <c r="BD97" s="39">
        <v>0</v>
      </c>
      <c r="BE97" s="39">
        <v>0</v>
      </c>
      <c r="BF97" s="39">
        <f t="shared" ref="BF97" si="188">SUM(BH97:BH97)</f>
        <v>0</v>
      </c>
      <c r="BG97" s="39">
        <v>0</v>
      </c>
      <c r="BH97" s="39">
        <v>0</v>
      </c>
      <c r="BI97" s="39">
        <v>0</v>
      </c>
      <c r="BJ97" s="39">
        <v>0</v>
      </c>
      <c r="BK97" s="39">
        <f t="shared" ref="BK97" si="189">SUM(BL97)</f>
        <v>0</v>
      </c>
      <c r="BL97" s="39">
        <v>0</v>
      </c>
      <c r="BM97" s="39">
        <v>0</v>
      </c>
      <c r="BN97" s="39">
        <f t="shared" ref="BN97" si="190">SUM(BO97:BY97)</f>
        <v>0</v>
      </c>
      <c r="BO97" s="39">
        <v>0</v>
      </c>
      <c r="BP97" s="39">
        <v>0</v>
      </c>
      <c r="BQ97" s="39">
        <v>0</v>
      </c>
      <c r="BR97" s="39">
        <v>0</v>
      </c>
      <c r="BS97" s="39">
        <v>0</v>
      </c>
      <c r="BT97" s="39">
        <v>0</v>
      </c>
      <c r="BU97" s="39">
        <v>0</v>
      </c>
      <c r="BV97" s="39">
        <v>0</v>
      </c>
      <c r="BW97" s="39">
        <v>0</v>
      </c>
      <c r="BX97" s="39">
        <v>0</v>
      </c>
      <c r="BY97" s="39">
        <v>0</v>
      </c>
      <c r="BZ97" s="39">
        <f t="shared" ref="BZ97" si="191">SUM(CA97+CS97)</f>
        <v>0</v>
      </c>
      <c r="CA97" s="39">
        <f t="shared" ref="CA97" si="192">SUM(CB97+CE97+CK97)</f>
        <v>0</v>
      </c>
      <c r="CB97" s="39">
        <f t="shared" ref="CB97" si="193">SUM(CC97:CD97)</f>
        <v>0</v>
      </c>
      <c r="CC97" s="39">
        <v>0</v>
      </c>
      <c r="CD97" s="39">
        <v>0</v>
      </c>
      <c r="CE97" s="19">
        <f t="shared" ref="CE97" si="194">SUM(CF97:CJ97)</f>
        <v>0</v>
      </c>
      <c r="CF97" s="39">
        <v>0</v>
      </c>
      <c r="CG97" s="39">
        <v>0</v>
      </c>
      <c r="CH97" s="39">
        <v>0</v>
      </c>
      <c r="CI97" s="39">
        <v>0</v>
      </c>
      <c r="CJ97" s="39">
        <v>0</v>
      </c>
      <c r="CK97" s="39">
        <f t="shared" ref="CK97" si="195">SUM(CL97:CP97)</f>
        <v>0</v>
      </c>
      <c r="CL97" s="39">
        <v>0</v>
      </c>
      <c r="CM97" s="39">
        <v>0</v>
      </c>
      <c r="CN97" s="39">
        <v>0</v>
      </c>
      <c r="CO97" s="39"/>
      <c r="CP97" s="39"/>
      <c r="CQ97" s="39"/>
      <c r="CR97" s="39"/>
      <c r="CS97" s="39">
        <v>0</v>
      </c>
      <c r="CT97" s="39"/>
      <c r="CU97" s="39"/>
      <c r="CV97" s="39"/>
      <c r="CW97" s="39">
        <f t="shared" ref="CW97" si="196">SUM(CX97)</f>
        <v>0</v>
      </c>
      <c r="CX97" s="39">
        <f t="shared" ref="CX97" si="197">SUM(CY97:CZ97)</f>
        <v>0</v>
      </c>
      <c r="CY97" s="39">
        <v>0</v>
      </c>
      <c r="CZ97" s="41">
        <v>0</v>
      </c>
    </row>
    <row r="98" spans="1:105" s="52" customFormat="1" ht="31.5" x14ac:dyDescent="0.25">
      <c r="A98" s="82"/>
      <c r="B98" s="42" t="s">
        <v>104</v>
      </c>
      <c r="C98" s="43" t="s">
        <v>488</v>
      </c>
      <c r="D98" s="38">
        <f t="shared" si="151"/>
        <v>300053</v>
      </c>
      <c r="E98" s="39">
        <f t="shared" si="152"/>
        <v>300053</v>
      </c>
      <c r="F98" s="39">
        <f t="shared" si="153"/>
        <v>300053</v>
      </c>
      <c r="G98" s="35">
        <v>0</v>
      </c>
      <c r="H98" s="35">
        <v>0</v>
      </c>
      <c r="I98" s="39">
        <f t="shared" si="112"/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9">
        <f t="shared" si="113"/>
        <v>0</v>
      </c>
      <c r="Q98" s="39">
        <v>0</v>
      </c>
      <c r="R98" s="39">
        <v>0</v>
      </c>
      <c r="S98" s="39">
        <v>0</v>
      </c>
      <c r="T98" s="39">
        <v>0</v>
      </c>
      <c r="U98" s="39">
        <f t="shared" si="164"/>
        <v>0</v>
      </c>
      <c r="V98" s="39">
        <v>0</v>
      </c>
      <c r="W98" s="39">
        <v>0</v>
      </c>
      <c r="X98" s="39">
        <v>0</v>
      </c>
      <c r="Y98" s="39">
        <v>0</v>
      </c>
      <c r="Z98" s="39">
        <v>0</v>
      </c>
      <c r="AA98" s="39">
        <v>0</v>
      </c>
      <c r="AB98" s="39">
        <v>0</v>
      </c>
      <c r="AC98" s="39">
        <v>0</v>
      </c>
      <c r="AD98" s="39">
        <f t="shared" si="165"/>
        <v>300053</v>
      </c>
      <c r="AE98" s="40">
        <v>0</v>
      </c>
      <c r="AF98" s="35">
        <v>300053</v>
      </c>
      <c r="AG98" s="39">
        <v>0</v>
      </c>
      <c r="AH98" s="39">
        <v>0</v>
      </c>
      <c r="AI98" s="39">
        <v>0</v>
      </c>
      <c r="AJ98" s="39">
        <v>0</v>
      </c>
      <c r="AK98" s="39">
        <v>0</v>
      </c>
      <c r="AL98" s="39">
        <v>0</v>
      </c>
      <c r="AM98" s="39">
        <v>0</v>
      </c>
      <c r="AN98" s="39">
        <v>0</v>
      </c>
      <c r="AO98" s="39">
        <v>0</v>
      </c>
      <c r="AP98" s="39"/>
      <c r="AQ98" s="39">
        <v>0</v>
      </c>
      <c r="AR98" s="39">
        <v>0</v>
      </c>
      <c r="AS98" s="39">
        <v>0</v>
      </c>
      <c r="AT98" s="39">
        <v>0</v>
      </c>
      <c r="AU98" s="39">
        <v>0</v>
      </c>
      <c r="AV98" s="39">
        <v>0</v>
      </c>
      <c r="AW98" s="39">
        <v>0</v>
      </c>
      <c r="AX98" s="39">
        <v>0</v>
      </c>
      <c r="AY98" s="39">
        <v>0</v>
      </c>
      <c r="AZ98" s="39">
        <v>0</v>
      </c>
      <c r="BA98" s="39">
        <f t="shared" si="166"/>
        <v>0</v>
      </c>
      <c r="BB98" s="39">
        <f t="shared" si="167"/>
        <v>0</v>
      </c>
      <c r="BC98" s="39">
        <v>0</v>
      </c>
      <c r="BD98" s="39">
        <v>0</v>
      </c>
      <c r="BE98" s="39">
        <v>0</v>
      </c>
      <c r="BF98" s="39">
        <f t="shared" si="168"/>
        <v>0</v>
      </c>
      <c r="BG98" s="39">
        <v>0</v>
      </c>
      <c r="BH98" s="39">
        <v>0</v>
      </c>
      <c r="BI98" s="39">
        <v>0</v>
      </c>
      <c r="BJ98" s="39">
        <v>0</v>
      </c>
      <c r="BK98" s="39">
        <f t="shared" si="114"/>
        <v>0</v>
      </c>
      <c r="BL98" s="39">
        <v>0</v>
      </c>
      <c r="BM98" s="39">
        <v>0</v>
      </c>
      <c r="BN98" s="39">
        <f t="shared" si="169"/>
        <v>0</v>
      </c>
      <c r="BO98" s="39">
        <v>0</v>
      </c>
      <c r="BP98" s="39">
        <v>0</v>
      </c>
      <c r="BQ98" s="39">
        <v>0</v>
      </c>
      <c r="BR98" s="39">
        <v>0</v>
      </c>
      <c r="BS98" s="39">
        <v>0</v>
      </c>
      <c r="BT98" s="39">
        <v>0</v>
      </c>
      <c r="BU98" s="39">
        <v>0</v>
      </c>
      <c r="BV98" s="39">
        <v>0</v>
      </c>
      <c r="BW98" s="39">
        <v>0</v>
      </c>
      <c r="BX98" s="39">
        <v>0</v>
      </c>
      <c r="BY98" s="39">
        <v>0</v>
      </c>
      <c r="BZ98" s="39">
        <f t="shared" si="170"/>
        <v>0</v>
      </c>
      <c r="CA98" s="39">
        <f t="shared" si="171"/>
        <v>0</v>
      </c>
      <c r="CB98" s="39">
        <f t="shared" si="115"/>
        <v>0</v>
      </c>
      <c r="CC98" s="39">
        <v>0</v>
      </c>
      <c r="CD98" s="39">
        <v>0</v>
      </c>
      <c r="CE98" s="19">
        <f t="shared" si="172"/>
        <v>0</v>
      </c>
      <c r="CF98" s="39">
        <v>0</v>
      </c>
      <c r="CG98" s="39">
        <v>0</v>
      </c>
      <c r="CH98" s="39">
        <v>0</v>
      </c>
      <c r="CI98" s="39">
        <v>0</v>
      </c>
      <c r="CJ98" s="39">
        <v>0</v>
      </c>
      <c r="CK98" s="39">
        <f t="shared" si="173"/>
        <v>0</v>
      </c>
      <c r="CL98" s="39">
        <v>0</v>
      </c>
      <c r="CM98" s="39">
        <v>0</v>
      </c>
      <c r="CN98" s="39">
        <v>0</v>
      </c>
      <c r="CO98" s="39"/>
      <c r="CP98" s="39"/>
      <c r="CQ98" s="39"/>
      <c r="CR98" s="39"/>
      <c r="CS98" s="39">
        <v>0</v>
      </c>
      <c r="CT98" s="39"/>
      <c r="CU98" s="39"/>
      <c r="CV98" s="39"/>
      <c r="CW98" s="39">
        <f t="shared" si="116"/>
        <v>0</v>
      </c>
      <c r="CX98" s="39">
        <f t="shared" si="117"/>
        <v>0</v>
      </c>
      <c r="CY98" s="39">
        <v>0</v>
      </c>
      <c r="CZ98" s="41">
        <v>0</v>
      </c>
    </row>
    <row r="99" spans="1:105" s="57" customFormat="1" ht="31.5" x14ac:dyDescent="0.25">
      <c r="A99" s="81" t="s">
        <v>190</v>
      </c>
      <c r="B99" s="25" t="s">
        <v>1</v>
      </c>
      <c r="C99" s="26" t="s">
        <v>191</v>
      </c>
      <c r="D99" s="27">
        <f>SUM(D100)</f>
        <v>225972499</v>
      </c>
      <c r="E99" s="27">
        <f t="shared" ref="E99:BT100" si="198">SUM(E100)</f>
        <v>225972499</v>
      </c>
      <c r="F99" s="27">
        <f t="shared" si="198"/>
        <v>0</v>
      </c>
      <c r="G99" s="27">
        <f t="shared" si="198"/>
        <v>0</v>
      </c>
      <c r="H99" s="27">
        <f t="shared" si="198"/>
        <v>0</v>
      </c>
      <c r="I99" s="27">
        <f t="shared" si="198"/>
        <v>0</v>
      </c>
      <c r="J99" s="27">
        <f t="shared" si="198"/>
        <v>0</v>
      </c>
      <c r="K99" s="27">
        <f t="shared" si="198"/>
        <v>0</v>
      </c>
      <c r="L99" s="27">
        <f t="shared" si="198"/>
        <v>0</v>
      </c>
      <c r="M99" s="27">
        <f t="shared" si="198"/>
        <v>0</v>
      </c>
      <c r="N99" s="27">
        <f t="shared" si="198"/>
        <v>0</v>
      </c>
      <c r="O99" s="27">
        <f t="shared" si="198"/>
        <v>0</v>
      </c>
      <c r="P99" s="27">
        <f t="shared" si="198"/>
        <v>0</v>
      </c>
      <c r="Q99" s="27">
        <f t="shared" si="198"/>
        <v>0</v>
      </c>
      <c r="R99" s="27">
        <f t="shared" si="198"/>
        <v>0</v>
      </c>
      <c r="S99" s="27">
        <f t="shared" si="198"/>
        <v>0</v>
      </c>
      <c r="T99" s="27">
        <f t="shared" si="198"/>
        <v>0</v>
      </c>
      <c r="U99" s="27">
        <f t="shared" si="198"/>
        <v>0</v>
      </c>
      <c r="V99" s="27">
        <f t="shared" si="198"/>
        <v>0</v>
      </c>
      <c r="W99" s="27">
        <f t="shared" si="198"/>
        <v>0</v>
      </c>
      <c r="X99" s="27">
        <f t="shared" si="198"/>
        <v>0</v>
      </c>
      <c r="Y99" s="27">
        <f t="shared" si="198"/>
        <v>0</v>
      </c>
      <c r="Z99" s="27">
        <f t="shared" si="198"/>
        <v>0</v>
      </c>
      <c r="AA99" s="27">
        <f t="shared" si="198"/>
        <v>0</v>
      </c>
      <c r="AB99" s="27">
        <f t="shared" si="198"/>
        <v>0</v>
      </c>
      <c r="AC99" s="27">
        <f t="shared" si="198"/>
        <v>0</v>
      </c>
      <c r="AD99" s="27">
        <f t="shared" si="198"/>
        <v>0</v>
      </c>
      <c r="AE99" s="27">
        <f t="shared" si="198"/>
        <v>0</v>
      </c>
      <c r="AF99" s="27">
        <f t="shared" si="198"/>
        <v>0</v>
      </c>
      <c r="AG99" s="27">
        <f t="shared" si="198"/>
        <v>0</v>
      </c>
      <c r="AH99" s="27">
        <f t="shared" si="198"/>
        <v>0</v>
      </c>
      <c r="AI99" s="27">
        <f t="shared" si="198"/>
        <v>0</v>
      </c>
      <c r="AJ99" s="27">
        <f t="shared" si="198"/>
        <v>0</v>
      </c>
      <c r="AK99" s="27">
        <f t="shared" si="198"/>
        <v>0</v>
      </c>
      <c r="AL99" s="27">
        <f t="shared" si="198"/>
        <v>0</v>
      </c>
      <c r="AM99" s="27">
        <f t="shared" si="198"/>
        <v>0</v>
      </c>
      <c r="AN99" s="27">
        <f t="shared" si="198"/>
        <v>0</v>
      </c>
      <c r="AO99" s="27">
        <f t="shared" si="198"/>
        <v>0</v>
      </c>
      <c r="AP99" s="27"/>
      <c r="AQ99" s="27">
        <f t="shared" si="198"/>
        <v>0</v>
      </c>
      <c r="AR99" s="27">
        <f t="shared" si="198"/>
        <v>0</v>
      </c>
      <c r="AS99" s="27">
        <f t="shared" si="198"/>
        <v>0</v>
      </c>
      <c r="AT99" s="27"/>
      <c r="AU99" s="27"/>
      <c r="AV99" s="27">
        <f t="shared" si="198"/>
        <v>0</v>
      </c>
      <c r="AW99" s="27">
        <f t="shared" si="198"/>
        <v>0</v>
      </c>
      <c r="AX99" s="27">
        <f t="shared" si="198"/>
        <v>0</v>
      </c>
      <c r="AY99" s="27"/>
      <c r="AZ99" s="27">
        <f t="shared" si="198"/>
        <v>0</v>
      </c>
      <c r="BA99" s="27">
        <f t="shared" si="198"/>
        <v>225972499</v>
      </c>
      <c r="BB99" s="27">
        <f t="shared" si="198"/>
        <v>225972499</v>
      </c>
      <c r="BC99" s="27">
        <f t="shared" si="198"/>
        <v>225972499</v>
      </c>
      <c r="BD99" s="27">
        <f t="shared" si="198"/>
        <v>0</v>
      </c>
      <c r="BE99" s="27">
        <f t="shared" si="198"/>
        <v>0</v>
      </c>
      <c r="BF99" s="27">
        <f t="shared" si="198"/>
        <v>0</v>
      </c>
      <c r="BG99" s="27">
        <f t="shared" si="198"/>
        <v>0</v>
      </c>
      <c r="BH99" s="27">
        <f t="shared" si="198"/>
        <v>0</v>
      </c>
      <c r="BI99" s="27">
        <f t="shared" si="198"/>
        <v>0</v>
      </c>
      <c r="BJ99" s="27">
        <f t="shared" si="198"/>
        <v>0</v>
      </c>
      <c r="BK99" s="27">
        <f t="shared" si="198"/>
        <v>0</v>
      </c>
      <c r="BL99" s="27">
        <f t="shared" si="198"/>
        <v>0</v>
      </c>
      <c r="BM99" s="27">
        <f t="shared" si="198"/>
        <v>0</v>
      </c>
      <c r="BN99" s="27">
        <f t="shared" si="198"/>
        <v>0</v>
      </c>
      <c r="BO99" s="27">
        <f t="shared" si="198"/>
        <v>0</v>
      </c>
      <c r="BP99" s="27">
        <f t="shared" si="198"/>
        <v>0</v>
      </c>
      <c r="BQ99" s="27">
        <f t="shared" si="198"/>
        <v>0</v>
      </c>
      <c r="BR99" s="27">
        <f t="shared" si="198"/>
        <v>0</v>
      </c>
      <c r="BS99" s="27">
        <f t="shared" si="198"/>
        <v>0</v>
      </c>
      <c r="BT99" s="27">
        <f t="shared" si="198"/>
        <v>0</v>
      </c>
      <c r="BU99" s="27">
        <f t="shared" ref="BU99:CZ100" si="199">SUM(BU100)</f>
        <v>0</v>
      </c>
      <c r="BV99" s="27">
        <f t="shared" si="199"/>
        <v>0</v>
      </c>
      <c r="BW99" s="27">
        <f t="shared" si="199"/>
        <v>0</v>
      </c>
      <c r="BX99" s="27">
        <f t="shared" si="199"/>
        <v>0</v>
      </c>
      <c r="BY99" s="27">
        <f t="shared" si="199"/>
        <v>0</v>
      </c>
      <c r="BZ99" s="27">
        <f t="shared" si="199"/>
        <v>0</v>
      </c>
      <c r="CA99" s="27">
        <f t="shared" si="199"/>
        <v>0</v>
      </c>
      <c r="CB99" s="27">
        <f t="shared" si="199"/>
        <v>0</v>
      </c>
      <c r="CC99" s="27">
        <f t="shared" si="199"/>
        <v>0</v>
      </c>
      <c r="CD99" s="27">
        <f t="shared" si="199"/>
        <v>0</v>
      </c>
      <c r="CE99" s="27">
        <f t="shared" si="199"/>
        <v>0</v>
      </c>
      <c r="CF99" s="27">
        <f t="shared" si="199"/>
        <v>0</v>
      </c>
      <c r="CG99" s="27">
        <f t="shared" si="199"/>
        <v>0</v>
      </c>
      <c r="CH99" s="27">
        <f t="shared" si="199"/>
        <v>0</v>
      </c>
      <c r="CI99" s="27">
        <f t="shared" si="199"/>
        <v>0</v>
      </c>
      <c r="CJ99" s="27">
        <f t="shared" si="199"/>
        <v>0</v>
      </c>
      <c r="CK99" s="27">
        <f t="shared" si="199"/>
        <v>0</v>
      </c>
      <c r="CL99" s="27">
        <f t="shared" si="199"/>
        <v>0</v>
      </c>
      <c r="CM99" s="27">
        <f t="shared" si="199"/>
        <v>0</v>
      </c>
      <c r="CN99" s="27">
        <f t="shared" si="199"/>
        <v>0</v>
      </c>
      <c r="CO99" s="27"/>
      <c r="CP99" s="27"/>
      <c r="CQ99" s="27"/>
      <c r="CR99" s="27"/>
      <c r="CS99" s="27">
        <f t="shared" si="199"/>
        <v>0</v>
      </c>
      <c r="CT99" s="27"/>
      <c r="CU99" s="27"/>
      <c r="CV99" s="27"/>
      <c r="CW99" s="27">
        <f t="shared" si="199"/>
        <v>0</v>
      </c>
      <c r="CX99" s="27">
        <f t="shared" si="199"/>
        <v>0</v>
      </c>
      <c r="CY99" s="27">
        <f t="shared" si="199"/>
        <v>0</v>
      </c>
      <c r="CZ99" s="60">
        <f t="shared" si="199"/>
        <v>0</v>
      </c>
    </row>
    <row r="100" spans="1:105" s="57" customFormat="1" ht="31.5" x14ac:dyDescent="0.25">
      <c r="A100" s="79" t="s">
        <v>192</v>
      </c>
      <c r="B100" s="16" t="s">
        <v>1</v>
      </c>
      <c r="C100" s="17" t="s">
        <v>552</v>
      </c>
      <c r="D100" s="18">
        <f>SUM(D101)</f>
        <v>225972499</v>
      </c>
      <c r="E100" s="18">
        <f t="shared" si="198"/>
        <v>225972499</v>
      </c>
      <c r="F100" s="18">
        <f t="shared" si="198"/>
        <v>0</v>
      </c>
      <c r="G100" s="18">
        <f t="shared" si="198"/>
        <v>0</v>
      </c>
      <c r="H100" s="18">
        <f t="shared" si="198"/>
        <v>0</v>
      </c>
      <c r="I100" s="18">
        <f t="shared" si="198"/>
        <v>0</v>
      </c>
      <c r="J100" s="18">
        <f t="shared" si="198"/>
        <v>0</v>
      </c>
      <c r="K100" s="18">
        <f t="shared" si="198"/>
        <v>0</v>
      </c>
      <c r="L100" s="18">
        <f t="shared" si="198"/>
        <v>0</v>
      </c>
      <c r="M100" s="18">
        <f t="shared" si="198"/>
        <v>0</v>
      </c>
      <c r="N100" s="18">
        <f t="shared" si="198"/>
        <v>0</v>
      </c>
      <c r="O100" s="18">
        <f t="shared" si="198"/>
        <v>0</v>
      </c>
      <c r="P100" s="18">
        <f t="shared" si="198"/>
        <v>0</v>
      </c>
      <c r="Q100" s="18">
        <f t="shared" si="198"/>
        <v>0</v>
      </c>
      <c r="R100" s="18">
        <f t="shared" si="198"/>
        <v>0</v>
      </c>
      <c r="S100" s="18">
        <f t="shared" si="198"/>
        <v>0</v>
      </c>
      <c r="T100" s="18">
        <f t="shared" si="198"/>
        <v>0</v>
      </c>
      <c r="U100" s="18">
        <f t="shared" si="198"/>
        <v>0</v>
      </c>
      <c r="V100" s="18">
        <f t="shared" si="198"/>
        <v>0</v>
      </c>
      <c r="W100" s="18">
        <f t="shared" si="198"/>
        <v>0</v>
      </c>
      <c r="X100" s="18">
        <f t="shared" si="198"/>
        <v>0</v>
      </c>
      <c r="Y100" s="18">
        <f t="shared" si="198"/>
        <v>0</v>
      </c>
      <c r="Z100" s="18">
        <f t="shared" si="198"/>
        <v>0</v>
      </c>
      <c r="AA100" s="18">
        <f t="shared" si="198"/>
        <v>0</v>
      </c>
      <c r="AB100" s="18">
        <f t="shared" si="198"/>
        <v>0</v>
      </c>
      <c r="AC100" s="18">
        <f t="shared" si="198"/>
        <v>0</v>
      </c>
      <c r="AD100" s="18">
        <f t="shared" si="198"/>
        <v>0</v>
      </c>
      <c r="AE100" s="18">
        <f t="shared" si="198"/>
        <v>0</v>
      </c>
      <c r="AF100" s="18">
        <f t="shared" si="198"/>
        <v>0</v>
      </c>
      <c r="AG100" s="18">
        <f t="shared" si="198"/>
        <v>0</v>
      </c>
      <c r="AH100" s="18">
        <f t="shared" si="198"/>
        <v>0</v>
      </c>
      <c r="AI100" s="18">
        <f t="shared" si="198"/>
        <v>0</v>
      </c>
      <c r="AJ100" s="18">
        <f t="shared" si="198"/>
        <v>0</v>
      </c>
      <c r="AK100" s="18">
        <f t="shared" si="198"/>
        <v>0</v>
      </c>
      <c r="AL100" s="18">
        <f t="shared" si="198"/>
        <v>0</v>
      </c>
      <c r="AM100" s="18">
        <f t="shared" si="198"/>
        <v>0</v>
      </c>
      <c r="AN100" s="18">
        <f t="shared" si="198"/>
        <v>0</v>
      </c>
      <c r="AO100" s="18">
        <f t="shared" si="198"/>
        <v>0</v>
      </c>
      <c r="AP100" s="18"/>
      <c r="AQ100" s="18">
        <f t="shared" si="198"/>
        <v>0</v>
      </c>
      <c r="AR100" s="18">
        <f t="shared" si="198"/>
        <v>0</v>
      </c>
      <c r="AS100" s="18">
        <f t="shared" si="198"/>
        <v>0</v>
      </c>
      <c r="AT100" s="18"/>
      <c r="AU100" s="18"/>
      <c r="AV100" s="18">
        <f t="shared" si="198"/>
        <v>0</v>
      </c>
      <c r="AW100" s="18">
        <f t="shared" si="198"/>
        <v>0</v>
      </c>
      <c r="AX100" s="18">
        <f t="shared" si="198"/>
        <v>0</v>
      </c>
      <c r="AY100" s="18"/>
      <c r="AZ100" s="18">
        <f t="shared" si="198"/>
        <v>0</v>
      </c>
      <c r="BA100" s="18">
        <f t="shared" si="198"/>
        <v>225972499</v>
      </c>
      <c r="BB100" s="18">
        <f t="shared" si="198"/>
        <v>225972499</v>
      </c>
      <c r="BC100" s="18">
        <f t="shared" si="198"/>
        <v>225972499</v>
      </c>
      <c r="BD100" s="18">
        <f t="shared" si="198"/>
        <v>0</v>
      </c>
      <c r="BE100" s="18">
        <f t="shared" si="198"/>
        <v>0</v>
      </c>
      <c r="BF100" s="18">
        <f t="shared" si="198"/>
        <v>0</v>
      </c>
      <c r="BG100" s="18">
        <f t="shared" si="198"/>
        <v>0</v>
      </c>
      <c r="BH100" s="18">
        <f t="shared" si="198"/>
        <v>0</v>
      </c>
      <c r="BI100" s="18">
        <f t="shared" si="198"/>
        <v>0</v>
      </c>
      <c r="BJ100" s="18">
        <f t="shared" si="198"/>
        <v>0</v>
      </c>
      <c r="BK100" s="18">
        <f t="shared" si="198"/>
        <v>0</v>
      </c>
      <c r="BL100" s="18">
        <f t="shared" si="198"/>
        <v>0</v>
      </c>
      <c r="BM100" s="18">
        <f t="shared" si="198"/>
        <v>0</v>
      </c>
      <c r="BN100" s="18">
        <f t="shared" si="198"/>
        <v>0</v>
      </c>
      <c r="BO100" s="18">
        <f t="shared" si="198"/>
        <v>0</v>
      </c>
      <c r="BP100" s="18">
        <f t="shared" si="198"/>
        <v>0</v>
      </c>
      <c r="BQ100" s="18">
        <f t="shared" si="198"/>
        <v>0</v>
      </c>
      <c r="BR100" s="18">
        <f t="shared" si="198"/>
        <v>0</v>
      </c>
      <c r="BS100" s="18">
        <f t="shared" si="198"/>
        <v>0</v>
      </c>
      <c r="BT100" s="18">
        <f t="shared" si="198"/>
        <v>0</v>
      </c>
      <c r="BU100" s="18">
        <f t="shared" si="199"/>
        <v>0</v>
      </c>
      <c r="BV100" s="18">
        <f t="shared" si="199"/>
        <v>0</v>
      </c>
      <c r="BW100" s="18">
        <f t="shared" si="199"/>
        <v>0</v>
      </c>
      <c r="BX100" s="18">
        <f t="shared" si="199"/>
        <v>0</v>
      </c>
      <c r="BY100" s="18">
        <f t="shared" si="199"/>
        <v>0</v>
      </c>
      <c r="BZ100" s="18">
        <f t="shared" si="199"/>
        <v>0</v>
      </c>
      <c r="CA100" s="18">
        <f t="shared" si="199"/>
        <v>0</v>
      </c>
      <c r="CB100" s="18">
        <f t="shared" si="199"/>
        <v>0</v>
      </c>
      <c r="CC100" s="18">
        <f t="shared" si="199"/>
        <v>0</v>
      </c>
      <c r="CD100" s="18">
        <f t="shared" si="199"/>
        <v>0</v>
      </c>
      <c r="CE100" s="18">
        <f t="shared" si="199"/>
        <v>0</v>
      </c>
      <c r="CF100" s="18">
        <f t="shared" si="199"/>
        <v>0</v>
      </c>
      <c r="CG100" s="18">
        <f t="shared" si="199"/>
        <v>0</v>
      </c>
      <c r="CH100" s="18">
        <f t="shared" si="199"/>
        <v>0</v>
      </c>
      <c r="CI100" s="18">
        <f t="shared" si="199"/>
        <v>0</v>
      </c>
      <c r="CJ100" s="18">
        <f t="shared" si="199"/>
        <v>0</v>
      </c>
      <c r="CK100" s="18">
        <f t="shared" si="199"/>
        <v>0</v>
      </c>
      <c r="CL100" s="18">
        <f t="shared" si="199"/>
        <v>0</v>
      </c>
      <c r="CM100" s="18">
        <f t="shared" si="199"/>
        <v>0</v>
      </c>
      <c r="CN100" s="18">
        <f t="shared" si="199"/>
        <v>0</v>
      </c>
      <c r="CO100" s="18"/>
      <c r="CP100" s="18"/>
      <c r="CQ100" s="18"/>
      <c r="CR100" s="18"/>
      <c r="CS100" s="18">
        <f t="shared" si="199"/>
        <v>0</v>
      </c>
      <c r="CT100" s="18"/>
      <c r="CU100" s="18"/>
      <c r="CV100" s="18"/>
      <c r="CW100" s="18">
        <f t="shared" si="199"/>
        <v>0</v>
      </c>
      <c r="CX100" s="18">
        <f t="shared" si="199"/>
        <v>0</v>
      </c>
      <c r="CY100" s="18">
        <f t="shared" si="199"/>
        <v>0</v>
      </c>
      <c r="CZ100" s="46">
        <f t="shared" si="199"/>
        <v>0</v>
      </c>
    </row>
    <row r="101" spans="1:105" s="52" customFormat="1" ht="15.75" x14ac:dyDescent="0.25">
      <c r="A101" s="80" t="s">
        <v>1</v>
      </c>
      <c r="B101" s="21" t="s">
        <v>80</v>
      </c>
      <c r="C101" s="22" t="s">
        <v>193</v>
      </c>
      <c r="D101" s="18">
        <f>SUM(E101+BZ101+CW101)</f>
        <v>225972499</v>
      </c>
      <c r="E101" s="19">
        <f>SUM(F101+BA101)</f>
        <v>225972499</v>
      </c>
      <c r="F101" s="19">
        <f>SUM(G101+H101+I101+P101+S101+T101+U101+AD101)</f>
        <v>0</v>
      </c>
      <c r="G101" s="19">
        <v>0</v>
      </c>
      <c r="H101" s="19">
        <v>0</v>
      </c>
      <c r="I101" s="19">
        <f t="shared" si="112"/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f t="shared" si="113"/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f>SUM(V101:AC101)</f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f>SUM(AE101:AZ101)</f>
        <v>0</v>
      </c>
      <c r="AE101" s="19"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0</v>
      </c>
      <c r="AL101" s="19">
        <v>0</v>
      </c>
      <c r="AM101" s="19">
        <v>0</v>
      </c>
      <c r="AN101" s="19">
        <v>0</v>
      </c>
      <c r="AO101" s="19">
        <v>0</v>
      </c>
      <c r="AP101" s="19"/>
      <c r="AQ101" s="19">
        <v>0</v>
      </c>
      <c r="AR101" s="19">
        <v>0</v>
      </c>
      <c r="AS101" s="19">
        <v>0</v>
      </c>
      <c r="AT101" s="19"/>
      <c r="AU101" s="19"/>
      <c r="AV101" s="19">
        <v>0</v>
      </c>
      <c r="AW101" s="19">
        <v>0</v>
      </c>
      <c r="AX101" s="19">
        <v>0</v>
      </c>
      <c r="AY101" s="19"/>
      <c r="AZ101" s="19">
        <v>0</v>
      </c>
      <c r="BA101" s="19">
        <f>SUM(BB101+BF101+BI101+BK101+BN101)</f>
        <v>225972499</v>
      </c>
      <c r="BB101" s="19">
        <f>SUM(BC101:BE101)</f>
        <v>225972499</v>
      </c>
      <c r="BC101" s="19">
        <f>222891347-1126383+4207535</f>
        <v>225972499</v>
      </c>
      <c r="BD101" s="19">
        <v>0</v>
      </c>
      <c r="BE101" s="19">
        <v>0</v>
      </c>
      <c r="BF101" s="19">
        <f>SUM(BH101:BH101)</f>
        <v>0</v>
      </c>
      <c r="BG101" s="19">
        <v>0</v>
      </c>
      <c r="BH101" s="19">
        <v>0</v>
      </c>
      <c r="BI101" s="19">
        <v>0</v>
      </c>
      <c r="BJ101" s="19">
        <v>0</v>
      </c>
      <c r="BK101" s="19">
        <f t="shared" si="114"/>
        <v>0</v>
      </c>
      <c r="BL101" s="19">
        <v>0</v>
      </c>
      <c r="BM101" s="19">
        <v>0</v>
      </c>
      <c r="BN101" s="19">
        <f>SUM(BO101:BY101)</f>
        <v>0</v>
      </c>
      <c r="BO101" s="19">
        <v>0</v>
      </c>
      <c r="BP101" s="19">
        <v>0</v>
      </c>
      <c r="BQ101" s="19">
        <v>0</v>
      </c>
      <c r="BR101" s="19">
        <v>0</v>
      </c>
      <c r="BS101" s="19">
        <v>0</v>
      </c>
      <c r="BT101" s="19">
        <v>0</v>
      </c>
      <c r="BU101" s="19">
        <v>0</v>
      </c>
      <c r="BV101" s="19">
        <v>0</v>
      </c>
      <c r="BW101" s="19">
        <v>0</v>
      </c>
      <c r="BX101" s="19">
        <v>0</v>
      </c>
      <c r="BY101" s="19">
        <v>0</v>
      </c>
      <c r="BZ101" s="19">
        <f>SUM(CA101+CS101)</f>
        <v>0</v>
      </c>
      <c r="CA101" s="19">
        <f>SUM(CB101+CE101+CK101)</f>
        <v>0</v>
      </c>
      <c r="CB101" s="19">
        <f t="shared" si="115"/>
        <v>0</v>
      </c>
      <c r="CC101" s="19">
        <v>0</v>
      </c>
      <c r="CD101" s="19">
        <v>0</v>
      </c>
      <c r="CE101" s="19">
        <f>SUM(CF101:CJ101)</f>
        <v>0</v>
      </c>
      <c r="CF101" s="19">
        <v>0</v>
      </c>
      <c r="CG101" s="19">
        <v>0</v>
      </c>
      <c r="CH101" s="19">
        <v>0</v>
      </c>
      <c r="CI101" s="19">
        <v>0</v>
      </c>
      <c r="CJ101" s="19">
        <v>0</v>
      </c>
      <c r="CK101" s="19">
        <f>SUM(CL101:CP101)</f>
        <v>0</v>
      </c>
      <c r="CL101" s="19">
        <v>0</v>
      </c>
      <c r="CM101" s="19">
        <v>0</v>
      </c>
      <c r="CN101" s="19">
        <v>0</v>
      </c>
      <c r="CO101" s="19"/>
      <c r="CP101" s="19"/>
      <c r="CQ101" s="19"/>
      <c r="CR101" s="19"/>
      <c r="CS101" s="19">
        <v>0</v>
      </c>
      <c r="CT101" s="19"/>
      <c r="CU101" s="19"/>
      <c r="CV101" s="19"/>
      <c r="CW101" s="19">
        <f t="shared" si="116"/>
        <v>0</v>
      </c>
      <c r="CX101" s="19">
        <f t="shared" si="117"/>
        <v>0</v>
      </c>
      <c r="CY101" s="19">
        <v>0</v>
      </c>
      <c r="CZ101" s="20">
        <v>0</v>
      </c>
    </row>
    <row r="102" spans="1:105" s="58" customFormat="1" ht="15.75" x14ac:dyDescent="0.25">
      <c r="A102" s="81" t="s">
        <v>194</v>
      </c>
      <c r="B102" s="25" t="s">
        <v>1</v>
      </c>
      <c r="C102" s="26" t="s">
        <v>195</v>
      </c>
      <c r="D102" s="27">
        <f t="shared" ref="D102:AJ102" si="200">SUM(D103)</f>
        <v>5343075</v>
      </c>
      <c r="E102" s="27">
        <f t="shared" si="200"/>
        <v>5343075</v>
      </c>
      <c r="F102" s="27">
        <f t="shared" si="200"/>
        <v>5343075</v>
      </c>
      <c r="G102" s="27">
        <f t="shared" si="200"/>
        <v>4333184</v>
      </c>
      <c r="H102" s="27">
        <f t="shared" si="200"/>
        <v>1009891</v>
      </c>
      <c r="I102" s="27">
        <f t="shared" si="200"/>
        <v>0</v>
      </c>
      <c r="J102" s="27">
        <f t="shared" si="200"/>
        <v>0</v>
      </c>
      <c r="K102" s="27">
        <f t="shared" si="200"/>
        <v>0</v>
      </c>
      <c r="L102" s="27">
        <f t="shared" si="200"/>
        <v>0</v>
      </c>
      <c r="M102" s="27">
        <f t="shared" si="200"/>
        <v>0</v>
      </c>
      <c r="N102" s="27">
        <f t="shared" si="200"/>
        <v>0</v>
      </c>
      <c r="O102" s="27">
        <f t="shared" si="200"/>
        <v>0</v>
      </c>
      <c r="P102" s="27">
        <f t="shared" si="200"/>
        <v>0</v>
      </c>
      <c r="Q102" s="27">
        <f t="shared" si="200"/>
        <v>0</v>
      </c>
      <c r="R102" s="27">
        <f t="shared" si="200"/>
        <v>0</v>
      </c>
      <c r="S102" s="27">
        <f t="shared" si="200"/>
        <v>0</v>
      </c>
      <c r="T102" s="27">
        <f t="shared" si="200"/>
        <v>0</v>
      </c>
      <c r="U102" s="27">
        <f t="shared" si="200"/>
        <v>0</v>
      </c>
      <c r="V102" s="27">
        <f t="shared" si="200"/>
        <v>0</v>
      </c>
      <c r="W102" s="27">
        <f t="shared" si="200"/>
        <v>0</v>
      </c>
      <c r="X102" s="27">
        <f t="shared" si="200"/>
        <v>0</v>
      </c>
      <c r="Y102" s="27">
        <f t="shared" si="200"/>
        <v>0</v>
      </c>
      <c r="Z102" s="27">
        <f t="shared" si="200"/>
        <v>0</v>
      </c>
      <c r="AA102" s="27">
        <f t="shared" si="200"/>
        <v>0</v>
      </c>
      <c r="AB102" s="27">
        <f t="shared" si="200"/>
        <v>0</v>
      </c>
      <c r="AC102" s="27">
        <f t="shared" si="200"/>
        <v>0</v>
      </c>
      <c r="AD102" s="27">
        <f t="shared" si="200"/>
        <v>0</v>
      </c>
      <c r="AE102" s="27">
        <f t="shared" si="200"/>
        <v>0</v>
      </c>
      <c r="AF102" s="27">
        <f t="shared" si="200"/>
        <v>0</v>
      </c>
      <c r="AG102" s="27">
        <f t="shared" si="200"/>
        <v>0</v>
      </c>
      <c r="AH102" s="27">
        <f t="shared" si="200"/>
        <v>0</v>
      </c>
      <c r="AI102" s="27">
        <f t="shared" si="200"/>
        <v>0</v>
      </c>
      <c r="AJ102" s="27">
        <f t="shared" si="200"/>
        <v>0</v>
      </c>
      <c r="AK102" s="27">
        <f t="shared" ref="AK102:CZ102" si="201">SUM(AK103)</f>
        <v>0</v>
      </c>
      <c r="AL102" s="27">
        <f t="shared" si="201"/>
        <v>0</v>
      </c>
      <c r="AM102" s="27">
        <f t="shared" si="201"/>
        <v>0</v>
      </c>
      <c r="AN102" s="27">
        <f t="shared" si="201"/>
        <v>0</v>
      </c>
      <c r="AO102" s="27">
        <f t="shared" si="201"/>
        <v>0</v>
      </c>
      <c r="AP102" s="27"/>
      <c r="AQ102" s="27">
        <f t="shared" si="201"/>
        <v>0</v>
      </c>
      <c r="AR102" s="27">
        <f t="shared" si="201"/>
        <v>0</v>
      </c>
      <c r="AS102" s="27">
        <f t="shared" si="201"/>
        <v>0</v>
      </c>
      <c r="AT102" s="27"/>
      <c r="AU102" s="27"/>
      <c r="AV102" s="27">
        <f t="shared" si="201"/>
        <v>0</v>
      </c>
      <c r="AW102" s="27">
        <f t="shared" si="201"/>
        <v>0</v>
      </c>
      <c r="AX102" s="27">
        <f t="shared" si="201"/>
        <v>0</v>
      </c>
      <c r="AY102" s="27"/>
      <c r="AZ102" s="27">
        <f t="shared" si="201"/>
        <v>0</v>
      </c>
      <c r="BA102" s="27">
        <f t="shared" si="201"/>
        <v>0</v>
      </c>
      <c r="BB102" s="27">
        <f t="shared" si="201"/>
        <v>0</v>
      </c>
      <c r="BC102" s="27">
        <f t="shared" si="201"/>
        <v>0</v>
      </c>
      <c r="BD102" s="27">
        <f t="shared" si="201"/>
        <v>0</v>
      </c>
      <c r="BE102" s="27">
        <f t="shared" si="201"/>
        <v>0</v>
      </c>
      <c r="BF102" s="27">
        <f t="shared" si="201"/>
        <v>0</v>
      </c>
      <c r="BG102" s="27">
        <f t="shared" si="201"/>
        <v>0</v>
      </c>
      <c r="BH102" s="27">
        <f t="shared" si="201"/>
        <v>0</v>
      </c>
      <c r="BI102" s="27">
        <f t="shared" si="201"/>
        <v>0</v>
      </c>
      <c r="BJ102" s="27">
        <f t="shared" si="201"/>
        <v>0</v>
      </c>
      <c r="BK102" s="27">
        <f t="shared" si="201"/>
        <v>0</v>
      </c>
      <c r="BL102" s="27">
        <f t="shared" si="201"/>
        <v>0</v>
      </c>
      <c r="BM102" s="27">
        <f t="shared" si="201"/>
        <v>0</v>
      </c>
      <c r="BN102" s="27">
        <f t="shared" si="201"/>
        <v>0</v>
      </c>
      <c r="BO102" s="27">
        <f t="shared" si="201"/>
        <v>0</v>
      </c>
      <c r="BP102" s="27">
        <f t="shared" si="201"/>
        <v>0</v>
      </c>
      <c r="BQ102" s="27">
        <f t="shared" si="201"/>
        <v>0</v>
      </c>
      <c r="BR102" s="27">
        <f t="shared" si="201"/>
        <v>0</v>
      </c>
      <c r="BS102" s="27">
        <f t="shared" si="201"/>
        <v>0</v>
      </c>
      <c r="BT102" s="27">
        <f t="shared" si="201"/>
        <v>0</v>
      </c>
      <c r="BU102" s="27">
        <f t="shared" si="201"/>
        <v>0</v>
      </c>
      <c r="BV102" s="27">
        <f t="shared" si="201"/>
        <v>0</v>
      </c>
      <c r="BW102" s="27">
        <f t="shared" si="201"/>
        <v>0</v>
      </c>
      <c r="BX102" s="27">
        <f t="shared" si="201"/>
        <v>0</v>
      </c>
      <c r="BY102" s="27">
        <f t="shared" si="201"/>
        <v>0</v>
      </c>
      <c r="BZ102" s="27">
        <f t="shared" si="201"/>
        <v>0</v>
      </c>
      <c r="CA102" s="27">
        <f t="shared" si="201"/>
        <v>0</v>
      </c>
      <c r="CB102" s="27">
        <f t="shared" si="201"/>
        <v>0</v>
      </c>
      <c r="CC102" s="27">
        <f t="shared" si="201"/>
        <v>0</v>
      </c>
      <c r="CD102" s="27">
        <f t="shared" si="201"/>
        <v>0</v>
      </c>
      <c r="CE102" s="27">
        <f t="shared" si="201"/>
        <v>0</v>
      </c>
      <c r="CF102" s="27">
        <f t="shared" si="201"/>
        <v>0</v>
      </c>
      <c r="CG102" s="27">
        <f t="shared" si="201"/>
        <v>0</v>
      </c>
      <c r="CH102" s="27">
        <f t="shared" si="201"/>
        <v>0</v>
      </c>
      <c r="CI102" s="27">
        <f t="shared" si="201"/>
        <v>0</v>
      </c>
      <c r="CJ102" s="27">
        <f t="shared" si="201"/>
        <v>0</v>
      </c>
      <c r="CK102" s="27">
        <f t="shared" si="201"/>
        <v>0</v>
      </c>
      <c r="CL102" s="27">
        <f t="shared" si="201"/>
        <v>0</v>
      </c>
      <c r="CM102" s="27">
        <f t="shared" si="201"/>
        <v>0</v>
      </c>
      <c r="CN102" s="27">
        <f t="shared" si="201"/>
        <v>0</v>
      </c>
      <c r="CO102" s="27"/>
      <c r="CP102" s="27"/>
      <c r="CQ102" s="27"/>
      <c r="CR102" s="27"/>
      <c r="CS102" s="27">
        <f t="shared" si="201"/>
        <v>0</v>
      </c>
      <c r="CT102" s="27"/>
      <c r="CU102" s="27"/>
      <c r="CV102" s="27"/>
      <c r="CW102" s="27">
        <f t="shared" si="201"/>
        <v>0</v>
      </c>
      <c r="CX102" s="27">
        <f t="shared" si="201"/>
        <v>0</v>
      </c>
      <c r="CY102" s="27">
        <f t="shared" si="201"/>
        <v>0</v>
      </c>
      <c r="CZ102" s="60">
        <f t="shared" si="201"/>
        <v>0</v>
      </c>
      <c r="DA102" s="57"/>
    </row>
    <row r="103" spans="1:105" ht="31.5" x14ac:dyDescent="0.25">
      <c r="A103" s="79" t="s">
        <v>196</v>
      </c>
      <c r="B103" s="16" t="s">
        <v>1</v>
      </c>
      <c r="C103" s="17" t="s">
        <v>553</v>
      </c>
      <c r="D103" s="18">
        <f t="shared" ref="D103:AS103" si="202">SUM(D104:D104)</f>
        <v>5343075</v>
      </c>
      <c r="E103" s="19">
        <f t="shared" si="202"/>
        <v>5343075</v>
      </c>
      <c r="F103" s="19">
        <f t="shared" si="202"/>
        <v>5343075</v>
      </c>
      <c r="G103" s="19">
        <f t="shared" si="202"/>
        <v>4333184</v>
      </c>
      <c r="H103" s="19">
        <f t="shared" si="202"/>
        <v>1009891</v>
      </c>
      <c r="I103" s="19">
        <f t="shared" si="202"/>
        <v>0</v>
      </c>
      <c r="J103" s="19">
        <f t="shared" si="202"/>
        <v>0</v>
      </c>
      <c r="K103" s="19">
        <f t="shared" si="202"/>
        <v>0</v>
      </c>
      <c r="L103" s="19">
        <f t="shared" si="202"/>
        <v>0</v>
      </c>
      <c r="M103" s="19">
        <f t="shared" si="202"/>
        <v>0</v>
      </c>
      <c r="N103" s="19">
        <f t="shared" si="202"/>
        <v>0</v>
      </c>
      <c r="O103" s="19">
        <f t="shared" si="202"/>
        <v>0</v>
      </c>
      <c r="P103" s="19">
        <f t="shared" si="202"/>
        <v>0</v>
      </c>
      <c r="Q103" s="19">
        <f t="shared" si="202"/>
        <v>0</v>
      </c>
      <c r="R103" s="19">
        <f t="shared" si="202"/>
        <v>0</v>
      </c>
      <c r="S103" s="19">
        <f t="shared" si="202"/>
        <v>0</v>
      </c>
      <c r="T103" s="19">
        <f t="shared" si="202"/>
        <v>0</v>
      </c>
      <c r="U103" s="19">
        <f t="shared" si="202"/>
        <v>0</v>
      </c>
      <c r="V103" s="19">
        <f t="shared" si="202"/>
        <v>0</v>
      </c>
      <c r="W103" s="19">
        <f t="shared" si="202"/>
        <v>0</v>
      </c>
      <c r="X103" s="19">
        <f t="shared" si="202"/>
        <v>0</v>
      </c>
      <c r="Y103" s="19">
        <f t="shared" si="202"/>
        <v>0</v>
      </c>
      <c r="Z103" s="19">
        <f t="shared" si="202"/>
        <v>0</v>
      </c>
      <c r="AA103" s="19">
        <f t="shared" si="202"/>
        <v>0</v>
      </c>
      <c r="AB103" s="19">
        <f t="shared" si="202"/>
        <v>0</v>
      </c>
      <c r="AC103" s="19">
        <f t="shared" si="202"/>
        <v>0</v>
      </c>
      <c r="AD103" s="19">
        <f t="shared" si="202"/>
        <v>0</v>
      </c>
      <c r="AE103" s="19">
        <f t="shared" si="202"/>
        <v>0</v>
      </c>
      <c r="AF103" s="19">
        <f t="shared" si="202"/>
        <v>0</v>
      </c>
      <c r="AG103" s="19">
        <f t="shared" si="202"/>
        <v>0</v>
      </c>
      <c r="AH103" s="19">
        <f t="shared" si="202"/>
        <v>0</v>
      </c>
      <c r="AI103" s="19">
        <f t="shared" si="202"/>
        <v>0</v>
      </c>
      <c r="AJ103" s="19">
        <f t="shared" si="202"/>
        <v>0</v>
      </c>
      <c r="AK103" s="19">
        <f t="shared" si="202"/>
        <v>0</v>
      </c>
      <c r="AL103" s="19">
        <f t="shared" si="202"/>
        <v>0</v>
      </c>
      <c r="AM103" s="19">
        <f t="shared" si="202"/>
        <v>0</v>
      </c>
      <c r="AN103" s="19">
        <f t="shared" si="202"/>
        <v>0</v>
      </c>
      <c r="AO103" s="19">
        <f t="shared" si="202"/>
        <v>0</v>
      </c>
      <c r="AP103" s="19"/>
      <c r="AQ103" s="19">
        <f t="shared" si="202"/>
        <v>0</v>
      </c>
      <c r="AR103" s="19">
        <f t="shared" si="202"/>
        <v>0</v>
      </c>
      <c r="AS103" s="19">
        <f t="shared" si="202"/>
        <v>0</v>
      </c>
      <c r="AT103" s="19"/>
      <c r="AU103" s="19"/>
      <c r="AV103" s="19">
        <f>SUM(AV104:AV104)</f>
        <v>0</v>
      </c>
      <c r="AW103" s="19">
        <f>SUM(AW104:AW104)</f>
        <v>0</v>
      </c>
      <c r="AX103" s="19">
        <f>SUM(AX104:AX104)</f>
        <v>0</v>
      </c>
      <c r="AY103" s="19"/>
      <c r="AZ103" s="19">
        <f t="shared" ref="AZ103:CN103" si="203">SUM(AZ104:AZ104)</f>
        <v>0</v>
      </c>
      <c r="BA103" s="19">
        <f t="shared" si="203"/>
        <v>0</v>
      </c>
      <c r="BB103" s="19">
        <f t="shared" si="203"/>
        <v>0</v>
      </c>
      <c r="BC103" s="19">
        <f t="shared" si="203"/>
        <v>0</v>
      </c>
      <c r="BD103" s="19">
        <f t="shared" si="203"/>
        <v>0</v>
      </c>
      <c r="BE103" s="19">
        <f t="shared" si="203"/>
        <v>0</v>
      </c>
      <c r="BF103" s="19">
        <f t="shared" si="203"/>
        <v>0</v>
      </c>
      <c r="BG103" s="19">
        <f t="shared" si="203"/>
        <v>0</v>
      </c>
      <c r="BH103" s="19">
        <f t="shared" si="203"/>
        <v>0</v>
      </c>
      <c r="BI103" s="19">
        <f t="shared" si="203"/>
        <v>0</v>
      </c>
      <c r="BJ103" s="19">
        <f t="shared" si="203"/>
        <v>0</v>
      </c>
      <c r="BK103" s="19">
        <f t="shared" si="203"/>
        <v>0</v>
      </c>
      <c r="BL103" s="19">
        <f t="shared" si="203"/>
        <v>0</v>
      </c>
      <c r="BM103" s="19">
        <f t="shared" si="203"/>
        <v>0</v>
      </c>
      <c r="BN103" s="19">
        <f t="shared" si="203"/>
        <v>0</v>
      </c>
      <c r="BO103" s="19">
        <f t="shared" si="203"/>
        <v>0</v>
      </c>
      <c r="BP103" s="19">
        <f t="shared" si="203"/>
        <v>0</v>
      </c>
      <c r="BQ103" s="19">
        <f t="shared" si="203"/>
        <v>0</v>
      </c>
      <c r="BR103" s="19">
        <f t="shared" si="203"/>
        <v>0</v>
      </c>
      <c r="BS103" s="19">
        <f t="shared" si="203"/>
        <v>0</v>
      </c>
      <c r="BT103" s="19">
        <f t="shared" si="203"/>
        <v>0</v>
      </c>
      <c r="BU103" s="19">
        <f t="shared" si="203"/>
        <v>0</v>
      </c>
      <c r="BV103" s="19">
        <f t="shared" si="203"/>
        <v>0</v>
      </c>
      <c r="BW103" s="19">
        <f t="shared" si="203"/>
        <v>0</v>
      </c>
      <c r="BX103" s="19">
        <f t="shared" si="203"/>
        <v>0</v>
      </c>
      <c r="BY103" s="19">
        <f t="shared" si="203"/>
        <v>0</v>
      </c>
      <c r="BZ103" s="19">
        <f t="shared" si="203"/>
        <v>0</v>
      </c>
      <c r="CA103" s="19">
        <f t="shared" si="203"/>
        <v>0</v>
      </c>
      <c r="CB103" s="19">
        <f t="shared" si="203"/>
        <v>0</v>
      </c>
      <c r="CC103" s="19">
        <f t="shared" si="203"/>
        <v>0</v>
      </c>
      <c r="CD103" s="19">
        <f t="shared" si="203"/>
        <v>0</v>
      </c>
      <c r="CE103" s="19">
        <f t="shared" si="203"/>
        <v>0</v>
      </c>
      <c r="CF103" s="19">
        <f t="shared" si="203"/>
        <v>0</v>
      </c>
      <c r="CG103" s="19">
        <f t="shared" si="203"/>
        <v>0</v>
      </c>
      <c r="CH103" s="19">
        <f t="shared" si="203"/>
        <v>0</v>
      </c>
      <c r="CI103" s="19">
        <f t="shared" si="203"/>
        <v>0</v>
      </c>
      <c r="CJ103" s="19">
        <f t="shared" si="203"/>
        <v>0</v>
      </c>
      <c r="CK103" s="19">
        <f t="shared" si="203"/>
        <v>0</v>
      </c>
      <c r="CL103" s="19">
        <f t="shared" si="203"/>
        <v>0</v>
      </c>
      <c r="CM103" s="19">
        <f t="shared" si="203"/>
        <v>0</v>
      </c>
      <c r="CN103" s="19">
        <f t="shared" si="203"/>
        <v>0</v>
      </c>
      <c r="CO103" s="19"/>
      <c r="CP103" s="19"/>
      <c r="CQ103" s="19"/>
      <c r="CR103" s="19"/>
      <c r="CS103" s="19">
        <f t="shared" ref="CS103:CZ103" si="204">SUM(CS104:CS104)</f>
        <v>0</v>
      </c>
      <c r="CT103" s="19"/>
      <c r="CU103" s="19"/>
      <c r="CV103" s="19"/>
      <c r="CW103" s="19">
        <f t="shared" si="204"/>
        <v>0</v>
      </c>
      <c r="CX103" s="19">
        <f t="shared" si="204"/>
        <v>0</v>
      </c>
      <c r="CY103" s="19">
        <f t="shared" si="204"/>
        <v>0</v>
      </c>
      <c r="CZ103" s="20">
        <f t="shared" si="204"/>
        <v>0</v>
      </c>
    </row>
    <row r="104" spans="1:105" ht="15.75" x14ac:dyDescent="0.25">
      <c r="A104" s="80" t="s">
        <v>1</v>
      </c>
      <c r="B104" s="21" t="s">
        <v>92</v>
      </c>
      <c r="C104" s="22" t="s">
        <v>554</v>
      </c>
      <c r="D104" s="18">
        <f>SUM(E104+BZ104+CW104)</f>
        <v>5343075</v>
      </c>
      <c r="E104" s="19">
        <f>SUM(F104+BA104)</f>
        <v>5343075</v>
      </c>
      <c r="F104" s="19">
        <f>SUM(G104+H104+I104+P104+S104+T104+U104+AD104)</f>
        <v>5343075</v>
      </c>
      <c r="G104" s="23">
        <v>4333184</v>
      </c>
      <c r="H104" s="23">
        <v>1009891</v>
      </c>
      <c r="I104" s="19">
        <f t="shared" si="112"/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f t="shared" si="113"/>
        <v>0</v>
      </c>
      <c r="Q104" s="19">
        <v>0</v>
      </c>
      <c r="R104" s="19">
        <v>0</v>
      </c>
      <c r="S104" s="19">
        <v>0</v>
      </c>
      <c r="T104" s="19"/>
      <c r="U104" s="19">
        <f t="shared" ref="U104" si="205">SUM(V104:AC104)</f>
        <v>0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0</v>
      </c>
      <c r="AB104" s="19">
        <v>0</v>
      </c>
      <c r="AC104" s="19">
        <v>0</v>
      </c>
      <c r="AD104" s="19">
        <f>SUM(AE104:AZ104)</f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/>
      <c r="AQ104" s="19">
        <v>0</v>
      </c>
      <c r="AR104" s="19">
        <v>0</v>
      </c>
      <c r="AS104" s="19">
        <v>0</v>
      </c>
      <c r="AT104" s="19"/>
      <c r="AU104" s="19"/>
      <c r="AV104" s="19">
        <v>0</v>
      </c>
      <c r="AW104" s="19">
        <v>0</v>
      </c>
      <c r="AX104" s="19">
        <v>0</v>
      </c>
      <c r="AY104" s="19"/>
      <c r="AZ104" s="19">
        <v>0</v>
      </c>
      <c r="BA104" s="19">
        <f>SUM(BB104+BF104+BI104+BK104+BN104)</f>
        <v>0</v>
      </c>
      <c r="BB104" s="19">
        <f>SUM(BC104:BE104)</f>
        <v>0</v>
      </c>
      <c r="BC104" s="19">
        <v>0</v>
      </c>
      <c r="BD104" s="19">
        <v>0</v>
      </c>
      <c r="BE104" s="19">
        <v>0</v>
      </c>
      <c r="BF104" s="19">
        <f>SUM(BH104:BH104)</f>
        <v>0</v>
      </c>
      <c r="BG104" s="19">
        <v>0</v>
      </c>
      <c r="BH104" s="19">
        <v>0</v>
      </c>
      <c r="BI104" s="19">
        <v>0</v>
      </c>
      <c r="BJ104" s="19">
        <v>0</v>
      </c>
      <c r="BK104" s="19">
        <f t="shared" si="114"/>
        <v>0</v>
      </c>
      <c r="BL104" s="19">
        <v>0</v>
      </c>
      <c r="BM104" s="19">
        <v>0</v>
      </c>
      <c r="BN104" s="19">
        <f>SUM(BO104:BY104)</f>
        <v>0</v>
      </c>
      <c r="BO104" s="19">
        <v>0</v>
      </c>
      <c r="BP104" s="19">
        <v>0</v>
      </c>
      <c r="BQ104" s="19">
        <v>0</v>
      </c>
      <c r="BR104" s="19">
        <v>0</v>
      </c>
      <c r="BS104" s="19">
        <v>0</v>
      </c>
      <c r="BT104" s="19">
        <v>0</v>
      </c>
      <c r="BU104" s="19">
        <v>0</v>
      </c>
      <c r="BV104" s="19">
        <v>0</v>
      </c>
      <c r="BW104" s="19">
        <v>0</v>
      </c>
      <c r="BX104" s="19">
        <v>0</v>
      </c>
      <c r="BY104" s="19">
        <v>0</v>
      </c>
      <c r="BZ104" s="19">
        <f>SUM(CA104+CS104)</f>
        <v>0</v>
      </c>
      <c r="CA104" s="19">
        <f>SUM(CB104+CE104+CK104)</f>
        <v>0</v>
      </c>
      <c r="CB104" s="19">
        <f t="shared" si="115"/>
        <v>0</v>
      </c>
      <c r="CC104" s="19">
        <v>0</v>
      </c>
      <c r="CD104" s="19">
        <v>0</v>
      </c>
      <c r="CE104" s="19">
        <f>SUM(CF104:CJ104)</f>
        <v>0</v>
      </c>
      <c r="CF104" s="19">
        <v>0</v>
      </c>
      <c r="CG104" s="19">
        <v>0</v>
      </c>
      <c r="CH104" s="19">
        <v>0</v>
      </c>
      <c r="CI104" s="19">
        <v>0</v>
      </c>
      <c r="CJ104" s="19">
        <v>0</v>
      </c>
      <c r="CK104" s="19">
        <f>SUM(CL104:CP104)</f>
        <v>0</v>
      </c>
      <c r="CL104" s="19">
        <v>0</v>
      </c>
      <c r="CM104" s="19">
        <v>0</v>
      </c>
      <c r="CN104" s="19">
        <v>0</v>
      </c>
      <c r="CO104" s="19"/>
      <c r="CP104" s="19"/>
      <c r="CQ104" s="19"/>
      <c r="CR104" s="19"/>
      <c r="CS104" s="19">
        <v>0</v>
      </c>
      <c r="CT104" s="19"/>
      <c r="CU104" s="19"/>
      <c r="CV104" s="19"/>
      <c r="CW104" s="19">
        <f t="shared" si="116"/>
        <v>0</v>
      </c>
      <c r="CX104" s="19">
        <f t="shared" si="117"/>
        <v>0</v>
      </c>
      <c r="CY104" s="19">
        <v>0</v>
      </c>
      <c r="CZ104" s="20">
        <v>0</v>
      </c>
    </row>
    <row r="105" spans="1:105" s="58" customFormat="1" ht="47.25" x14ac:dyDescent="0.25">
      <c r="A105" s="81" t="s">
        <v>197</v>
      </c>
      <c r="B105" s="25" t="s">
        <v>1</v>
      </c>
      <c r="C105" s="26" t="s">
        <v>198</v>
      </c>
      <c r="D105" s="27">
        <f>SUM(D106+D108+D110)</f>
        <v>20119513</v>
      </c>
      <c r="E105" s="27">
        <f t="shared" ref="E105:BQ105" si="206">SUM(E106+E108+E110)</f>
        <v>20119513</v>
      </c>
      <c r="F105" s="27">
        <f t="shared" si="206"/>
        <v>20119513</v>
      </c>
      <c r="G105" s="27">
        <f t="shared" si="206"/>
        <v>3891282</v>
      </c>
      <c r="H105" s="27">
        <f t="shared" si="206"/>
        <v>967704</v>
      </c>
      <c r="I105" s="27">
        <f t="shared" si="206"/>
        <v>31347</v>
      </c>
      <c r="J105" s="27">
        <f t="shared" si="206"/>
        <v>0</v>
      </c>
      <c r="K105" s="27">
        <f t="shared" si="206"/>
        <v>0</v>
      </c>
      <c r="L105" s="27">
        <f t="shared" si="206"/>
        <v>0</v>
      </c>
      <c r="M105" s="27">
        <f t="shared" si="206"/>
        <v>0</v>
      </c>
      <c r="N105" s="27">
        <f t="shared" si="206"/>
        <v>31347</v>
      </c>
      <c r="O105" s="27">
        <f t="shared" si="206"/>
        <v>0</v>
      </c>
      <c r="P105" s="27">
        <f t="shared" si="206"/>
        <v>0</v>
      </c>
      <c r="Q105" s="27">
        <f t="shared" si="206"/>
        <v>0</v>
      </c>
      <c r="R105" s="27">
        <f t="shared" si="206"/>
        <v>0</v>
      </c>
      <c r="S105" s="27">
        <f t="shared" si="206"/>
        <v>0</v>
      </c>
      <c r="T105" s="27">
        <f t="shared" si="206"/>
        <v>26519</v>
      </c>
      <c r="U105" s="27">
        <f t="shared" si="206"/>
        <v>31616</v>
      </c>
      <c r="V105" s="27">
        <f t="shared" si="206"/>
        <v>0</v>
      </c>
      <c r="W105" s="27">
        <f t="shared" si="206"/>
        <v>8027</v>
      </c>
      <c r="X105" s="27">
        <f t="shared" si="206"/>
        <v>23589</v>
      </c>
      <c r="Y105" s="27">
        <f t="shared" si="206"/>
        <v>0</v>
      </c>
      <c r="Z105" s="27">
        <f t="shared" si="206"/>
        <v>0</v>
      </c>
      <c r="AA105" s="27">
        <f t="shared" si="206"/>
        <v>0</v>
      </c>
      <c r="AB105" s="27">
        <f t="shared" si="206"/>
        <v>0</v>
      </c>
      <c r="AC105" s="27">
        <f t="shared" si="206"/>
        <v>0</v>
      </c>
      <c r="AD105" s="27">
        <f t="shared" si="206"/>
        <v>15171045</v>
      </c>
      <c r="AE105" s="27">
        <f t="shared" si="206"/>
        <v>0</v>
      </c>
      <c r="AF105" s="27">
        <f t="shared" si="206"/>
        <v>0</v>
      </c>
      <c r="AG105" s="27">
        <f t="shared" si="206"/>
        <v>0</v>
      </c>
      <c r="AH105" s="27">
        <f t="shared" si="206"/>
        <v>0</v>
      </c>
      <c r="AI105" s="27">
        <f t="shared" si="206"/>
        <v>0</v>
      </c>
      <c r="AJ105" s="27">
        <f t="shared" si="206"/>
        <v>0</v>
      </c>
      <c r="AK105" s="27">
        <f t="shared" si="206"/>
        <v>0</v>
      </c>
      <c r="AL105" s="27">
        <f t="shared" si="206"/>
        <v>0</v>
      </c>
      <c r="AM105" s="27">
        <f t="shared" si="206"/>
        <v>0</v>
      </c>
      <c r="AN105" s="27">
        <f t="shared" si="206"/>
        <v>0</v>
      </c>
      <c r="AO105" s="27">
        <f t="shared" si="206"/>
        <v>0</v>
      </c>
      <c r="AP105" s="27"/>
      <c r="AQ105" s="27">
        <f t="shared" si="206"/>
        <v>0</v>
      </c>
      <c r="AR105" s="27">
        <f t="shared" si="206"/>
        <v>0</v>
      </c>
      <c r="AS105" s="27">
        <f t="shared" si="206"/>
        <v>0</v>
      </c>
      <c r="AT105" s="27">
        <f t="shared" si="206"/>
        <v>0</v>
      </c>
      <c r="AU105" s="27">
        <f t="shared" si="206"/>
        <v>0</v>
      </c>
      <c r="AV105" s="27">
        <f t="shared" si="206"/>
        <v>0</v>
      </c>
      <c r="AW105" s="27">
        <f t="shared" si="206"/>
        <v>0</v>
      </c>
      <c r="AX105" s="27">
        <f t="shared" si="206"/>
        <v>0</v>
      </c>
      <c r="AY105" s="27">
        <f t="shared" si="206"/>
        <v>0</v>
      </c>
      <c r="AZ105" s="27">
        <f t="shared" si="206"/>
        <v>15171045</v>
      </c>
      <c r="BA105" s="27">
        <f t="shared" si="206"/>
        <v>0</v>
      </c>
      <c r="BB105" s="27">
        <f t="shared" si="206"/>
        <v>0</v>
      </c>
      <c r="BC105" s="27">
        <f t="shared" si="206"/>
        <v>0</v>
      </c>
      <c r="BD105" s="27">
        <f t="shared" si="206"/>
        <v>0</v>
      </c>
      <c r="BE105" s="27">
        <f t="shared" si="206"/>
        <v>0</v>
      </c>
      <c r="BF105" s="27">
        <f t="shared" si="206"/>
        <v>0</v>
      </c>
      <c r="BG105" s="27">
        <f t="shared" si="206"/>
        <v>0</v>
      </c>
      <c r="BH105" s="27">
        <f t="shared" si="206"/>
        <v>0</v>
      </c>
      <c r="BI105" s="27">
        <f t="shared" si="206"/>
        <v>0</v>
      </c>
      <c r="BJ105" s="27">
        <f t="shared" ref="BJ105" si="207">SUM(BJ106+BJ108+BJ110)</f>
        <v>0</v>
      </c>
      <c r="BK105" s="27">
        <f t="shared" si="206"/>
        <v>0</v>
      </c>
      <c r="BL105" s="27">
        <f t="shared" si="206"/>
        <v>0</v>
      </c>
      <c r="BM105" s="27">
        <f t="shared" si="206"/>
        <v>0</v>
      </c>
      <c r="BN105" s="27">
        <f t="shared" si="206"/>
        <v>0</v>
      </c>
      <c r="BO105" s="27">
        <f t="shared" si="206"/>
        <v>0</v>
      </c>
      <c r="BP105" s="27">
        <f t="shared" si="206"/>
        <v>0</v>
      </c>
      <c r="BQ105" s="27">
        <f t="shared" si="206"/>
        <v>0</v>
      </c>
      <c r="BR105" s="27">
        <f t="shared" ref="BR105:CZ105" si="208">SUM(BR106+BR108+BR110)</f>
        <v>0</v>
      </c>
      <c r="BS105" s="27">
        <f t="shared" si="208"/>
        <v>0</v>
      </c>
      <c r="BT105" s="27">
        <f t="shared" si="208"/>
        <v>0</v>
      </c>
      <c r="BU105" s="27">
        <f t="shared" si="208"/>
        <v>0</v>
      </c>
      <c r="BV105" s="27">
        <f t="shared" si="208"/>
        <v>0</v>
      </c>
      <c r="BW105" s="27">
        <f t="shared" si="208"/>
        <v>0</v>
      </c>
      <c r="BX105" s="27">
        <f t="shared" si="208"/>
        <v>0</v>
      </c>
      <c r="BY105" s="27">
        <f t="shared" si="208"/>
        <v>0</v>
      </c>
      <c r="BZ105" s="27">
        <f t="shared" si="208"/>
        <v>0</v>
      </c>
      <c r="CA105" s="27">
        <f t="shared" si="208"/>
        <v>0</v>
      </c>
      <c r="CB105" s="27">
        <f t="shared" si="208"/>
        <v>0</v>
      </c>
      <c r="CC105" s="27">
        <f t="shared" si="208"/>
        <v>0</v>
      </c>
      <c r="CD105" s="27">
        <f t="shared" si="208"/>
        <v>0</v>
      </c>
      <c r="CE105" s="27">
        <f t="shared" si="208"/>
        <v>0</v>
      </c>
      <c r="CF105" s="27">
        <f t="shared" si="208"/>
        <v>0</v>
      </c>
      <c r="CG105" s="27">
        <f t="shared" si="208"/>
        <v>0</v>
      </c>
      <c r="CH105" s="27">
        <f t="shared" si="208"/>
        <v>0</v>
      </c>
      <c r="CI105" s="27">
        <f t="shared" si="208"/>
        <v>0</v>
      </c>
      <c r="CJ105" s="27">
        <f t="shared" si="208"/>
        <v>0</v>
      </c>
      <c r="CK105" s="27">
        <f t="shared" si="208"/>
        <v>0</v>
      </c>
      <c r="CL105" s="27">
        <f t="shared" si="208"/>
        <v>0</v>
      </c>
      <c r="CM105" s="27">
        <f t="shared" si="208"/>
        <v>0</v>
      </c>
      <c r="CN105" s="27">
        <f t="shared" si="208"/>
        <v>0</v>
      </c>
      <c r="CO105" s="27">
        <f t="shared" si="208"/>
        <v>0</v>
      </c>
      <c r="CP105" s="27">
        <f t="shared" si="208"/>
        <v>0</v>
      </c>
      <c r="CQ105" s="27"/>
      <c r="CR105" s="27"/>
      <c r="CS105" s="27">
        <f t="shared" si="208"/>
        <v>0</v>
      </c>
      <c r="CT105" s="27"/>
      <c r="CU105" s="27"/>
      <c r="CV105" s="27"/>
      <c r="CW105" s="27">
        <f t="shared" si="208"/>
        <v>0</v>
      </c>
      <c r="CX105" s="27">
        <f t="shared" si="208"/>
        <v>0</v>
      </c>
      <c r="CY105" s="27">
        <f t="shared" si="208"/>
        <v>0</v>
      </c>
      <c r="CZ105" s="60">
        <f t="shared" si="208"/>
        <v>0</v>
      </c>
      <c r="DA105" s="57"/>
    </row>
    <row r="106" spans="1:105" ht="15.75" x14ac:dyDescent="0.25">
      <c r="A106" s="79" t="s">
        <v>199</v>
      </c>
      <c r="B106" s="16" t="s">
        <v>1</v>
      </c>
      <c r="C106" s="17" t="s">
        <v>200</v>
      </c>
      <c r="D106" s="18">
        <f t="shared" ref="D106:AH106" si="209">SUM(D107:D107)</f>
        <v>13080932</v>
      </c>
      <c r="E106" s="19">
        <f t="shared" si="209"/>
        <v>13080932</v>
      </c>
      <c r="F106" s="19">
        <f t="shared" si="209"/>
        <v>13080932</v>
      </c>
      <c r="G106" s="19">
        <f t="shared" si="209"/>
        <v>0</v>
      </c>
      <c r="H106" s="19">
        <f t="shared" si="209"/>
        <v>0</v>
      </c>
      <c r="I106" s="19">
        <f t="shared" si="209"/>
        <v>0</v>
      </c>
      <c r="J106" s="19">
        <f t="shared" si="209"/>
        <v>0</v>
      </c>
      <c r="K106" s="19">
        <f t="shared" si="209"/>
        <v>0</v>
      </c>
      <c r="L106" s="19">
        <f t="shared" si="209"/>
        <v>0</v>
      </c>
      <c r="M106" s="19">
        <f t="shared" si="209"/>
        <v>0</v>
      </c>
      <c r="N106" s="19">
        <f t="shared" si="209"/>
        <v>0</v>
      </c>
      <c r="O106" s="19">
        <f t="shared" si="209"/>
        <v>0</v>
      </c>
      <c r="P106" s="19">
        <f t="shared" si="209"/>
        <v>0</v>
      </c>
      <c r="Q106" s="19">
        <f t="shared" si="209"/>
        <v>0</v>
      </c>
      <c r="R106" s="19">
        <f t="shared" si="209"/>
        <v>0</v>
      </c>
      <c r="S106" s="19">
        <f t="shared" si="209"/>
        <v>0</v>
      </c>
      <c r="T106" s="19">
        <f t="shared" si="209"/>
        <v>0</v>
      </c>
      <c r="U106" s="19">
        <f t="shared" si="209"/>
        <v>0</v>
      </c>
      <c r="V106" s="19">
        <f t="shared" si="209"/>
        <v>0</v>
      </c>
      <c r="W106" s="19">
        <f t="shared" si="209"/>
        <v>0</v>
      </c>
      <c r="X106" s="19">
        <f t="shared" si="209"/>
        <v>0</v>
      </c>
      <c r="Y106" s="19">
        <f t="shared" si="209"/>
        <v>0</v>
      </c>
      <c r="Z106" s="19">
        <f t="shared" si="209"/>
        <v>0</v>
      </c>
      <c r="AA106" s="19">
        <f t="shared" si="209"/>
        <v>0</v>
      </c>
      <c r="AB106" s="19">
        <f t="shared" si="209"/>
        <v>0</v>
      </c>
      <c r="AC106" s="19">
        <f t="shared" si="209"/>
        <v>0</v>
      </c>
      <c r="AD106" s="19">
        <f t="shared" si="209"/>
        <v>13080932</v>
      </c>
      <c r="AE106" s="19">
        <f t="shared" si="209"/>
        <v>0</v>
      </c>
      <c r="AF106" s="19">
        <f t="shared" si="209"/>
        <v>0</v>
      </c>
      <c r="AG106" s="19">
        <f t="shared" si="209"/>
        <v>0</v>
      </c>
      <c r="AH106" s="19">
        <f t="shared" si="209"/>
        <v>0</v>
      </c>
      <c r="AI106" s="19">
        <f t="shared" ref="AI106:BP106" si="210">SUM(AI107:AI107)</f>
        <v>0</v>
      </c>
      <c r="AJ106" s="19">
        <f t="shared" si="210"/>
        <v>0</v>
      </c>
      <c r="AK106" s="19">
        <f t="shared" si="210"/>
        <v>0</v>
      </c>
      <c r="AL106" s="19">
        <f t="shared" si="210"/>
        <v>0</v>
      </c>
      <c r="AM106" s="19">
        <f t="shared" si="210"/>
        <v>0</v>
      </c>
      <c r="AN106" s="19">
        <f t="shared" si="210"/>
        <v>0</v>
      </c>
      <c r="AO106" s="19">
        <f t="shared" si="210"/>
        <v>0</v>
      </c>
      <c r="AP106" s="19"/>
      <c r="AQ106" s="19">
        <f t="shared" si="210"/>
        <v>0</v>
      </c>
      <c r="AR106" s="19">
        <f t="shared" si="210"/>
        <v>0</v>
      </c>
      <c r="AS106" s="19">
        <f t="shared" si="210"/>
        <v>0</v>
      </c>
      <c r="AT106" s="19">
        <f t="shared" si="210"/>
        <v>0</v>
      </c>
      <c r="AU106" s="19">
        <f t="shared" si="210"/>
        <v>0</v>
      </c>
      <c r="AV106" s="19">
        <f t="shared" si="210"/>
        <v>0</v>
      </c>
      <c r="AW106" s="19">
        <f t="shared" si="210"/>
        <v>0</v>
      </c>
      <c r="AX106" s="19">
        <f t="shared" si="210"/>
        <v>0</v>
      </c>
      <c r="AY106" s="19">
        <f t="shared" si="210"/>
        <v>0</v>
      </c>
      <c r="AZ106" s="19">
        <f t="shared" si="210"/>
        <v>13080932</v>
      </c>
      <c r="BA106" s="19">
        <f t="shared" si="210"/>
        <v>0</v>
      </c>
      <c r="BB106" s="19">
        <f t="shared" si="210"/>
        <v>0</v>
      </c>
      <c r="BC106" s="19">
        <f t="shared" si="210"/>
        <v>0</v>
      </c>
      <c r="BD106" s="19">
        <f t="shared" si="210"/>
        <v>0</v>
      </c>
      <c r="BE106" s="19">
        <f t="shared" si="210"/>
        <v>0</v>
      </c>
      <c r="BF106" s="19">
        <f t="shared" si="210"/>
        <v>0</v>
      </c>
      <c r="BG106" s="19">
        <f t="shared" si="210"/>
        <v>0</v>
      </c>
      <c r="BH106" s="19">
        <f t="shared" si="210"/>
        <v>0</v>
      </c>
      <c r="BI106" s="19">
        <f t="shared" si="210"/>
        <v>0</v>
      </c>
      <c r="BJ106" s="19">
        <f t="shared" si="210"/>
        <v>0</v>
      </c>
      <c r="BK106" s="19">
        <f t="shared" si="210"/>
        <v>0</v>
      </c>
      <c r="BL106" s="19">
        <f t="shared" si="210"/>
        <v>0</v>
      </c>
      <c r="BM106" s="19">
        <f t="shared" si="210"/>
        <v>0</v>
      </c>
      <c r="BN106" s="19">
        <f t="shared" si="210"/>
        <v>0</v>
      </c>
      <c r="BO106" s="19">
        <f t="shared" si="210"/>
        <v>0</v>
      </c>
      <c r="BP106" s="19">
        <f t="shared" si="210"/>
        <v>0</v>
      </c>
      <c r="BQ106" s="19">
        <f t="shared" ref="BQ106:CZ106" si="211">SUM(BQ107:BQ107)</f>
        <v>0</v>
      </c>
      <c r="BR106" s="19">
        <f t="shared" si="211"/>
        <v>0</v>
      </c>
      <c r="BS106" s="19">
        <f t="shared" si="211"/>
        <v>0</v>
      </c>
      <c r="BT106" s="19">
        <f t="shared" si="211"/>
        <v>0</v>
      </c>
      <c r="BU106" s="19">
        <f t="shared" si="211"/>
        <v>0</v>
      </c>
      <c r="BV106" s="19">
        <f t="shared" si="211"/>
        <v>0</v>
      </c>
      <c r="BW106" s="19">
        <f t="shared" si="211"/>
        <v>0</v>
      </c>
      <c r="BX106" s="19">
        <f t="shared" si="211"/>
        <v>0</v>
      </c>
      <c r="BY106" s="19">
        <f t="shared" si="211"/>
        <v>0</v>
      </c>
      <c r="BZ106" s="19">
        <f t="shared" si="211"/>
        <v>0</v>
      </c>
      <c r="CA106" s="19">
        <f t="shared" si="211"/>
        <v>0</v>
      </c>
      <c r="CB106" s="19">
        <f t="shared" si="211"/>
        <v>0</v>
      </c>
      <c r="CC106" s="19">
        <f t="shared" si="211"/>
        <v>0</v>
      </c>
      <c r="CD106" s="19">
        <f t="shared" si="211"/>
        <v>0</v>
      </c>
      <c r="CE106" s="19">
        <f t="shared" si="211"/>
        <v>0</v>
      </c>
      <c r="CF106" s="19">
        <f t="shared" si="211"/>
        <v>0</v>
      </c>
      <c r="CG106" s="19">
        <f t="shared" si="211"/>
        <v>0</v>
      </c>
      <c r="CH106" s="19">
        <f t="shared" si="211"/>
        <v>0</v>
      </c>
      <c r="CI106" s="19">
        <f t="shared" si="211"/>
        <v>0</v>
      </c>
      <c r="CJ106" s="19">
        <f t="shared" si="211"/>
        <v>0</v>
      </c>
      <c r="CK106" s="19">
        <f t="shared" si="211"/>
        <v>0</v>
      </c>
      <c r="CL106" s="19">
        <f t="shared" si="211"/>
        <v>0</v>
      </c>
      <c r="CM106" s="19">
        <f t="shared" si="211"/>
        <v>0</v>
      </c>
      <c r="CN106" s="19">
        <f t="shared" si="211"/>
        <v>0</v>
      </c>
      <c r="CO106" s="19">
        <f t="shared" si="211"/>
        <v>0</v>
      </c>
      <c r="CP106" s="19">
        <f t="shared" si="211"/>
        <v>0</v>
      </c>
      <c r="CQ106" s="19"/>
      <c r="CR106" s="19"/>
      <c r="CS106" s="19">
        <f t="shared" si="211"/>
        <v>0</v>
      </c>
      <c r="CT106" s="19"/>
      <c r="CU106" s="19"/>
      <c r="CV106" s="19"/>
      <c r="CW106" s="19">
        <f t="shared" si="211"/>
        <v>0</v>
      </c>
      <c r="CX106" s="19">
        <f t="shared" si="211"/>
        <v>0</v>
      </c>
      <c r="CY106" s="19">
        <f t="shared" si="211"/>
        <v>0</v>
      </c>
      <c r="CZ106" s="20">
        <f t="shared" si="211"/>
        <v>0</v>
      </c>
    </row>
    <row r="107" spans="1:105" ht="47.25" x14ac:dyDescent="0.25">
      <c r="A107" s="80" t="s">
        <v>1</v>
      </c>
      <c r="B107" s="21" t="s">
        <v>100</v>
      </c>
      <c r="C107" s="22" t="s">
        <v>519</v>
      </c>
      <c r="D107" s="18">
        <f>SUM(E107+BZ107+CW107)</f>
        <v>13080932</v>
      </c>
      <c r="E107" s="19">
        <f>SUM(F107+BA107)</f>
        <v>13080932</v>
      </c>
      <c r="F107" s="19">
        <f>SUM(G107+H107+I107+P107+S107+T107+U107+AD107)</f>
        <v>13080932</v>
      </c>
      <c r="G107" s="19">
        <v>0</v>
      </c>
      <c r="H107" s="19">
        <v>0</v>
      </c>
      <c r="I107" s="19">
        <f t="shared" ref="I107" si="212">SUM(J107:O107)</f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f t="shared" ref="P107" si="213">SUM(Q107:R107)</f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f>SUM(V107:AC107)</f>
        <v>0</v>
      </c>
      <c r="V107" s="19">
        <v>0</v>
      </c>
      <c r="W107" s="19">
        <v>0</v>
      </c>
      <c r="X107" s="19">
        <v>0</v>
      </c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f>SUM(AE107:AZ107)</f>
        <v>13080932</v>
      </c>
      <c r="AE107" s="19">
        <v>0</v>
      </c>
      <c r="AF107" s="19">
        <v>0</v>
      </c>
      <c r="AG107" s="19">
        <v>0</v>
      </c>
      <c r="AH107" s="19">
        <v>0</v>
      </c>
      <c r="AI107" s="19">
        <v>0</v>
      </c>
      <c r="AJ107" s="19">
        <v>0</v>
      </c>
      <c r="AK107" s="19">
        <v>0</v>
      </c>
      <c r="AL107" s="19">
        <v>0</v>
      </c>
      <c r="AM107" s="19">
        <v>0</v>
      </c>
      <c r="AN107" s="19">
        <v>0</v>
      </c>
      <c r="AO107" s="19">
        <v>0</v>
      </c>
      <c r="AP107" s="19"/>
      <c r="AQ107" s="19">
        <v>0</v>
      </c>
      <c r="AR107" s="19">
        <v>0</v>
      </c>
      <c r="AS107" s="19">
        <v>0</v>
      </c>
      <c r="AT107" s="19">
        <v>0</v>
      </c>
      <c r="AU107" s="19">
        <v>0</v>
      </c>
      <c r="AV107" s="19">
        <v>0</v>
      </c>
      <c r="AW107" s="19">
        <v>0</v>
      </c>
      <c r="AX107" s="19">
        <v>0</v>
      </c>
      <c r="AY107" s="19">
        <v>0</v>
      </c>
      <c r="AZ107" s="23">
        <v>13080932</v>
      </c>
      <c r="BA107" s="19">
        <f>SUM(BB107+BF107+BI107+BK107+BN107)</f>
        <v>0</v>
      </c>
      <c r="BB107" s="19">
        <f>SUM(BC107:BE107)</f>
        <v>0</v>
      </c>
      <c r="BC107" s="19">
        <v>0</v>
      </c>
      <c r="BD107" s="19">
        <v>0</v>
      </c>
      <c r="BE107" s="19">
        <v>0</v>
      </c>
      <c r="BF107" s="39">
        <f>SUM(BG107:BH107)</f>
        <v>0</v>
      </c>
      <c r="BG107" s="19"/>
      <c r="BH107" s="19">
        <v>0</v>
      </c>
      <c r="BI107" s="19">
        <v>0</v>
      </c>
      <c r="BJ107" s="19">
        <v>0</v>
      </c>
      <c r="BK107" s="19">
        <f t="shared" ref="BK107" si="214">SUM(BL107)</f>
        <v>0</v>
      </c>
      <c r="BL107" s="19">
        <v>0</v>
      </c>
      <c r="BM107" s="19">
        <v>0</v>
      </c>
      <c r="BN107" s="19">
        <f>SUM(BO107:BY107)</f>
        <v>0</v>
      </c>
      <c r="BO107" s="19">
        <v>0</v>
      </c>
      <c r="BP107" s="19">
        <v>0</v>
      </c>
      <c r="BQ107" s="19">
        <v>0</v>
      </c>
      <c r="BR107" s="19">
        <v>0</v>
      </c>
      <c r="BS107" s="19">
        <v>0</v>
      </c>
      <c r="BT107" s="19">
        <v>0</v>
      </c>
      <c r="BU107" s="19">
        <v>0</v>
      </c>
      <c r="BV107" s="19">
        <v>0</v>
      </c>
      <c r="BW107" s="19">
        <v>0</v>
      </c>
      <c r="BX107" s="19">
        <v>0</v>
      </c>
      <c r="BY107" s="19">
        <v>0</v>
      </c>
      <c r="BZ107" s="19">
        <f>SUM(CA107+CS107)</f>
        <v>0</v>
      </c>
      <c r="CA107" s="19">
        <f>SUM(CB107+CE107+CK107)</f>
        <v>0</v>
      </c>
      <c r="CB107" s="19">
        <f t="shared" ref="CB107" si="215">SUM(CC107:CD107)</f>
        <v>0</v>
      </c>
      <c r="CC107" s="19">
        <v>0</v>
      </c>
      <c r="CD107" s="19">
        <v>0</v>
      </c>
      <c r="CE107" s="19">
        <f>SUM(CF107:CJ107)</f>
        <v>0</v>
      </c>
      <c r="CF107" s="19">
        <v>0</v>
      </c>
      <c r="CG107" s="19">
        <v>0</v>
      </c>
      <c r="CH107" s="19">
        <v>0</v>
      </c>
      <c r="CI107" s="19">
        <v>0</v>
      </c>
      <c r="CJ107" s="19">
        <v>0</v>
      </c>
      <c r="CK107" s="19">
        <f>SUM(CL107:CP107)</f>
        <v>0</v>
      </c>
      <c r="CL107" s="19">
        <v>0</v>
      </c>
      <c r="CM107" s="19">
        <v>0</v>
      </c>
      <c r="CN107" s="19">
        <v>0</v>
      </c>
      <c r="CO107" s="19"/>
      <c r="CP107" s="19"/>
      <c r="CQ107" s="19"/>
      <c r="CR107" s="19"/>
      <c r="CS107" s="19">
        <v>0</v>
      </c>
      <c r="CT107" s="19"/>
      <c r="CU107" s="19"/>
      <c r="CV107" s="19"/>
      <c r="CW107" s="19">
        <f t="shared" ref="CW107" si="216">SUM(CX107)</f>
        <v>0</v>
      </c>
      <c r="CX107" s="19">
        <f t="shared" ref="CX107" si="217">SUM(CY107:CZ107)</f>
        <v>0</v>
      </c>
      <c r="CY107" s="19">
        <v>0</v>
      </c>
      <c r="CZ107" s="20">
        <v>0</v>
      </c>
    </row>
    <row r="108" spans="1:105" ht="15.75" x14ac:dyDescent="0.25">
      <c r="A108" s="79" t="s">
        <v>596</v>
      </c>
      <c r="B108" s="16" t="s">
        <v>1</v>
      </c>
      <c r="C108" s="17" t="s">
        <v>597</v>
      </c>
      <c r="D108" s="18">
        <f t="shared" ref="D108:AJ110" si="218">SUM(D109)</f>
        <v>2090113</v>
      </c>
      <c r="E108" s="19">
        <f t="shared" si="218"/>
        <v>2090113</v>
      </c>
      <c r="F108" s="19">
        <f t="shared" si="218"/>
        <v>2090113</v>
      </c>
      <c r="G108" s="19">
        <f t="shared" si="218"/>
        <v>0</v>
      </c>
      <c r="H108" s="19">
        <f t="shared" si="218"/>
        <v>0</v>
      </c>
      <c r="I108" s="19">
        <f t="shared" si="218"/>
        <v>0</v>
      </c>
      <c r="J108" s="19">
        <f t="shared" si="218"/>
        <v>0</v>
      </c>
      <c r="K108" s="19">
        <f t="shared" si="218"/>
        <v>0</v>
      </c>
      <c r="L108" s="19">
        <f t="shared" si="218"/>
        <v>0</v>
      </c>
      <c r="M108" s="19">
        <f t="shared" si="218"/>
        <v>0</v>
      </c>
      <c r="N108" s="19">
        <f t="shared" si="218"/>
        <v>0</v>
      </c>
      <c r="O108" s="19">
        <f t="shared" si="218"/>
        <v>0</v>
      </c>
      <c r="P108" s="19">
        <f t="shared" si="218"/>
        <v>0</v>
      </c>
      <c r="Q108" s="19">
        <f t="shared" si="218"/>
        <v>0</v>
      </c>
      <c r="R108" s="19">
        <f t="shared" si="218"/>
        <v>0</v>
      </c>
      <c r="S108" s="19">
        <f t="shared" si="218"/>
        <v>0</v>
      </c>
      <c r="T108" s="19">
        <f t="shared" si="218"/>
        <v>0</v>
      </c>
      <c r="U108" s="19">
        <f t="shared" si="218"/>
        <v>0</v>
      </c>
      <c r="V108" s="19">
        <f t="shared" si="218"/>
        <v>0</v>
      </c>
      <c r="W108" s="19">
        <f t="shared" si="218"/>
        <v>0</v>
      </c>
      <c r="X108" s="19">
        <f t="shared" si="218"/>
        <v>0</v>
      </c>
      <c r="Y108" s="19">
        <f t="shared" si="218"/>
        <v>0</v>
      </c>
      <c r="Z108" s="19">
        <f t="shared" si="218"/>
        <v>0</v>
      </c>
      <c r="AA108" s="19">
        <f t="shared" si="218"/>
        <v>0</v>
      </c>
      <c r="AB108" s="19">
        <f t="shared" si="218"/>
        <v>0</v>
      </c>
      <c r="AC108" s="19">
        <f t="shared" si="218"/>
        <v>0</v>
      </c>
      <c r="AD108" s="19">
        <f t="shared" si="218"/>
        <v>2090113</v>
      </c>
      <c r="AE108" s="19">
        <f t="shared" si="218"/>
        <v>0</v>
      </c>
      <c r="AF108" s="19">
        <f t="shared" si="218"/>
        <v>0</v>
      </c>
      <c r="AG108" s="19">
        <f t="shared" si="218"/>
        <v>0</v>
      </c>
      <c r="AH108" s="19">
        <f t="shared" si="218"/>
        <v>0</v>
      </c>
      <c r="AI108" s="19">
        <f t="shared" si="218"/>
        <v>0</v>
      </c>
      <c r="AJ108" s="19">
        <f t="shared" si="218"/>
        <v>0</v>
      </c>
      <c r="AK108" s="19">
        <f t="shared" ref="AK108:CZ110" si="219">SUM(AK109)</f>
        <v>0</v>
      </c>
      <c r="AL108" s="19">
        <f t="shared" si="219"/>
        <v>0</v>
      </c>
      <c r="AM108" s="19">
        <f t="shared" si="219"/>
        <v>0</v>
      </c>
      <c r="AN108" s="19">
        <f t="shared" si="219"/>
        <v>0</v>
      </c>
      <c r="AO108" s="19">
        <f t="shared" si="219"/>
        <v>0</v>
      </c>
      <c r="AP108" s="19"/>
      <c r="AQ108" s="19">
        <f t="shared" si="219"/>
        <v>0</v>
      </c>
      <c r="AR108" s="19">
        <f t="shared" si="219"/>
        <v>0</v>
      </c>
      <c r="AS108" s="19">
        <f t="shared" si="219"/>
        <v>0</v>
      </c>
      <c r="AT108" s="19"/>
      <c r="AU108" s="19"/>
      <c r="AV108" s="19">
        <f t="shared" si="219"/>
        <v>0</v>
      </c>
      <c r="AW108" s="19">
        <f t="shared" si="219"/>
        <v>0</v>
      </c>
      <c r="AX108" s="19">
        <f t="shared" si="219"/>
        <v>0</v>
      </c>
      <c r="AY108" s="19"/>
      <c r="AZ108" s="19">
        <f t="shared" si="219"/>
        <v>2090113</v>
      </c>
      <c r="BA108" s="19">
        <f t="shared" si="219"/>
        <v>0</v>
      </c>
      <c r="BB108" s="19">
        <f t="shared" si="219"/>
        <v>0</v>
      </c>
      <c r="BC108" s="19">
        <f t="shared" si="219"/>
        <v>0</v>
      </c>
      <c r="BD108" s="19">
        <f t="shared" si="219"/>
        <v>0</v>
      </c>
      <c r="BE108" s="19">
        <f t="shared" si="219"/>
        <v>0</v>
      </c>
      <c r="BF108" s="19">
        <f t="shared" si="219"/>
        <v>0</v>
      </c>
      <c r="BG108" s="19">
        <f t="shared" si="219"/>
        <v>0</v>
      </c>
      <c r="BH108" s="19">
        <f t="shared" si="219"/>
        <v>0</v>
      </c>
      <c r="BI108" s="19">
        <f t="shared" si="219"/>
        <v>0</v>
      </c>
      <c r="BJ108" s="19">
        <f t="shared" si="219"/>
        <v>0</v>
      </c>
      <c r="BK108" s="19">
        <f t="shared" si="219"/>
        <v>0</v>
      </c>
      <c r="BL108" s="19">
        <f t="shared" si="219"/>
        <v>0</v>
      </c>
      <c r="BM108" s="19">
        <f t="shared" si="219"/>
        <v>0</v>
      </c>
      <c r="BN108" s="19">
        <f t="shared" si="219"/>
        <v>0</v>
      </c>
      <c r="BO108" s="19">
        <f t="shared" si="219"/>
        <v>0</v>
      </c>
      <c r="BP108" s="19">
        <f t="shared" si="219"/>
        <v>0</v>
      </c>
      <c r="BQ108" s="19">
        <f t="shared" si="219"/>
        <v>0</v>
      </c>
      <c r="BR108" s="19">
        <f t="shared" si="219"/>
        <v>0</v>
      </c>
      <c r="BS108" s="19">
        <f t="shared" si="219"/>
        <v>0</v>
      </c>
      <c r="BT108" s="19">
        <f t="shared" si="219"/>
        <v>0</v>
      </c>
      <c r="BU108" s="19">
        <f t="shared" si="219"/>
        <v>0</v>
      </c>
      <c r="BV108" s="19">
        <f t="shared" si="219"/>
        <v>0</v>
      </c>
      <c r="BW108" s="19">
        <f t="shared" si="219"/>
        <v>0</v>
      </c>
      <c r="BX108" s="19">
        <f t="shared" si="219"/>
        <v>0</v>
      </c>
      <c r="BY108" s="19">
        <f t="shared" si="219"/>
        <v>0</v>
      </c>
      <c r="BZ108" s="19">
        <f t="shared" si="219"/>
        <v>0</v>
      </c>
      <c r="CA108" s="19">
        <f t="shared" si="219"/>
        <v>0</v>
      </c>
      <c r="CB108" s="19">
        <f t="shared" si="219"/>
        <v>0</v>
      </c>
      <c r="CC108" s="19">
        <f t="shared" si="219"/>
        <v>0</v>
      </c>
      <c r="CD108" s="19">
        <f t="shared" si="219"/>
        <v>0</v>
      </c>
      <c r="CE108" s="19">
        <f t="shared" si="219"/>
        <v>0</v>
      </c>
      <c r="CF108" s="19">
        <f t="shared" si="219"/>
        <v>0</v>
      </c>
      <c r="CG108" s="19">
        <f t="shared" si="219"/>
        <v>0</v>
      </c>
      <c r="CH108" s="19">
        <f t="shared" si="219"/>
        <v>0</v>
      </c>
      <c r="CI108" s="19">
        <f t="shared" si="219"/>
        <v>0</v>
      </c>
      <c r="CJ108" s="19">
        <f t="shared" si="219"/>
        <v>0</v>
      </c>
      <c r="CK108" s="19">
        <f t="shared" si="219"/>
        <v>0</v>
      </c>
      <c r="CL108" s="19">
        <f t="shared" si="219"/>
        <v>0</v>
      </c>
      <c r="CM108" s="19">
        <f t="shared" si="219"/>
        <v>0</v>
      </c>
      <c r="CN108" s="19">
        <f t="shared" si="219"/>
        <v>0</v>
      </c>
      <c r="CO108" s="19"/>
      <c r="CP108" s="19"/>
      <c r="CQ108" s="19"/>
      <c r="CR108" s="19"/>
      <c r="CS108" s="19">
        <f t="shared" si="219"/>
        <v>0</v>
      </c>
      <c r="CT108" s="19"/>
      <c r="CU108" s="19"/>
      <c r="CV108" s="19"/>
      <c r="CW108" s="19">
        <f t="shared" si="219"/>
        <v>0</v>
      </c>
      <c r="CX108" s="19">
        <f t="shared" si="219"/>
        <v>0</v>
      </c>
      <c r="CY108" s="19">
        <f t="shared" si="219"/>
        <v>0</v>
      </c>
      <c r="CZ108" s="20">
        <f t="shared" si="219"/>
        <v>0</v>
      </c>
    </row>
    <row r="109" spans="1:105" ht="31.5" x14ac:dyDescent="0.25">
      <c r="A109" s="80" t="s">
        <v>1</v>
      </c>
      <c r="B109" s="21" t="s">
        <v>100</v>
      </c>
      <c r="C109" s="22" t="s">
        <v>598</v>
      </c>
      <c r="D109" s="18">
        <f>SUM(E109+BZ109+CW109)</f>
        <v>2090113</v>
      </c>
      <c r="E109" s="19">
        <f>SUM(F109+BA109)</f>
        <v>2090113</v>
      </c>
      <c r="F109" s="19">
        <f>SUM(G109+H109+I109+P109+S109+T109+U109+AD109)</f>
        <v>2090113</v>
      </c>
      <c r="G109" s="23"/>
      <c r="H109" s="23"/>
      <c r="I109" s="19">
        <f t="shared" ref="I109" si="220">SUM(J109:O109)</f>
        <v>0</v>
      </c>
      <c r="J109" s="19">
        <v>0</v>
      </c>
      <c r="K109" s="19">
        <v>0</v>
      </c>
      <c r="L109" s="19">
        <v>0</v>
      </c>
      <c r="M109" s="19"/>
      <c r="N109" s="23"/>
      <c r="O109" s="19">
        <v>0</v>
      </c>
      <c r="P109" s="19">
        <f t="shared" ref="P109" si="221">SUM(Q109:R109)</f>
        <v>0</v>
      </c>
      <c r="Q109" s="19">
        <v>0</v>
      </c>
      <c r="R109" s="19">
        <v>0</v>
      </c>
      <c r="S109" s="19">
        <v>0</v>
      </c>
      <c r="T109" s="23"/>
      <c r="U109" s="19">
        <f>SUM(V109:AC109)</f>
        <v>0</v>
      </c>
      <c r="V109" s="19">
        <v>0</v>
      </c>
      <c r="W109" s="23"/>
      <c r="X109" s="23"/>
      <c r="Y109" s="23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f>SUM(AE109:AZ109)</f>
        <v>2090113</v>
      </c>
      <c r="AE109" s="19">
        <v>0</v>
      </c>
      <c r="AF109" s="19">
        <v>0</v>
      </c>
      <c r="AG109" s="19">
        <v>0</v>
      </c>
      <c r="AH109" s="19"/>
      <c r="AI109" s="19">
        <v>0</v>
      </c>
      <c r="AJ109" s="19">
        <v>0</v>
      </c>
      <c r="AK109" s="19">
        <v>0</v>
      </c>
      <c r="AL109" s="19"/>
      <c r="AM109" s="19">
        <v>0</v>
      </c>
      <c r="AN109" s="19">
        <v>0</v>
      </c>
      <c r="AO109" s="19">
        <v>0</v>
      </c>
      <c r="AP109" s="19"/>
      <c r="AQ109" s="19">
        <v>0</v>
      </c>
      <c r="AR109" s="19">
        <v>0</v>
      </c>
      <c r="AS109" s="19">
        <v>0</v>
      </c>
      <c r="AT109" s="19"/>
      <c r="AU109" s="19"/>
      <c r="AV109" s="19">
        <v>0</v>
      </c>
      <c r="AW109" s="19">
        <v>0</v>
      </c>
      <c r="AX109" s="19">
        <v>0</v>
      </c>
      <c r="AY109" s="19"/>
      <c r="AZ109" s="19">
        <f>1957401+132712</f>
        <v>2090113</v>
      </c>
      <c r="BA109" s="19">
        <f>SUM(BB109+BF109+BI109+BK109+BN109)</f>
        <v>0</v>
      </c>
      <c r="BB109" s="19">
        <f>SUM(BC109:BE109)</f>
        <v>0</v>
      </c>
      <c r="BC109" s="19">
        <v>0</v>
      </c>
      <c r="BD109" s="19">
        <v>0</v>
      </c>
      <c r="BE109" s="19">
        <v>0</v>
      </c>
      <c r="BF109" s="19">
        <f>SUM(BH109:BH109)</f>
        <v>0</v>
      </c>
      <c r="BG109" s="19">
        <v>0</v>
      </c>
      <c r="BH109" s="19">
        <v>0</v>
      </c>
      <c r="BI109" s="19">
        <v>0</v>
      </c>
      <c r="BJ109" s="19">
        <v>0</v>
      </c>
      <c r="BK109" s="19">
        <f t="shared" ref="BK109" si="222">SUM(BL109)</f>
        <v>0</v>
      </c>
      <c r="BL109" s="19">
        <v>0</v>
      </c>
      <c r="BM109" s="19">
        <v>0</v>
      </c>
      <c r="BN109" s="19">
        <f>SUM(BO109:BY109)</f>
        <v>0</v>
      </c>
      <c r="BO109" s="19">
        <v>0</v>
      </c>
      <c r="BP109" s="19">
        <v>0</v>
      </c>
      <c r="BQ109" s="19">
        <v>0</v>
      </c>
      <c r="BR109" s="19">
        <v>0</v>
      </c>
      <c r="BS109" s="19">
        <v>0</v>
      </c>
      <c r="BT109" s="19">
        <v>0</v>
      </c>
      <c r="BU109" s="19">
        <v>0</v>
      </c>
      <c r="BV109" s="19">
        <v>0</v>
      </c>
      <c r="BW109" s="19">
        <v>0</v>
      </c>
      <c r="BX109" s="19">
        <v>0</v>
      </c>
      <c r="BY109" s="19">
        <v>0</v>
      </c>
      <c r="BZ109" s="19">
        <f>SUM(CA109+CS109)</f>
        <v>0</v>
      </c>
      <c r="CA109" s="19">
        <f>SUM(CB109+CE109+CK109)</f>
        <v>0</v>
      </c>
      <c r="CB109" s="19">
        <f t="shared" ref="CB109" si="223">SUM(CC109:CD109)</f>
        <v>0</v>
      </c>
      <c r="CC109" s="19">
        <v>0</v>
      </c>
      <c r="CD109" s="23"/>
      <c r="CE109" s="19">
        <f>SUM(CF109:CJ109)</f>
        <v>0</v>
      </c>
      <c r="CF109" s="19">
        <v>0</v>
      </c>
      <c r="CG109" s="19">
        <v>0</v>
      </c>
      <c r="CH109" s="19">
        <v>0</v>
      </c>
      <c r="CI109" s="19">
        <v>0</v>
      </c>
      <c r="CJ109" s="19">
        <v>0</v>
      </c>
      <c r="CK109" s="19">
        <f>SUM(CL109:CP109)</f>
        <v>0</v>
      </c>
      <c r="CL109" s="19">
        <v>0</v>
      </c>
      <c r="CM109" s="19">
        <v>0</v>
      </c>
      <c r="CN109" s="19">
        <v>0</v>
      </c>
      <c r="CO109" s="19"/>
      <c r="CP109" s="19"/>
      <c r="CQ109" s="19"/>
      <c r="CR109" s="19"/>
      <c r="CS109" s="19">
        <v>0</v>
      </c>
      <c r="CT109" s="19"/>
      <c r="CU109" s="19"/>
      <c r="CV109" s="19"/>
      <c r="CW109" s="19">
        <f t="shared" ref="CW109" si="224">SUM(CX109)</f>
        <v>0</v>
      </c>
      <c r="CX109" s="19">
        <f t="shared" ref="CX109" si="225">SUM(CY109:CZ109)</f>
        <v>0</v>
      </c>
      <c r="CY109" s="19">
        <v>0</v>
      </c>
      <c r="CZ109" s="20">
        <v>0</v>
      </c>
    </row>
    <row r="110" spans="1:105" s="58" customFormat="1" ht="15.75" x14ac:dyDescent="0.25">
      <c r="A110" s="79" t="s">
        <v>201</v>
      </c>
      <c r="B110" s="16" t="s">
        <v>1</v>
      </c>
      <c r="C110" s="17" t="s">
        <v>202</v>
      </c>
      <c r="D110" s="18">
        <f t="shared" si="218"/>
        <v>4948468</v>
      </c>
      <c r="E110" s="18">
        <f t="shared" si="218"/>
        <v>4948468</v>
      </c>
      <c r="F110" s="18">
        <f t="shared" si="218"/>
        <v>4948468</v>
      </c>
      <c r="G110" s="18">
        <f t="shared" si="218"/>
        <v>3891282</v>
      </c>
      <c r="H110" s="18">
        <f t="shared" si="218"/>
        <v>967704</v>
      </c>
      <c r="I110" s="18">
        <f t="shared" si="218"/>
        <v>31347</v>
      </c>
      <c r="J110" s="18">
        <f t="shared" si="218"/>
        <v>0</v>
      </c>
      <c r="K110" s="18">
        <f t="shared" si="218"/>
        <v>0</v>
      </c>
      <c r="L110" s="18">
        <f t="shared" si="218"/>
        <v>0</v>
      </c>
      <c r="M110" s="18">
        <f t="shared" si="218"/>
        <v>0</v>
      </c>
      <c r="N110" s="18">
        <f t="shared" si="218"/>
        <v>31347</v>
      </c>
      <c r="O110" s="18">
        <f t="shared" si="218"/>
        <v>0</v>
      </c>
      <c r="P110" s="18">
        <f t="shared" si="218"/>
        <v>0</v>
      </c>
      <c r="Q110" s="18">
        <f t="shared" si="218"/>
        <v>0</v>
      </c>
      <c r="R110" s="18">
        <f t="shared" si="218"/>
        <v>0</v>
      </c>
      <c r="S110" s="18">
        <f t="shared" si="218"/>
        <v>0</v>
      </c>
      <c r="T110" s="18">
        <f t="shared" si="218"/>
        <v>26519</v>
      </c>
      <c r="U110" s="18">
        <f t="shared" si="218"/>
        <v>31616</v>
      </c>
      <c r="V110" s="18">
        <f t="shared" si="218"/>
        <v>0</v>
      </c>
      <c r="W110" s="18">
        <f t="shared" si="218"/>
        <v>8027</v>
      </c>
      <c r="X110" s="18">
        <f t="shared" si="218"/>
        <v>23589</v>
      </c>
      <c r="Y110" s="18">
        <f t="shared" si="218"/>
        <v>0</v>
      </c>
      <c r="Z110" s="18">
        <f t="shared" si="218"/>
        <v>0</v>
      </c>
      <c r="AA110" s="18">
        <f t="shared" si="218"/>
        <v>0</v>
      </c>
      <c r="AB110" s="18">
        <f t="shared" si="218"/>
        <v>0</v>
      </c>
      <c r="AC110" s="18">
        <f t="shared" si="218"/>
        <v>0</v>
      </c>
      <c r="AD110" s="18">
        <f t="shared" si="218"/>
        <v>0</v>
      </c>
      <c r="AE110" s="18">
        <f t="shared" si="218"/>
        <v>0</v>
      </c>
      <c r="AF110" s="18">
        <f t="shared" si="218"/>
        <v>0</v>
      </c>
      <c r="AG110" s="18">
        <f t="shared" si="218"/>
        <v>0</v>
      </c>
      <c r="AH110" s="18">
        <f t="shared" si="218"/>
        <v>0</v>
      </c>
      <c r="AI110" s="18">
        <f t="shared" si="218"/>
        <v>0</v>
      </c>
      <c r="AJ110" s="18">
        <f t="shared" si="218"/>
        <v>0</v>
      </c>
      <c r="AK110" s="18">
        <f t="shared" si="219"/>
        <v>0</v>
      </c>
      <c r="AL110" s="18">
        <f t="shared" si="219"/>
        <v>0</v>
      </c>
      <c r="AM110" s="18">
        <f t="shared" si="219"/>
        <v>0</v>
      </c>
      <c r="AN110" s="18">
        <f t="shared" si="219"/>
        <v>0</v>
      </c>
      <c r="AO110" s="18">
        <f t="shared" si="219"/>
        <v>0</v>
      </c>
      <c r="AP110" s="18"/>
      <c r="AQ110" s="18">
        <f t="shared" si="219"/>
        <v>0</v>
      </c>
      <c r="AR110" s="18">
        <f t="shared" si="219"/>
        <v>0</v>
      </c>
      <c r="AS110" s="18">
        <f t="shared" si="219"/>
        <v>0</v>
      </c>
      <c r="AT110" s="18"/>
      <c r="AU110" s="18"/>
      <c r="AV110" s="18">
        <f t="shared" si="219"/>
        <v>0</v>
      </c>
      <c r="AW110" s="18">
        <f t="shared" si="219"/>
        <v>0</v>
      </c>
      <c r="AX110" s="18">
        <f t="shared" si="219"/>
        <v>0</v>
      </c>
      <c r="AY110" s="18"/>
      <c r="AZ110" s="18">
        <f t="shared" si="219"/>
        <v>0</v>
      </c>
      <c r="BA110" s="18">
        <f t="shared" si="219"/>
        <v>0</v>
      </c>
      <c r="BB110" s="18">
        <f t="shared" si="219"/>
        <v>0</v>
      </c>
      <c r="BC110" s="18">
        <f t="shared" si="219"/>
        <v>0</v>
      </c>
      <c r="BD110" s="18">
        <f t="shared" si="219"/>
        <v>0</v>
      </c>
      <c r="BE110" s="18">
        <f t="shared" si="219"/>
        <v>0</v>
      </c>
      <c r="BF110" s="18">
        <f t="shared" si="219"/>
        <v>0</v>
      </c>
      <c r="BG110" s="18">
        <f t="shared" si="219"/>
        <v>0</v>
      </c>
      <c r="BH110" s="18">
        <f t="shared" si="219"/>
        <v>0</v>
      </c>
      <c r="BI110" s="18">
        <f t="shared" si="219"/>
        <v>0</v>
      </c>
      <c r="BJ110" s="18">
        <f t="shared" si="219"/>
        <v>0</v>
      </c>
      <c r="BK110" s="18">
        <f t="shared" si="219"/>
        <v>0</v>
      </c>
      <c r="BL110" s="18">
        <f t="shared" si="219"/>
        <v>0</v>
      </c>
      <c r="BM110" s="18">
        <f t="shared" si="219"/>
        <v>0</v>
      </c>
      <c r="BN110" s="18">
        <f t="shared" si="219"/>
        <v>0</v>
      </c>
      <c r="BO110" s="18">
        <f t="shared" si="219"/>
        <v>0</v>
      </c>
      <c r="BP110" s="18">
        <f t="shared" si="219"/>
        <v>0</v>
      </c>
      <c r="BQ110" s="18">
        <f t="shared" si="219"/>
        <v>0</v>
      </c>
      <c r="BR110" s="18">
        <f t="shared" si="219"/>
        <v>0</v>
      </c>
      <c r="BS110" s="18">
        <f t="shared" si="219"/>
        <v>0</v>
      </c>
      <c r="BT110" s="18">
        <f t="shared" si="219"/>
        <v>0</v>
      </c>
      <c r="BU110" s="18">
        <f t="shared" si="219"/>
        <v>0</v>
      </c>
      <c r="BV110" s="18">
        <f t="shared" si="219"/>
        <v>0</v>
      </c>
      <c r="BW110" s="18">
        <f t="shared" si="219"/>
        <v>0</v>
      </c>
      <c r="BX110" s="18">
        <f t="shared" si="219"/>
        <v>0</v>
      </c>
      <c r="BY110" s="18">
        <f t="shared" si="219"/>
        <v>0</v>
      </c>
      <c r="BZ110" s="18">
        <f t="shared" si="219"/>
        <v>0</v>
      </c>
      <c r="CA110" s="18">
        <f t="shared" si="219"/>
        <v>0</v>
      </c>
      <c r="CB110" s="18">
        <f t="shared" si="219"/>
        <v>0</v>
      </c>
      <c r="CC110" s="18">
        <f t="shared" si="219"/>
        <v>0</v>
      </c>
      <c r="CD110" s="18">
        <f t="shared" si="219"/>
        <v>0</v>
      </c>
      <c r="CE110" s="18">
        <f t="shared" si="219"/>
        <v>0</v>
      </c>
      <c r="CF110" s="18">
        <f t="shared" si="219"/>
        <v>0</v>
      </c>
      <c r="CG110" s="18">
        <f t="shared" si="219"/>
        <v>0</v>
      </c>
      <c r="CH110" s="18">
        <f t="shared" si="219"/>
        <v>0</v>
      </c>
      <c r="CI110" s="18">
        <f t="shared" si="219"/>
        <v>0</v>
      </c>
      <c r="CJ110" s="18">
        <f t="shared" si="219"/>
        <v>0</v>
      </c>
      <c r="CK110" s="18">
        <f t="shared" si="219"/>
        <v>0</v>
      </c>
      <c r="CL110" s="18">
        <f t="shared" si="219"/>
        <v>0</v>
      </c>
      <c r="CM110" s="18">
        <f t="shared" si="219"/>
        <v>0</v>
      </c>
      <c r="CN110" s="18">
        <f t="shared" si="219"/>
        <v>0</v>
      </c>
      <c r="CO110" s="18"/>
      <c r="CP110" s="18"/>
      <c r="CQ110" s="18"/>
      <c r="CR110" s="18"/>
      <c r="CS110" s="18">
        <f t="shared" si="219"/>
        <v>0</v>
      </c>
      <c r="CT110" s="18"/>
      <c r="CU110" s="18"/>
      <c r="CV110" s="18"/>
      <c r="CW110" s="18">
        <f t="shared" si="219"/>
        <v>0</v>
      </c>
      <c r="CX110" s="18">
        <f t="shared" si="219"/>
        <v>0</v>
      </c>
      <c r="CY110" s="18">
        <f t="shared" si="219"/>
        <v>0</v>
      </c>
      <c r="CZ110" s="46">
        <f t="shared" si="219"/>
        <v>0</v>
      </c>
      <c r="DA110" s="57"/>
    </row>
    <row r="111" spans="1:105" ht="31.5" x14ac:dyDescent="0.25">
      <c r="A111" s="80" t="s">
        <v>1</v>
      </c>
      <c r="B111" s="21" t="s">
        <v>92</v>
      </c>
      <c r="C111" s="22" t="s">
        <v>555</v>
      </c>
      <c r="D111" s="18">
        <f>SUM(E111+BZ111+CW111)</f>
        <v>4948468</v>
      </c>
      <c r="E111" s="19">
        <f>SUM(F111+BA111)</f>
        <v>4948468</v>
      </c>
      <c r="F111" s="19">
        <f>SUM(G111+H111+I111+P111+S111+T111+U111+AD111)</f>
        <v>4948468</v>
      </c>
      <c r="G111" s="23">
        <v>3891282</v>
      </c>
      <c r="H111" s="23">
        <v>967704</v>
      </c>
      <c r="I111" s="19">
        <f t="shared" si="112"/>
        <v>31347</v>
      </c>
      <c r="J111" s="19">
        <v>0</v>
      </c>
      <c r="K111" s="19">
        <v>0</v>
      </c>
      <c r="L111" s="19">
        <v>0</v>
      </c>
      <c r="M111" s="19"/>
      <c r="N111" s="23">
        <v>31347</v>
      </c>
      <c r="O111" s="19">
        <v>0</v>
      </c>
      <c r="P111" s="19">
        <f t="shared" si="113"/>
        <v>0</v>
      </c>
      <c r="Q111" s="19">
        <v>0</v>
      </c>
      <c r="R111" s="19">
        <v>0</v>
      </c>
      <c r="S111" s="19">
        <v>0</v>
      </c>
      <c r="T111" s="23">
        <v>26519</v>
      </c>
      <c r="U111" s="19">
        <f>SUM(V111:AC111)</f>
        <v>31616</v>
      </c>
      <c r="V111" s="19">
        <v>0</v>
      </c>
      <c r="W111" s="23">
        <f>7913+114</f>
        <v>8027</v>
      </c>
      <c r="X111" s="23">
        <v>23589</v>
      </c>
      <c r="Y111" s="23">
        <v>0</v>
      </c>
      <c r="Z111" s="19">
        <v>0</v>
      </c>
      <c r="AA111" s="19">
        <v>0</v>
      </c>
      <c r="AB111" s="19">
        <v>0</v>
      </c>
      <c r="AC111" s="19">
        <v>0</v>
      </c>
      <c r="AD111" s="19">
        <f>SUM(AE111:AZ111)</f>
        <v>0</v>
      </c>
      <c r="AE111" s="19">
        <v>0</v>
      </c>
      <c r="AF111" s="19">
        <v>0</v>
      </c>
      <c r="AG111" s="19">
        <v>0</v>
      </c>
      <c r="AH111" s="19"/>
      <c r="AI111" s="19">
        <v>0</v>
      </c>
      <c r="AJ111" s="19">
        <v>0</v>
      </c>
      <c r="AK111" s="19">
        <v>0</v>
      </c>
      <c r="AL111" s="19"/>
      <c r="AM111" s="19">
        <v>0</v>
      </c>
      <c r="AN111" s="19">
        <v>0</v>
      </c>
      <c r="AO111" s="19">
        <v>0</v>
      </c>
      <c r="AP111" s="19"/>
      <c r="AQ111" s="19">
        <v>0</v>
      </c>
      <c r="AR111" s="19">
        <v>0</v>
      </c>
      <c r="AS111" s="19">
        <v>0</v>
      </c>
      <c r="AT111" s="19"/>
      <c r="AU111" s="19"/>
      <c r="AV111" s="19">
        <v>0</v>
      </c>
      <c r="AW111" s="19">
        <v>0</v>
      </c>
      <c r="AX111" s="19">
        <v>0</v>
      </c>
      <c r="AY111" s="19"/>
      <c r="AZ111" s="19">
        <v>0</v>
      </c>
      <c r="BA111" s="19">
        <f>SUM(BB111+BF111+BI111+BK111+BN111)</f>
        <v>0</v>
      </c>
      <c r="BB111" s="19">
        <f>SUM(BC111:BE111)</f>
        <v>0</v>
      </c>
      <c r="BC111" s="19">
        <v>0</v>
      </c>
      <c r="BD111" s="19">
        <v>0</v>
      </c>
      <c r="BE111" s="19">
        <v>0</v>
      </c>
      <c r="BF111" s="19">
        <f>SUM(BH111:BH111)</f>
        <v>0</v>
      </c>
      <c r="BG111" s="19">
        <v>0</v>
      </c>
      <c r="BH111" s="19">
        <v>0</v>
      </c>
      <c r="BI111" s="19">
        <v>0</v>
      </c>
      <c r="BJ111" s="19">
        <v>0</v>
      </c>
      <c r="BK111" s="19">
        <f t="shared" si="114"/>
        <v>0</v>
      </c>
      <c r="BL111" s="19">
        <v>0</v>
      </c>
      <c r="BM111" s="19">
        <v>0</v>
      </c>
      <c r="BN111" s="19">
        <f>SUM(BO111:BY111)</f>
        <v>0</v>
      </c>
      <c r="BO111" s="19">
        <v>0</v>
      </c>
      <c r="BP111" s="19">
        <v>0</v>
      </c>
      <c r="BQ111" s="19">
        <v>0</v>
      </c>
      <c r="BR111" s="19">
        <v>0</v>
      </c>
      <c r="BS111" s="19">
        <v>0</v>
      </c>
      <c r="BT111" s="19">
        <v>0</v>
      </c>
      <c r="BU111" s="19">
        <v>0</v>
      </c>
      <c r="BV111" s="19">
        <v>0</v>
      </c>
      <c r="BW111" s="19">
        <v>0</v>
      </c>
      <c r="BX111" s="19">
        <v>0</v>
      </c>
      <c r="BY111" s="19">
        <v>0</v>
      </c>
      <c r="BZ111" s="19">
        <f>SUM(CA111+CS111)</f>
        <v>0</v>
      </c>
      <c r="CA111" s="19">
        <f>SUM(CB111+CE111+CK111)</f>
        <v>0</v>
      </c>
      <c r="CB111" s="19">
        <f t="shared" si="115"/>
        <v>0</v>
      </c>
      <c r="CC111" s="19">
        <v>0</v>
      </c>
      <c r="CD111" s="23"/>
      <c r="CE111" s="19">
        <f>SUM(CF111:CJ111)</f>
        <v>0</v>
      </c>
      <c r="CF111" s="19">
        <v>0</v>
      </c>
      <c r="CG111" s="19">
        <v>0</v>
      </c>
      <c r="CH111" s="19">
        <v>0</v>
      </c>
      <c r="CI111" s="19">
        <v>0</v>
      </c>
      <c r="CJ111" s="19">
        <v>0</v>
      </c>
      <c r="CK111" s="19">
        <f>SUM(CL111:CP111)</f>
        <v>0</v>
      </c>
      <c r="CL111" s="19">
        <v>0</v>
      </c>
      <c r="CM111" s="19">
        <v>0</v>
      </c>
      <c r="CN111" s="19">
        <v>0</v>
      </c>
      <c r="CO111" s="19"/>
      <c r="CP111" s="19"/>
      <c r="CQ111" s="19"/>
      <c r="CR111" s="19"/>
      <c r="CS111" s="19">
        <v>0</v>
      </c>
      <c r="CT111" s="19"/>
      <c r="CU111" s="19"/>
      <c r="CV111" s="19"/>
      <c r="CW111" s="19">
        <f t="shared" si="116"/>
        <v>0</v>
      </c>
      <c r="CX111" s="19">
        <f t="shared" si="117"/>
        <v>0</v>
      </c>
      <c r="CY111" s="19">
        <v>0</v>
      </c>
      <c r="CZ111" s="20">
        <v>0</v>
      </c>
    </row>
    <row r="112" spans="1:105" s="58" customFormat="1" ht="47.25" x14ac:dyDescent="0.25">
      <c r="A112" s="81" t="s">
        <v>203</v>
      </c>
      <c r="B112" s="25" t="s">
        <v>1</v>
      </c>
      <c r="C112" s="26" t="s">
        <v>204</v>
      </c>
      <c r="D112" s="27">
        <f t="shared" ref="D112:AS112" si="226">SUM(D113+D116+D118+D122)</f>
        <v>35905957</v>
      </c>
      <c r="E112" s="27">
        <f t="shared" si="226"/>
        <v>35905957</v>
      </c>
      <c r="F112" s="27">
        <f t="shared" si="226"/>
        <v>9348047</v>
      </c>
      <c r="G112" s="27">
        <f t="shared" si="226"/>
        <v>0</v>
      </c>
      <c r="H112" s="27">
        <f t="shared" si="226"/>
        <v>0</v>
      </c>
      <c r="I112" s="27">
        <f t="shared" si="226"/>
        <v>0</v>
      </c>
      <c r="J112" s="27">
        <f t="shared" si="226"/>
        <v>0</v>
      </c>
      <c r="K112" s="27">
        <f t="shared" si="226"/>
        <v>0</v>
      </c>
      <c r="L112" s="27">
        <f t="shared" si="226"/>
        <v>0</v>
      </c>
      <c r="M112" s="27">
        <f t="shared" si="226"/>
        <v>0</v>
      </c>
      <c r="N112" s="27">
        <f t="shared" si="226"/>
        <v>0</v>
      </c>
      <c r="O112" s="27">
        <f t="shared" si="226"/>
        <v>0</v>
      </c>
      <c r="P112" s="27">
        <f t="shared" si="226"/>
        <v>0</v>
      </c>
      <c r="Q112" s="27">
        <f t="shared" si="226"/>
        <v>0</v>
      </c>
      <c r="R112" s="27">
        <f t="shared" si="226"/>
        <v>0</v>
      </c>
      <c r="S112" s="27">
        <f t="shared" si="226"/>
        <v>0</v>
      </c>
      <c r="T112" s="27">
        <f t="shared" si="226"/>
        <v>0</v>
      </c>
      <c r="U112" s="27">
        <f t="shared" si="226"/>
        <v>0</v>
      </c>
      <c r="V112" s="27">
        <f t="shared" si="226"/>
        <v>0</v>
      </c>
      <c r="W112" s="27">
        <f t="shared" si="226"/>
        <v>0</v>
      </c>
      <c r="X112" s="27">
        <f t="shared" si="226"/>
        <v>0</v>
      </c>
      <c r="Y112" s="27">
        <f t="shared" si="226"/>
        <v>0</v>
      </c>
      <c r="Z112" s="27">
        <f t="shared" si="226"/>
        <v>0</v>
      </c>
      <c r="AA112" s="27">
        <f t="shared" si="226"/>
        <v>0</v>
      </c>
      <c r="AB112" s="27">
        <f t="shared" si="226"/>
        <v>0</v>
      </c>
      <c r="AC112" s="27">
        <f t="shared" si="226"/>
        <v>0</v>
      </c>
      <c r="AD112" s="27">
        <f t="shared" si="226"/>
        <v>9348047</v>
      </c>
      <c r="AE112" s="27">
        <f t="shared" si="226"/>
        <v>0</v>
      </c>
      <c r="AF112" s="27">
        <f t="shared" si="226"/>
        <v>0</v>
      </c>
      <c r="AG112" s="27">
        <f t="shared" si="226"/>
        <v>0</v>
      </c>
      <c r="AH112" s="27">
        <f t="shared" si="226"/>
        <v>0</v>
      </c>
      <c r="AI112" s="27">
        <f t="shared" si="226"/>
        <v>0</v>
      </c>
      <c r="AJ112" s="27">
        <f t="shared" si="226"/>
        <v>0</v>
      </c>
      <c r="AK112" s="27">
        <f t="shared" si="226"/>
        <v>0</v>
      </c>
      <c r="AL112" s="27">
        <f t="shared" si="226"/>
        <v>0</v>
      </c>
      <c r="AM112" s="27">
        <f t="shared" si="226"/>
        <v>0</v>
      </c>
      <c r="AN112" s="27">
        <f t="shared" si="226"/>
        <v>0</v>
      </c>
      <c r="AO112" s="27">
        <f t="shared" si="226"/>
        <v>0</v>
      </c>
      <c r="AP112" s="27"/>
      <c r="AQ112" s="27">
        <f t="shared" si="226"/>
        <v>0</v>
      </c>
      <c r="AR112" s="27">
        <f t="shared" si="226"/>
        <v>0</v>
      </c>
      <c r="AS112" s="27">
        <f t="shared" si="226"/>
        <v>0</v>
      </c>
      <c r="AT112" s="27"/>
      <c r="AU112" s="27"/>
      <c r="AV112" s="27">
        <f>SUM(AV113+AV116+AV118+AV122)</f>
        <v>0</v>
      </c>
      <c r="AW112" s="27">
        <f>SUM(AW113+AW116+AW118+AW122)</f>
        <v>0</v>
      </c>
      <c r="AX112" s="27">
        <f>SUM(AX113+AX116+AX118+AX122)</f>
        <v>0</v>
      </c>
      <c r="AY112" s="27"/>
      <c r="AZ112" s="27">
        <f t="shared" ref="AZ112:CN112" si="227">SUM(AZ113+AZ116+AZ118+AZ122)</f>
        <v>9348047</v>
      </c>
      <c r="BA112" s="27">
        <f t="shared" si="227"/>
        <v>26557910</v>
      </c>
      <c r="BB112" s="27">
        <f t="shared" si="227"/>
        <v>24307091</v>
      </c>
      <c r="BC112" s="27">
        <f t="shared" si="227"/>
        <v>0</v>
      </c>
      <c r="BD112" s="27">
        <f t="shared" si="227"/>
        <v>5582989</v>
      </c>
      <c r="BE112" s="27">
        <f t="shared" si="227"/>
        <v>18724102</v>
      </c>
      <c r="BF112" s="27">
        <f t="shared" si="227"/>
        <v>0</v>
      </c>
      <c r="BG112" s="27">
        <f t="shared" si="227"/>
        <v>0</v>
      </c>
      <c r="BH112" s="27">
        <f t="shared" si="227"/>
        <v>0</v>
      </c>
      <c r="BI112" s="27">
        <f t="shared" si="227"/>
        <v>0</v>
      </c>
      <c r="BJ112" s="27">
        <f t="shared" ref="BJ112" si="228">SUM(BJ113+BJ116+BJ118+BJ122)</f>
        <v>0</v>
      </c>
      <c r="BK112" s="27">
        <f t="shared" si="227"/>
        <v>2250819</v>
      </c>
      <c r="BL112" s="27">
        <f t="shared" si="227"/>
        <v>0</v>
      </c>
      <c r="BM112" s="27">
        <f t="shared" si="227"/>
        <v>2250819</v>
      </c>
      <c r="BN112" s="27">
        <f t="shared" si="227"/>
        <v>0</v>
      </c>
      <c r="BO112" s="27">
        <f t="shared" si="227"/>
        <v>0</v>
      </c>
      <c r="BP112" s="27">
        <f t="shared" si="227"/>
        <v>0</v>
      </c>
      <c r="BQ112" s="27">
        <f t="shared" si="227"/>
        <v>0</v>
      </c>
      <c r="BR112" s="27">
        <f t="shared" si="227"/>
        <v>0</v>
      </c>
      <c r="BS112" s="27">
        <f t="shared" si="227"/>
        <v>0</v>
      </c>
      <c r="BT112" s="27">
        <f t="shared" si="227"/>
        <v>0</v>
      </c>
      <c r="BU112" s="27">
        <f t="shared" si="227"/>
        <v>0</v>
      </c>
      <c r="BV112" s="27">
        <f t="shared" si="227"/>
        <v>0</v>
      </c>
      <c r="BW112" s="27">
        <f t="shared" si="227"/>
        <v>0</v>
      </c>
      <c r="BX112" s="27">
        <f t="shared" si="227"/>
        <v>0</v>
      </c>
      <c r="BY112" s="27">
        <f t="shared" si="227"/>
        <v>0</v>
      </c>
      <c r="BZ112" s="27">
        <f t="shared" si="227"/>
        <v>0</v>
      </c>
      <c r="CA112" s="27">
        <f t="shared" si="227"/>
        <v>0</v>
      </c>
      <c r="CB112" s="27">
        <f t="shared" si="227"/>
        <v>0</v>
      </c>
      <c r="CC112" s="27">
        <f t="shared" si="227"/>
        <v>0</v>
      </c>
      <c r="CD112" s="27">
        <f t="shared" si="227"/>
        <v>0</v>
      </c>
      <c r="CE112" s="27">
        <f t="shared" si="227"/>
        <v>0</v>
      </c>
      <c r="CF112" s="27">
        <f t="shared" si="227"/>
        <v>0</v>
      </c>
      <c r="CG112" s="27">
        <f t="shared" si="227"/>
        <v>0</v>
      </c>
      <c r="CH112" s="27">
        <f t="shared" si="227"/>
        <v>0</v>
      </c>
      <c r="CI112" s="27">
        <f t="shared" si="227"/>
        <v>0</v>
      </c>
      <c r="CJ112" s="27">
        <f t="shared" si="227"/>
        <v>0</v>
      </c>
      <c r="CK112" s="27">
        <f t="shared" si="227"/>
        <v>0</v>
      </c>
      <c r="CL112" s="27">
        <f t="shared" si="227"/>
        <v>0</v>
      </c>
      <c r="CM112" s="27">
        <f t="shared" si="227"/>
        <v>0</v>
      </c>
      <c r="CN112" s="27">
        <f t="shared" si="227"/>
        <v>0</v>
      </c>
      <c r="CO112" s="27"/>
      <c r="CP112" s="27"/>
      <c r="CQ112" s="27"/>
      <c r="CR112" s="27"/>
      <c r="CS112" s="27">
        <f>SUM(CS113+CS116+CS118+CS122)</f>
        <v>0</v>
      </c>
      <c r="CT112" s="27"/>
      <c r="CU112" s="27"/>
      <c r="CV112" s="27"/>
      <c r="CW112" s="27">
        <f>SUM(CW113+CW116+CW118+CW122)</f>
        <v>0</v>
      </c>
      <c r="CX112" s="27">
        <f>SUM(CX113+CX116+CX118+CX122)</f>
        <v>0</v>
      </c>
      <c r="CY112" s="27">
        <f>SUM(CY113+CY116+CY118+CY122)</f>
        <v>0</v>
      </c>
      <c r="CZ112" s="60">
        <f>SUM(CZ113+CZ116+CZ118+CZ122)</f>
        <v>0</v>
      </c>
      <c r="DA112" s="57"/>
    </row>
    <row r="113" spans="1:105" s="58" customFormat="1" ht="31.5" x14ac:dyDescent="0.25">
      <c r="A113" s="79" t="s">
        <v>205</v>
      </c>
      <c r="B113" s="16" t="s">
        <v>1</v>
      </c>
      <c r="C113" s="17" t="s">
        <v>588</v>
      </c>
      <c r="D113" s="18">
        <f>SUM(D114:D115)</f>
        <v>7833808</v>
      </c>
      <c r="E113" s="18">
        <f t="shared" ref="E113:BP113" si="229">SUM(E114:E115)</f>
        <v>7833808</v>
      </c>
      <c r="F113" s="18">
        <f t="shared" si="229"/>
        <v>0</v>
      </c>
      <c r="G113" s="18">
        <f t="shared" si="229"/>
        <v>0</v>
      </c>
      <c r="H113" s="18">
        <f t="shared" si="229"/>
        <v>0</v>
      </c>
      <c r="I113" s="18">
        <f t="shared" si="229"/>
        <v>0</v>
      </c>
      <c r="J113" s="18">
        <f t="shared" si="229"/>
        <v>0</v>
      </c>
      <c r="K113" s="18">
        <f t="shared" si="229"/>
        <v>0</v>
      </c>
      <c r="L113" s="18">
        <f t="shared" si="229"/>
        <v>0</v>
      </c>
      <c r="M113" s="18">
        <f t="shared" si="229"/>
        <v>0</v>
      </c>
      <c r="N113" s="18">
        <f t="shared" si="229"/>
        <v>0</v>
      </c>
      <c r="O113" s="18">
        <f t="shared" si="229"/>
        <v>0</v>
      </c>
      <c r="P113" s="18">
        <f t="shared" si="229"/>
        <v>0</v>
      </c>
      <c r="Q113" s="18">
        <f t="shared" si="229"/>
        <v>0</v>
      </c>
      <c r="R113" s="18">
        <f t="shared" si="229"/>
        <v>0</v>
      </c>
      <c r="S113" s="18">
        <f t="shared" si="229"/>
        <v>0</v>
      </c>
      <c r="T113" s="18">
        <f t="shared" si="229"/>
        <v>0</v>
      </c>
      <c r="U113" s="18">
        <f t="shared" si="229"/>
        <v>0</v>
      </c>
      <c r="V113" s="18">
        <f t="shared" si="229"/>
        <v>0</v>
      </c>
      <c r="W113" s="18">
        <f t="shared" si="229"/>
        <v>0</v>
      </c>
      <c r="X113" s="18">
        <f t="shared" si="229"/>
        <v>0</v>
      </c>
      <c r="Y113" s="18">
        <f t="shared" si="229"/>
        <v>0</v>
      </c>
      <c r="Z113" s="18">
        <f t="shared" si="229"/>
        <v>0</v>
      </c>
      <c r="AA113" s="18">
        <f t="shared" si="229"/>
        <v>0</v>
      </c>
      <c r="AB113" s="18">
        <f t="shared" si="229"/>
        <v>0</v>
      </c>
      <c r="AC113" s="18">
        <f t="shared" si="229"/>
        <v>0</v>
      </c>
      <c r="AD113" s="18">
        <f t="shared" si="229"/>
        <v>0</v>
      </c>
      <c r="AE113" s="18">
        <f t="shared" si="229"/>
        <v>0</v>
      </c>
      <c r="AF113" s="18">
        <f t="shared" si="229"/>
        <v>0</v>
      </c>
      <c r="AG113" s="18">
        <f t="shared" si="229"/>
        <v>0</v>
      </c>
      <c r="AH113" s="18">
        <f t="shared" si="229"/>
        <v>0</v>
      </c>
      <c r="AI113" s="18">
        <f t="shared" si="229"/>
        <v>0</v>
      </c>
      <c r="AJ113" s="18">
        <f t="shared" si="229"/>
        <v>0</v>
      </c>
      <c r="AK113" s="18">
        <f t="shared" si="229"/>
        <v>0</v>
      </c>
      <c r="AL113" s="18">
        <f t="shared" si="229"/>
        <v>0</v>
      </c>
      <c r="AM113" s="18">
        <f t="shared" si="229"/>
        <v>0</v>
      </c>
      <c r="AN113" s="18">
        <f t="shared" si="229"/>
        <v>0</v>
      </c>
      <c r="AO113" s="18">
        <f t="shared" si="229"/>
        <v>0</v>
      </c>
      <c r="AP113" s="18"/>
      <c r="AQ113" s="18">
        <f t="shared" si="229"/>
        <v>0</v>
      </c>
      <c r="AR113" s="18">
        <f t="shared" si="229"/>
        <v>0</v>
      </c>
      <c r="AS113" s="18">
        <f t="shared" si="229"/>
        <v>0</v>
      </c>
      <c r="AT113" s="18">
        <f t="shared" si="229"/>
        <v>0</v>
      </c>
      <c r="AU113" s="18">
        <f t="shared" si="229"/>
        <v>0</v>
      </c>
      <c r="AV113" s="18">
        <f t="shared" si="229"/>
        <v>0</v>
      </c>
      <c r="AW113" s="18">
        <f t="shared" si="229"/>
        <v>0</v>
      </c>
      <c r="AX113" s="18">
        <f t="shared" si="229"/>
        <v>0</v>
      </c>
      <c r="AY113" s="18"/>
      <c r="AZ113" s="18">
        <f t="shared" si="229"/>
        <v>0</v>
      </c>
      <c r="BA113" s="18">
        <f t="shared" si="229"/>
        <v>7833808</v>
      </c>
      <c r="BB113" s="18">
        <f t="shared" si="229"/>
        <v>5582989</v>
      </c>
      <c r="BC113" s="18">
        <f t="shared" si="229"/>
        <v>0</v>
      </c>
      <c r="BD113" s="18">
        <f t="shared" si="229"/>
        <v>5582989</v>
      </c>
      <c r="BE113" s="18">
        <f t="shared" si="229"/>
        <v>0</v>
      </c>
      <c r="BF113" s="18">
        <f t="shared" si="229"/>
        <v>0</v>
      </c>
      <c r="BG113" s="18">
        <f t="shared" si="229"/>
        <v>0</v>
      </c>
      <c r="BH113" s="18">
        <f t="shared" si="229"/>
        <v>0</v>
      </c>
      <c r="BI113" s="18">
        <f t="shared" si="229"/>
        <v>0</v>
      </c>
      <c r="BJ113" s="18">
        <f t="shared" ref="BJ113" si="230">SUM(BJ114:BJ115)</f>
        <v>0</v>
      </c>
      <c r="BK113" s="18">
        <f t="shared" si="229"/>
        <v>2250819</v>
      </c>
      <c r="BL113" s="18">
        <f t="shared" si="229"/>
        <v>0</v>
      </c>
      <c r="BM113" s="18">
        <f t="shared" si="229"/>
        <v>2250819</v>
      </c>
      <c r="BN113" s="18">
        <f t="shared" si="229"/>
        <v>0</v>
      </c>
      <c r="BO113" s="18">
        <f t="shared" si="229"/>
        <v>0</v>
      </c>
      <c r="BP113" s="18">
        <f t="shared" si="229"/>
        <v>0</v>
      </c>
      <c r="BQ113" s="18">
        <f t="shared" ref="BQ113:CZ113" si="231">SUM(BQ114:BQ115)</f>
        <v>0</v>
      </c>
      <c r="BR113" s="18">
        <f t="shared" si="231"/>
        <v>0</v>
      </c>
      <c r="BS113" s="18">
        <f t="shared" si="231"/>
        <v>0</v>
      </c>
      <c r="BT113" s="18">
        <f t="shared" si="231"/>
        <v>0</v>
      </c>
      <c r="BU113" s="18">
        <f t="shared" si="231"/>
        <v>0</v>
      </c>
      <c r="BV113" s="18">
        <f t="shared" si="231"/>
        <v>0</v>
      </c>
      <c r="BW113" s="18">
        <f t="shared" si="231"/>
        <v>0</v>
      </c>
      <c r="BX113" s="18">
        <f t="shared" si="231"/>
        <v>0</v>
      </c>
      <c r="BY113" s="18">
        <f t="shared" si="231"/>
        <v>0</v>
      </c>
      <c r="BZ113" s="18">
        <f t="shared" si="231"/>
        <v>0</v>
      </c>
      <c r="CA113" s="18">
        <f t="shared" si="231"/>
        <v>0</v>
      </c>
      <c r="CB113" s="18">
        <f t="shared" si="231"/>
        <v>0</v>
      </c>
      <c r="CC113" s="18">
        <f t="shared" si="231"/>
        <v>0</v>
      </c>
      <c r="CD113" s="18">
        <f t="shared" si="231"/>
        <v>0</v>
      </c>
      <c r="CE113" s="18">
        <f t="shared" si="231"/>
        <v>0</v>
      </c>
      <c r="CF113" s="18">
        <f t="shared" si="231"/>
        <v>0</v>
      </c>
      <c r="CG113" s="18">
        <f t="shared" ref="CG113:CH113" si="232">SUM(CG114:CG115)</f>
        <v>0</v>
      </c>
      <c r="CH113" s="18">
        <f t="shared" si="232"/>
        <v>0</v>
      </c>
      <c r="CI113" s="18">
        <f t="shared" si="231"/>
        <v>0</v>
      </c>
      <c r="CJ113" s="18">
        <f t="shared" ref="CJ113" si="233">SUM(CJ114:CJ115)</f>
        <v>0</v>
      </c>
      <c r="CK113" s="18">
        <f t="shared" si="231"/>
        <v>0</v>
      </c>
      <c r="CL113" s="18">
        <f t="shared" si="231"/>
        <v>0</v>
      </c>
      <c r="CM113" s="18">
        <f t="shared" ref="CM113" si="234">SUM(CM114:CM115)</f>
        <v>0</v>
      </c>
      <c r="CN113" s="18">
        <f t="shared" si="231"/>
        <v>0</v>
      </c>
      <c r="CO113" s="18">
        <f t="shared" ref="CO113" si="235">SUM(CO114:CO115)</f>
        <v>0</v>
      </c>
      <c r="CP113" s="18">
        <f t="shared" si="231"/>
        <v>0</v>
      </c>
      <c r="CQ113" s="18"/>
      <c r="CR113" s="18"/>
      <c r="CS113" s="18">
        <f t="shared" si="231"/>
        <v>0</v>
      </c>
      <c r="CT113" s="18"/>
      <c r="CU113" s="18"/>
      <c r="CV113" s="18"/>
      <c r="CW113" s="18">
        <f t="shared" si="231"/>
        <v>0</v>
      </c>
      <c r="CX113" s="18">
        <f t="shared" si="231"/>
        <v>0</v>
      </c>
      <c r="CY113" s="18">
        <f t="shared" si="231"/>
        <v>0</v>
      </c>
      <c r="CZ113" s="46">
        <f t="shared" si="231"/>
        <v>0</v>
      </c>
      <c r="DA113" s="57"/>
    </row>
    <row r="114" spans="1:105" ht="15.75" x14ac:dyDescent="0.25">
      <c r="A114" s="80" t="s">
        <v>1</v>
      </c>
      <c r="B114" s="21" t="s">
        <v>80</v>
      </c>
      <c r="C114" s="22" t="s">
        <v>206</v>
      </c>
      <c r="D114" s="18">
        <f>SUM(E114+BZ114+CW114)</f>
        <v>5582989</v>
      </c>
      <c r="E114" s="19">
        <f>SUM(F114+BA114)</f>
        <v>5582989</v>
      </c>
      <c r="F114" s="19">
        <f t="shared" ref="F114:F115" si="236">SUM(G114+H114+I114+P114+S114+T114+U114+AD114)</f>
        <v>0</v>
      </c>
      <c r="G114" s="19">
        <v>0</v>
      </c>
      <c r="H114" s="19">
        <v>0</v>
      </c>
      <c r="I114" s="19">
        <f t="shared" si="112"/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f t="shared" si="113"/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f>SUM(V114:AC114)</f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f>SUM(AE114:AZ114)</f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/>
      <c r="AQ114" s="19">
        <v>0</v>
      </c>
      <c r="AR114" s="19">
        <v>0</v>
      </c>
      <c r="AS114" s="19">
        <v>0</v>
      </c>
      <c r="AT114" s="19"/>
      <c r="AU114" s="19"/>
      <c r="AV114" s="19">
        <v>0</v>
      </c>
      <c r="AW114" s="19">
        <v>0</v>
      </c>
      <c r="AX114" s="19">
        <v>0</v>
      </c>
      <c r="AY114" s="19"/>
      <c r="AZ114" s="19">
        <v>0</v>
      </c>
      <c r="BA114" s="19">
        <f>SUM(BB114+BF114+BI114+BK114+BN114)</f>
        <v>5582989</v>
      </c>
      <c r="BB114" s="19">
        <f>SUM(BC114:BE114)</f>
        <v>5582989</v>
      </c>
      <c r="BC114" s="19">
        <v>0</v>
      </c>
      <c r="BD114" s="23">
        <v>5582989</v>
      </c>
      <c r="BE114" s="19">
        <v>0</v>
      </c>
      <c r="BF114" s="19">
        <f>SUM(BH114:BH114)</f>
        <v>0</v>
      </c>
      <c r="BG114" s="19">
        <v>0</v>
      </c>
      <c r="BH114" s="19">
        <v>0</v>
      </c>
      <c r="BI114" s="19">
        <v>0</v>
      </c>
      <c r="BJ114" s="19">
        <v>0</v>
      </c>
      <c r="BK114" s="19">
        <f t="shared" si="114"/>
        <v>0</v>
      </c>
      <c r="BL114" s="19">
        <v>0</v>
      </c>
      <c r="BM114" s="19">
        <v>0</v>
      </c>
      <c r="BN114" s="19">
        <f>SUM(BO114:BY114)</f>
        <v>0</v>
      </c>
      <c r="BO114" s="19">
        <v>0</v>
      </c>
      <c r="BP114" s="19">
        <v>0</v>
      </c>
      <c r="BQ114" s="19">
        <v>0</v>
      </c>
      <c r="BR114" s="19">
        <v>0</v>
      </c>
      <c r="BS114" s="19">
        <v>0</v>
      </c>
      <c r="BT114" s="19">
        <v>0</v>
      </c>
      <c r="BU114" s="19">
        <v>0</v>
      </c>
      <c r="BV114" s="19">
        <v>0</v>
      </c>
      <c r="BW114" s="19">
        <v>0</v>
      </c>
      <c r="BX114" s="19">
        <v>0</v>
      </c>
      <c r="BY114" s="19">
        <v>0</v>
      </c>
      <c r="BZ114" s="19">
        <f>SUM(CA114+CS114)</f>
        <v>0</v>
      </c>
      <c r="CA114" s="19">
        <f>SUM(CB114+CE114+CK114)</f>
        <v>0</v>
      </c>
      <c r="CB114" s="19">
        <f t="shared" si="115"/>
        <v>0</v>
      </c>
      <c r="CC114" s="19">
        <v>0</v>
      </c>
      <c r="CD114" s="19">
        <v>0</v>
      </c>
      <c r="CE114" s="19">
        <f>SUM(CF114:CJ114)</f>
        <v>0</v>
      </c>
      <c r="CF114" s="19">
        <v>0</v>
      </c>
      <c r="CG114" s="19">
        <v>0</v>
      </c>
      <c r="CH114" s="19">
        <v>0</v>
      </c>
      <c r="CI114" s="19">
        <v>0</v>
      </c>
      <c r="CJ114" s="19">
        <v>0</v>
      </c>
      <c r="CK114" s="19">
        <f>SUM(CL114:CP114)</f>
        <v>0</v>
      </c>
      <c r="CL114" s="19">
        <v>0</v>
      </c>
      <c r="CM114" s="19">
        <v>0</v>
      </c>
      <c r="CN114" s="19">
        <v>0</v>
      </c>
      <c r="CO114" s="19"/>
      <c r="CP114" s="19"/>
      <c r="CQ114" s="19"/>
      <c r="CR114" s="19"/>
      <c r="CS114" s="19">
        <v>0</v>
      </c>
      <c r="CT114" s="19"/>
      <c r="CU114" s="19"/>
      <c r="CV114" s="19"/>
      <c r="CW114" s="19">
        <f t="shared" si="116"/>
        <v>0</v>
      </c>
      <c r="CX114" s="19">
        <f t="shared" si="117"/>
        <v>0</v>
      </c>
      <c r="CY114" s="19">
        <v>0</v>
      </c>
      <c r="CZ114" s="20">
        <v>0</v>
      </c>
    </row>
    <row r="115" spans="1:105" ht="31.5" x14ac:dyDescent="0.25">
      <c r="A115" s="80" t="s">
        <v>1</v>
      </c>
      <c r="B115" s="21" t="s">
        <v>80</v>
      </c>
      <c r="C115" s="22" t="s">
        <v>473</v>
      </c>
      <c r="D115" s="18">
        <f>SUM(E115+BZ115+CW115)</f>
        <v>2250819</v>
      </c>
      <c r="E115" s="19">
        <f>SUM(F115+BA115)</f>
        <v>2250819</v>
      </c>
      <c r="F115" s="19">
        <f t="shared" si="236"/>
        <v>0</v>
      </c>
      <c r="G115" s="19">
        <v>0</v>
      </c>
      <c r="H115" s="19">
        <v>0</v>
      </c>
      <c r="I115" s="19">
        <f t="shared" ref="I115" si="237">SUM(J115:O115)</f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f t="shared" ref="P115" si="238">SUM(Q115:R115)</f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f>SUM(V115:AC115)</f>
        <v>0</v>
      </c>
      <c r="V115" s="19">
        <v>0</v>
      </c>
      <c r="W115" s="19">
        <v>0</v>
      </c>
      <c r="X115" s="19">
        <v>0</v>
      </c>
      <c r="Y115" s="19">
        <v>0</v>
      </c>
      <c r="Z115" s="19">
        <v>0</v>
      </c>
      <c r="AA115" s="19">
        <v>0</v>
      </c>
      <c r="AB115" s="19">
        <v>0</v>
      </c>
      <c r="AC115" s="19">
        <v>0</v>
      </c>
      <c r="AD115" s="19">
        <f>SUM(AE115:AZ115)</f>
        <v>0</v>
      </c>
      <c r="AE115" s="19">
        <v>0</v>
      </c>
      <c r="AF115" s="19">
        <v>0</v>
      </c>
      <c r="AG115" s="19">
        <v>0</v>
      </c>
      <c r="AH115" s="19">
        <v>0</v>
      </c>
      <c r="AI115" s="19">
        <v>0</v>
      </c>
      <c r="AJ115" s="19">
        <v>0</v>
      </c>
      <c r="AK115" s="19">
        <v>0</v>
      </c>
      <c r="AL115" s="19">
        <v>0</v>
      </c>
      <c r="AM115" s="19">
        <v>0</v>
      </c>
      <c r="AN115" s="19">
        <v>0</v>
      </c>
      <c r="AO115" s="19">
        <v>0</v>
      </c>
      <c r="AP115" s="19"/>
      <c r="AQ115" s="19">
        <v>0</v>
      </c>
      <c r="AR115" s="19">
        <v>0</v>
      </c>
      <c r="AS115" s="19">
        <v>0</v>
      </c>
      <c r="AT115" s="19"/>
      <c r="AU115" s="19"/>
      <c r="AV115" s="19">
        <v>0</v>
      </c>
      <c r="AW115" s="19">
        <v>0</v>
      </c>
      <c r="AX115" s="19">
        <v>0</v>
      </c>
      <c r="AY115" s="19"/>
      <c r="AZ115" s="19">
        <v>0</v>
      </c>
      <c r="BA115" s="19">
        <f>SUM(BB115+BF115+BI115+BK115+BN115)</f>
        <v>2250819</v>
      </c>
      <c r="BB115" s="19">
        <f>SUM(BC115:BE115)</f>
        <v>0</v>
      </c>
      <c r="BC115" s="19">
        <v>0</v>
      </c>
      <c r="BD115" s="19"/>
      <c r="BE115" s="19">
        <v>0</v>
      </c>
      <c r="BF115" s="19">
        <f>SUM(BH115:BH115)</f>
        <v>0</v>
      </c>
      <c r="BG115" s="19">
        <v>0</v>
      </c>
      <c r="BH115" s="19">
        <v>0</v>
      </c>
      <c r="BI115" s="19">
        <v>0</v>
      </c>
      <c r="BJ115" s="19">
        <v>0</v>
      </c>
      <c r="BK115" s="19">
        <f>SUM(BL115:BM115)</f>
        <v>2250819</v>
      </c>
      <c r="BL115" s="19">
        <v>0</v>
      </c>
      <c r="BM115" s="23">
        <v>2250819</v>
      </c>
      <c r="BN115" s="19">
        <f>SUM(BO115:BY115)</f>
        <v>0</v>
      </c>
      <c r="BO115" s="19">
        <v>0</v>
      </c>
      <c r="BP115" s="19">
        <v>0</v>
      </c>
      <c r="BQ115" s="19">
        <v>0</v>
      </c>
      <c r="BR115" s="19">
        <v>0</v>
      </c>
      <c r="BS115" s="19">
        <v>0</v>
      </c>
      <c r="BT115" s="19">
        <v>0</v>
      </c>
      <c r="BU115" s="19">
        <v>0</v>
      </c>
      <c r="BV115" s="19">
        <v>0</v>
      </c>
      <c r="BW115" s="19">
        <v>0</v>
      </c>
      <c r="BX115" s="19">
        <v>0</v>
      </c>
      <c r="BY115" s="19">
        <v>0</v>
      </c>
      <c r="BZ115" s="19">
        <f>SUM(CA115+CS115)</f>
        <v>0</v>
      </c>
      <c r="CA115" s="19">
        <f>SUM(CB115+CE115+CK115)</f>
        <v>0</v>
      </c>
      <c r="CB115" s="19">
        <f t="shared" ref="CB115" si="239">SUM(CC115:CD115)</f>
        <v>0</v>
      </c>
      <c r="CC115" s="19">
        <v>0</v>
      </c>
      <c r="CD115" s="19">
        <v>0</v>
      </c>
      <c r="CE115" s="19">
        <f>SUM(CF115:CJ115)</f>
        <v>0</v>
      </c>
      <c r="CF115" s="19">
        <v>0</v>
      </c>
      <c r="CG115" s="19">
        <v>0</v>
      </c>
      <c r="CH115" s="19">
        <v>0</v>
      </c>
      <c r="CI115" s="19">
        <v>0</v>
      </c>
      <c r="CJ115" s="19">
        <v>0</v>
      </c>
      <c r="CK115" s="19">
        <f>SUM(CL115:CP115)</f>
        <v>0</v>
      </c>
      <c r="CL115" s="19">
        <v>0</v>
      </c>
      <c r="CM115" s="19">
        <v>0</v>
      </c>
      <c r="CN115" s="19">
        <v>0</v>
      </c>
      <c r="CO115" s="19"/>
      <c r="CP115" s="19"/>
      <c r="CQ115" s="19"/>
      <c r="CR115" s="19"/>
      <c r="CS115" s="19">
        <v>0</v>
      </c>
      <c r="CT115" s="19"/>
      <c r="CU115" s="19"/>
      <c r="CV115" s="19"/>
      <c r="CW115" s="19">
        <f t="shared" ref="CW115" si="240">SUM(CX115)</f>
        <v>0</v>
      </c>
      <c r="CX115" s="19">
        <f t="shared" ref="CX115" si="241">SUM(CY115:CZ115)</f>
        <v>0</v>
      </c>
      <c r="CY115" s="19">
        <v>0</v>
      </c>
      <c r="CZ115" s="20">
        <v>0</v>
      </c>
    </row>
    <row r="116" spans="1:105" s="58" customFormat="1" ht="15.75" x14ac:dyDescent="0.25">
      <c r="A116" s="79" t="s">
        <v>207</v>
      </c>
      <c r="B116" s="16" t="s">
        <v>1</v>
      </c>
      <c r="C116" s="17" t="s">
        <v>208</v>
      </c>
      <c r="D116" s="18">
        <f t="shared" ref="D116:AX116" si="242">SUM(D117:D117)</f>
        <v>18724102</v>
      </c>
      <c r="E116" s="18">
        <f t="shared" si="242"/>
        <v>18724102</v>
      </c>
      <c r="F116" s="18">
        <f t="shared" si="242"/>
        <v>0</v>
      </c>
      <c r="G116" s="18">
        <f t="shared" si="242"/>
        <v>0</v>
      </c>
      <c r="H116" s="18">
        <f t="shared" si="242"/>
        <v>0</v>
      </c>
      <c r="I116" s="18">
        <f t="shared" si="242"/>
        <v>0</v>
      </c>
      <c r="J116" s="18">
        <f t="shared" si="242"/>
        <v>0</v>
      </c>
      <c r="K116" s="18">
        <f t="shared" si="242"/>
        <v>0</v>
      </c>
      <c r="L116" s="18">
        <f t="shared" si="242"/>
        <v>0</v>
      </c>
      <c r="M116" s="18">
        <f t="shared" si="242"/>
        <v>0</v>
      </c>
      <c r="N116" s="18">
        <f t="shared" si="242"/>
        <v>0</v>
      </c>
      <c r="O116" s="18">
        <f t="shared" si="242"/>
        <v>0</v>
      </c>
      <c r="P116" s="18">
        <f t="shared" si="242"/>
        <v>0</v>
      </c>
      <c r="Q116" s="18">
        <f t="shared" si="242"/>
        <v>0</v>
      </c>
      <c r="R116" s="18">
        <f t="shared" si="242"/>
        <v>0</v>
      </c>
      <c r="S116" s="18">
        <f t="shared" si="242"/>
        <v>0</v>
      </c>
      <c r="T116" s="18">
        <f t="shared" si="242"/>
        <v>0</v>
      </c>
      <c r="U116" s="18">
        <f t="shared" si="242"/>
        <v>0</v>
      </c>
      <c r="V116" s="18">
        <f t="shared" si="242"/>
        <v>0</v>
      </c>
      <c r="W116" s="18">
        <f t="shared" si="242"/>
        <v>0</v>
      </c>
      <c r="X116" s="18">
        <f t="shared" si="242"/>
        <v>0</v>
      </c>
      <c r="Y116" s="18">
        <f t="shared" si="242"/>
        <v>0</v>
      </c>
      <c r="Z116" s="18">
        <f t="shared" si="242"/>
        <v>0</v>
      </c>
      <c r="AA116" s="18">
        <f t="shared" si="242"/>
        <v>0</v>
      </c>
      <c r="AB116" s="18">
        <f t="shared" si="242"/>
        <v>0</v>
      </c>
      <c r="AC116" s="18">
        <f t="shared" si="242"/>
        <v>0</v>
      </c>
      <c r="AD116" s="18">
        <f t="shared" si="242"/>
        <v>0</v>
      </c>
      <c r="AE116" s="18">
        <f t="shared" si="242"/>
        <v>0</v>
      </c>
      <c r="AF116" s="18">
        <f t="shared" si="242"/>
        <v>0</v>
      </c>
      <c r="AG116" s="18">
        <f t="shared" si="242"/>
        <v>0</v>
      </c>
      <c r="AH116" s="18">
        <f t="shared" si="242"/>
        <v>0</v>
      </c>
      <c r="AI116" s="18">
        <f t="shared" si="242"/>
        <v>0</v>
      </c>
      <c r="AJ116" s="18">
        <f t="shared" si="242"/>
        <v>0</v>
      </c>
      <c r="AK116" s="18">
        <f t="shared" si="242"/>
        <v>0</v>
      </c>
      <c r="AL116" s="18">
        <f t="shared" si="242"/>
        <v>0</v>
      </c>
      <c r="AM116" s="18">
        <f t="shared" si="242"/>
        <v>0</v>
      </c>
      <c r="AN116" s="18">
        <f t="shared" si="242"/>
        <v>0</v>
      </c>
      <c r="AO116" s="18">
        <f t="shared" si="242"/>
        <v>0</v>
      </c>
      <c r="AP116" s="18"/>
      <c r="AQ116" s="18">
        <f t="shared" si="242"/>
        <v>0</v>
      </c>
      <c r="AR116" s="18">
        <f t="shared" si="242"/>
        <v>0</v>
      </c>
      <c r="AS116" s="18">
        <f t="shared" si="242"/>
        <v>0</v>
      </c>
      <c r="AT116" s="18">
        <f t="shared" si="242"/>
        <v>0</v>
      </c>
      <c r="AU116" s="18">
        <f t="shared" si="242"/>
        <v>0</v>
      </c>
      <c r="AV116" s="18">
        <f t="shared" si="242"/>
        <v>0</v>
      </c>
      <c r="AW116" s="18">
        <f t="shared" si="242"/>
        <v>0</v>
      </c>
      <c r="AX116" s="18">
        <f t="shared" si="242"/>
        <v>0</v>
      </c>
      <c r="AY116" s="18"/>
      <c r="AZ116" s="18">
        <f t="shared" ref="AZ116:CZ116" si="243">SUM(AZ117:AZ117)</f>
        <v>0</v>
      </c>
      <c r="BA116" s="18">
        <f t="shared" si="243"/>
        <v>18724102</v>
      </c>
      <c r="BB116" s="18">
        <f t="shared" si="243"/>
        <v>18724102</v>
      </c>
      <c r="BC116" s="18">
        <f t="shared" si="243"/>
        <v>0</v>
      </c>
      <c r="BD116" s="18">
        <f t="shared" si="243"/>
        <v>0</v>
      </c>
      <c r="BE116" s="18">
        <f t="shared" si="243"/>
        <v>18724102</v>
      </c>
      <c r="BF116" s="18">
        <f t="shared" si="243"/>
        <v>0</v>
      </c>
      <c r="BG116" s="18">
        <f t="shared" si="243"/>
        <v>0</v>
      </c>
      <c r="BH116" s="18">
        <f t="shared" si="243"/>
        <v>0</v>
      </c>
      <c r="BI116" s="18">
        <f t="shared" si="243"/>
        <v>0</v>
      </c>
      <c r="BJ116" s="18">
        <f t="shared" si="243"/>
        <v>0</v>
      </c>
      <c r="BK116" s="18">
        <f t="shared" si="243"/>
        <v>0</v>
      </c>
      <c r="BL116" s="18">
        <f t="shared" si="243"/>
        <v>0</v>
      </c>
      <c r="BM116" s="18">
        <f t="shared" si="243"/>
        <v>0</v>
      </c>
      <c r="BN116" s="18">
        <f t="shared" si="243"/>
        <v>0</v>
      </c>
      <c r="BO116" s="18">
        <f t="shared" si="243"/>
        <v>0</v>
      </c>
      <c r="BP116" s="18">
        <f t="shared" si="243"/>
        <v>0</v>
      </c>
      <c r="BQ116" s="18">
        <f t="shared" si="243"/>
        <v>0</v>
      </c>
      <c r="BR116" s="18">
        <f t="shared" si="243"/>
        <v>0</v>
      </c>
      <c r="BS116" s="18">
        <f t="shared" si="243"/>
        <v>0</v>
      </c>
      <c r="BT116" s="18">
        <f t="shared" si="243"/>
        <v>0</v>
      </c>
      <c r="BU116" s="18">
        <f t="shared" si="243"/>
        <v>0</v>
      </c>
      <c r="BV116" s="18">
        <f t="shared" si="243"/>
        <v>0</v>
      </c>
      <c r="BW116" s="18">
        <f t="shared" si="243"/>
        <v>0</v>
      </c>
      <c r="BX116" s="18">
        <f t="shared" si="243"/>
        <v>0</v>
      </c>
      <c r="BY116" s="18">
        <f t="shared" si="243"/>
        <v>0</v>
      </c>
      <c r="BZ116" s="18">
        <f t="shared" si="243"/>
        <v>0</v>
      </c>
      <c r="CA116" s="18">
        <f t="shared" si="243"/>
        <v>0</v>
      </c>
      <c r="CB116" s="18">
        <f t="shared" si="243"/>
        <v>0</v>
      </c>
      <c r="CC116" s="18">
        <f t="shared" si="243"/>
        <v>0</v>
      </c>
      <c r="CD116" s="18">
        <f t="shared" si="243"/>
        <v>0</v>
      </c>
      <c r="CE116" s="18">
        <f t="shared" si="243"/>
        <v>0</v>
      </c>
      <c r="CF116" s="18">
        <f t="shared" si="243"/>
        <v>0</v>
      </c>
      <c r="CG116" s="18">
        <f t="shared" si="243"/>
        <v>0</v>
      </c>
      <c r="CH116" s="18">
        <f t="shared" si="243"/>
        <v>0</v>
      </c>
      <c r="CI116" s="18">
        <f t="shared" si="243"/>
        <v>0</v>
      </c>
      <c r="CJ116" s="18">
        <f t="shared" si="243"/>
        <v>0</v>
      </c>
      <c r="CK116" s="18">
        <f t="shared" si="243"/>
        <v>0</v>
      </c>
      <c r="CL116" s="18">
        <f t="shared" si="243"/>
        <v>0</v>
      </c>
      <c r="CM116" s="18">
        <f t="shared" si="243"/>
        <v>0</v>
      </c>
      <c r="CN116" s="18">
        <f t="shared" si="243"/>
        <v>0</v>
      </c>
      <c r="CO116" s="18">
        <f t="shared" si="243"/>
        <v>0</v>
      </c>
      <c r="CP116" s="18">
        <f t="shared" si="243"/>
        <v>0</v>
      </c>
      <c r="CQ116" s="18"/>
      <c r="CR116" s="18"/>
      <c r="CS116" s="18">
        <f t="shared" si="243"/>
        <v>0</v>
      </c>
      <c r="CT116" s="18"/>
      <c r="CU116" s="18"/>
      <c r="CV116" s="18"/>
      <c r="CW116" s="18">
        <f t="shared" si="243"/>
        <v>0</v>
      </c>
      <c r="CX116" s="18">
        <f t="shared" si="243"/>
        <v>0</v>
      </c>
      <c r="CY116" s="18">
        <f t="shared" si="243"/>
        <v>0</v>
      </c>
      <c r="CZ116" s="46">
        <f t="shared" si="243"/>
        <v>0</v>
      </c>
      <c r="DA116" s="57"/>
    </row>
    <row r="117" spans="1:105" ht="36.75" customHeight="1" x14ac:dyDescent="0.25">
      <c r="A117" s="80"/>
      <c r="B117" s="21" t="s">
        <v>104</v>
      </c>
      <c r="C117" s="32" t="s">
        <v>209</v>
      </c>
      <c r="D117" s="18">
        <f>SUM(E117+BZ117+CW117)</f>
        <v>18724102</v>
      </c>
      <c r="E117" s="19">
        <f>SUM(F117+BA117)</f>
        <v>18724102</v>
      </c>
      <c r="F117" s="19">
        <f>SUM(G117+H117+I117+P117+S117+T117+U117+AD117)</f>
        <v>0</v>
      </c>
      <c r="G117" s="19">
        <v>0</v>
      </c>
      <c r="H117" s="19">
        <v>0</v>
      </c>
      <c r="I117" s="19">
        <f t="shared" ref="I117" si="244">SUM(J117:O117)</f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f t="shared" ref="P117" si="245">SUM(Q117:R117)</f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f>SUM(V117:AC117)</f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9">
        <v>0</v>
      </c>
      <c r="AB117" s="19">
        <v>0</v>
      </c>
      <c r="AC117" s="19">
        <v>0</v>
      </c>
      <c r="AD117" s="19">
        <f>SUM(AE117:AZ117)</f>
        <v>0</v>
      </c>
      <c r="AE117" s="19">
        <v>0</v>
      </c>
      <c r="AF117" s="19">
        <v>0</v>
      </c>
      <c r="AG117" s="19">
        <v>0</v>
      </c>
      <c r="AH117" s="19">
        <v>0</v>
      </c>
      <c r="AI117" s="19">
        <v>0</v>
      </c>
      <c r="AJ117" s="19">
        <v>0</v>
      </c>
      <c r="AK117" s="19">
        <v>0</v>
      </c>
      <c r="AL117" s="19">
        <v>0</v>
      </c>
      <c r="AM117" s="19">
        <v>0</v>
      </c>
      <c r="AN117" s="19">
        <v>0</v>
      </c>
      <c r="AO117" s="19">
        <v>0</v>
      </c>
      <c r="AP117" s="19"/>
      <c r="AQ117" s="19">
        <v>0</v>
      </c>
      <c r="AR117" s="19">
        <v>0</v>
      </c>
      <c r="AS117" s="19">
        <v>0</v>
      </c>
      <c r="AT117" s="19"/>
      <c r="AU117" s="19"/>
      <c r="AV117" s="19">
        <v>0</v>
      </c>
      <c r="AW117" s="19">
        <v>0</v>
      </c>
      <c r="AX117" s="19">
        <v>0</v>
      </c>
      <c r="AY117" s="19"/>
      <c r="AZ117" s="19">
        <v>0</v>
      </c>
      <c r="BA117" s="19">
        <f>SUM(BB117+BF117+BI117+BK117+BN117)</f>
        <v>18724102</v>
      </c>
      <c r="BB117" s="19">
        <f>SUM(BC117:BE117)</f>
        <v>18724102</v>
      </c>
      <c r="BC117" s="19">
        <v>0</v>
      </c>
      <c r="BD117" s="19">
        <v>0</v>
      </c>
      <c r="BE117" s="23">
        <v>18724102</v>
      </c>
      <c r="BF117" s="19">
        <f>SUM(BH117:BH117)</f>
        <v>0</v>
      </c>
      <c r="BG117" s="19">
        <v>0</v>
      </c>
      <c r="BH117" s="19">
        <v>0</v>
      </c>
      <c r="BI117" s="19">
        <v>0</v>
      </c>
      <c r="BJ117" s="19">
        <v>0</v>
      </c>
      <c r="BK117" s="19">
        <f t="shared" ref="BK117" si="246">SUM(BL117)</f>
        <v>0</v>
      </c>
      <c r="BL117" s="19">
        <v>0</v>
      </c>
      <c r="BM117" s="19">
        <v>0</v>
      </c>
      <c r="BN117" s="19">
        <f>SUM(BO117:BY117)</f>
        <v>0</v>
      </c>
      <c r="BO117" s="19">
        <v>0</v>
      </c>
      <c r="BP117" s="19">
        <v>0</v>
      </c>
      <c r="BQ117" s="19">
        <v>0</v>
      </c>
      <c r="BR117" s="19">
        <v>0</v>
      </c>
      <c r="BS117" s="19">
        <v>0</v>
      </c>
      <c r="BT117" s="19">
        <v>0</v>
      </c>
      <c r="BU117" s="19">
        <v>0</v>
      </c>
      <c r="BV117" s="19">
        <v>0</v>
      </c>
      <c r="BW117" s="19">
        <v>0</v>
      </c>
      <c r="BX117" s="19">
        <v>0</v>
      </c>
      <c r="BY117" s="19">
        <v>0</v>
      </c>
      <c r="BZ117" s="19">
        <f>SUM(CA117+CS117)</f>
        <v>0</v>
      </c>
      <c r="CA117" s="19">
        <f>SUM(CB117+CE117+CK117)</f>
        <v>0</v>
      </c>
      <c r="CB117" s="19">
        <f t="shared" ref="CB117" si="247">SUM(CC117:CD117)</f>
        <v>0</v>
      </c>
      <c r="CC117" s="19">
        <v>0</v>
      </c>
      <c r="CD117" s="19">
        <v>0</v>
      </c>
      <c r="CE117" s="19">
        <f>SUM(CF117:CJ117)</f>
        <v>0</v>
      </c>
      <c r="CF117" s="19">
        <v>0</v>
      </c>
      <c r="CG117" s="19">
        <v>0</v>
      </c>
      <c r="CH117" s="19">
        <v>0</v>
      </c>
      <c r="CI117" s="19">
        <v>0</v>
      </c>
      <c r="CJ117" s="19">
        <v>0</v>
      </c>
      <c r="CK117" s="19">
        <f>SUM(CL117:CP117)</f>
        <v>0</v>
      </c>
      <c r="CL117" s="19">
        <v>0</v>
      </c>
      <c r="CM117" s="19">
        <v>0</v>
      </c>
      <c r="CN117" s="19">
        <v>0</v>
      </c>
      <c r="CO117" s="19"/>
      <c r="CP117" s="19"/>
      <c r="CQ117" s="19"/>
      <c r="CR117" s="19"/>
      <c r="CS117" s="19">
        <v>0</v>
      </c>
      <c r="CT117" s="19"/>
      <c r="CU117" s="19"/>
      <c r="CV117" s="19"/>
      <c r="CW117" s="19">
        <f t="shared" ref="CW117" si="248">SUM(CX117)</f>
        <v>0</v>
      </c>
      <c r="CX117" s="19">
        <f t="shared" ref="CX117" si="249">SUM(CY117:CZ117)</f>
        <v>0</v>
      </c>
      <c r="CY117" s="19">
        <v>0</v>
      </c>
      <c r="CZ117" s="20">
        <v>0</v>
      </c>
    </row>
    <row r="118" spans="1:105" s="58" customFormat="1" ht="15.75" x14ac:dyDescent="0.25">
      <c r="A118" s="79" t="s">
        <v>210</v>
      </c>
      <c r="B118" s="16" t="s">
        <v>1</v>
      </c>
      <c r="C118" s="17" t="s">
        <v>211</v>
      </c>
      <c r="D118" s="18">
        <f t="shared" ref="D118:AH118" si="250">SUM(D119:D121)</f>
        <v>7845910</v>
      </c>
      <c r="E118" s="18">
        <f t="shared" si="250"/>
        <v>7845910</v>
      </c>
      <c r="F118" s="18">
        <f t="shared" si="250"/>
        <v>7845910</v>
      </c>
      <c r="G118" s="18">
        <f t="shared" si="250"/>
        <v>0</v>
      </c>
      <c r="H118" s="18">
        <f t="shared" si="250"/>
        <v>0</v>
      </c>
      <c r="I118" s="18">
        <f t="shared" si="250"/>
        <v>0</v>
      </c>
      <c r="J118" s="18">
        <f t="shared" si="250"/>
        <v>0</v>
      </c>
      <c r="K118" s="18">
        <f t="shared" si="250"/>
        <v>0</v>
      </c>
      <c r="L118" s="18">
        <f t="shared" si="250"/>
        <v>0</v>
      </c>
      <c r="M118" s="18">
        <f t="shared" si="250"/>
        <v>0</v>
      </c>
      <c r="N118" s="18">
        <f t="shared" si="250"/>
        <v>0</v>
      </c>
      <c r="O118" s="18">
        <f t="shared" si="250"/>
        <v>0</v>
      </c>
      <c r="P118" s="18">
        <f t="shared" si="250"/>
        <v>0</v>
      </c>
      <c r="Q118" s="18">
        <f t="shared" si="250"/>
        <v>0</v>
      </c>
      <c r="R118" s="18">
        <f t="shared" si="250"/>
        <v>0</v>
      </c>
      <c r="S118" s="18">
        <f t="shared" si="250"/>
        <v>0</v>
      </c>
      <c r="T118" s="18">
        <f t="shared" si="250"/>
        <v>0</v>
      </c>
      <c r="U118" s="18">
        <f t="shared" si="250"/>
        <v>0</v>
      </c>
      <c r="V118" s="18">
        <f t="shared" si="250"/>
        <v>0</v>
      </c>
      <c r="W118" s="18">
        <f t="shared" si="250"/>
        <v>0</v>
      </c>
      <c r="X118" s="18">
        <f t="shared" si="250"/>
        <v>0</v>
      </c>
      <c r="Y118" s="18">
        <f t="shared" si="250"/>
        <v>0</v>
      </c>
      <c r="Z118" s="18">
        <f t="shared" si="250"/>
        <v>0</v>
      </c>
      <c r="AA118" s="18">
        <f t="shared" si="250"/>
        <v>0</v>
      </c>
      <c r="AB118" s="18">
        <f t="shared" si="250"/>
        <v>0</v>
      </c>
      <c r="AC118" s="18">
        <f t="shared" si="250"/>
        <v>0</v>
      </c>
      <c r="AD118" s="18">
        <f t="shared" si="250"/>
        <v>7845910</v>
      </c>
      <c r="AE118" s="18">
        <f t="shared" si="250"/>
        <v>0</v>
      </c>
      <c r="AF118" s="18">
        <f t="shared" si="250"/>
        <v>0</v>
      </c>
      <c r="AG118" s="18">
        <f t="shared" si="250"/>
        <v>0</v>
      </c>
      <c r="AH118" s="18">
        <f t="shared" si="250"/>
        <v>0</v>
      </c>
      <c r="AI118" s="18">
        <f t="shared" ref="AI118:BP118" si="251">SUM(AI119:AI121)</f>
        <v>0</v>
      </c>
      <c r="AJ118" s="18">
        <f t="shared" si="251"/>
        <v>0</v>
      </c>
      <c r="AK118" s="18">
        <f t="shared" si="251"/>
        <v>0</v>
      </c>
      <c r="AL118" s="18">
        <f t="shared" si="251"/>
        <v>0</v>
      </c>
      <c r="AM118" s="18">
        <f t="shared" si="251"/>
        <v>0</v>
      </c>
      <c r="AN118" s="18">
        <f t="shared" si="251"/>
        <v>0</v>
      </c>
      <c r="AO118" s="18">
        <f t="shared" si="251"/>
        <v>0</v>
      </c>
      <c r="AP118" s="18"/>
      <c r="AQ118" s="18">
        <f t="shared" si="251"/>
        <v>0</v>
      </c>
      <c r="AR118" s="18">
        <f t="shared" si="251"/>
        <v>0</v>
      </c>
      <c r="AS118" s="18">
        <f t="shared" si="251"/>
        <v>0</v>
      </c>
      <c r="AT118" s="18">
        <f t="shared" si="251"/>
        <v>0</v>
      </c>
      <c r="AU118" s="18">
        <f t="shared" si="251"/>
        <v>0</v>
      </c>
      <c r="AV118" s="18">
        <f t="shared" si="251"/>
        <v>0</v>
      </c>
      <c r="AW118" s="18">
        <f t="shared" si="251"/>
        <v>0</v>
      </c>
      <c r="AX118" s="18">
        <f t="shared" si="251"/>
        <v>0</v>
      </c>
      <c r="AY118" s="18">
        <f t="shared" si="251"/>
        <v>0</v>
      </c>
      <c r="AZ118" s="18">
        <f t="shared" si="251"/>
        <v>7845910</v>
      </c>
      <c r="BA118" s="18">
        <f t="shared" si="251"/>
        <v>0</v>
      </c>
      <c r="BB118" s="18">
        <f t="shared" si="251"/>
        <v>0</v>
      </c>
      <c r="BC118" s="18">
        <f t="shared" si="251"/>
        <v>0</v>
      </c>
      <c r="BD118" s="18">
        <f t="shared" si="251"/>
        <v>0</v>
      </c>
      <c r="BE118" s="18">
        <f t="shared" si="251"/>
        <v>0</v>
      </c>
      <c r="BF118" s="18">
        <f t="shared" si="251"/>
        <v>0</v>
      </c>
      <c r="BG118" s="18">
        <f t="shared" si="251"/>
        <v>0</v>
      </c>
      <c r="BH118" s="18">
        <f t="shared" si="251"/>
        <v>0</v>
      </c>
      <c r="BI118" s="18">
        <f t="shared" si="251"/>
        <v>0</v>
      </c>
      <c r="BJ118" s="18">
        <f t="shared" ref="BJ118" si="252">SUM(BJ119:BJ121)</f>
        <v>0</v>
      </c>
      <c r="BK118" s="18">
        <f t="shared" si="251"/>
        <v>0</v>
      </c>
      <c r="BL118" s="18">
        <f t="shared" si="251"/>
        <v>0</v>
      </c>
      <c r="BM118" s="18">
        <f t="shared" si="251"/>
        <v>0</v>
      </c>
      <c r="BN118" s="18">
        <f t="shared" si="251"/>
        <v>0</v>
      </c>
      <c r="BO118" s="18">
        <f t="shared" si="251"/>
        <v>0</v>
      </c>
      <c r="BP118" s="18">
        <f t="shared" si="251"/>
        <v>0</v>
      </c>
      <c r="BQ118" s="18">
        <f t="shared" ref="BQ118:CZ118" si="253">SUM(BQ119:BQ121)</f>
        <v>0</v>
      </c>
      <c r="BR118" s="18">
        <f t="shared" si="253"/>
        <v>0</v>
      </c>
      <c r="BS118" s="18">
        <f t="shared" si="253"/>
        <v>0</v>
      </c>
      <c r="BT118" s="18">
        <f t="shared" si="253"/>
        <v>0</v>
      </c>
      <c r="BU118" s="18">
        <f t="shared" si="253"/>
        <v>0</v>
      </c>
      <c r="BV118" s="18">
        <f t="shared" si="253"/>
        <v>0</v>
      </c>
      <c r="BW118" s="18">
        <f t="shared" si="253"/>
        <v>0</v>
      </c>
      <c r="BX118" s="18">
        <f t="shared" si="253"/>
        <v>0</v>
      </c>
      <c r="BY118" s="18">
        <f t="shared" si="253"/>
        <v>0</v>
      </c>
      <c r="BZ118" s="18">
        <f t="shared" si="253"/>
        <v>0</v>
      </c>
      <c r="CA118" s="18">
        <f t="shared" si="253"/>
        <v>0</v>
      </c>
      <c r="CB118" s="18">
        <f t="shared" si="253"/>
        <v>0</v>
      </c>
      <c r="CC118" s="18">
        <f t="shared" si="253"/>
        <v>0</v>
      </c>
      <c r="CD118" s="18">
        <f t="shared" si="253"/>
        <v>0</v>
      </c>
      <c r="CE118" s="18">
        <f t="shared" si="253"/>
        <v>0</v>
      </c>
      <c r="CF118" s="18">
        <f t="shared" si="253"/>
        <v>0</v>
      </c>
      <c r="CG118" s="18">
        <f t="shared" si="253"/>
        <v>0</v>
      </c>
      <c r="CH118" s="18">
        <f t="shared" si="253"/>
        <v>0</v>
      </c>
      <c r="CI118" s="18">
        <f t="shared" si="253"/>
        <v>0</v>
      </c>
      <c r="CJ118" s="18">
        <f t="shared" si="253"/>
        <v>0</v>
      </c>
      <c r="CK118" s="18">
        <f t="shared" si="253"/>
        <v>0</v>
      </c>
      <c r="CL118" s="18">
        <f t="shared" si="253"/>
        <v>0</v>
      </c>
      <c r="CM118" s="18">
        <f t="shared" si="253"/>
        <v>0</v>
      </c>
      <c r="CN118" s="18">
        <f t="shared" si="253"/>
        <v>0</v>
      </c>
      <c r="CO118" s="18">
        <f t="shared" si="253"/>
        <v>0</v>
      </c>
      <c r="CP118" s="18">
        <f t="shared" si="253"/>
        <v>0</v>
      </c>
      <c r="CQ118" s="18"/>
      <c r="CR118" s="18"/>
      <c r="CS118" s="18">
        <f t="shared" si="253"/>
        <v>0</v>
      </c>
      <c r="CT118" s="18"/>
      <c r="CU118" s="18"/>
      <c r="CV118" s="18"/>
      <c r="CW118" s="18">
        <f t="shared" si="253"/>
        <v>0</v>
      </c>
      <c r="CX118" s="18">
        <f t="shared" si="253"/>
        <v>0</v>
      </c>
      <c r="CY118" s="18">
        <f t="shared" si="253"/>
        <v>0</v>
      </c>
      <c r="CZ118" s="46">
        <f t="shared" si="253"/>
        <v>0</v>
      </c>
      <c r="DA118" s="57"/>
    </row>
    <row r="119" spans="1:105" ht="31.5" x14ac:dyDescent="0.25">
      <c r="A119" s="80"/>
      <c r="B119" s="21" t="s">
        <v>80</v>
      </c>
      <c r="C119" s="32" t="s">
        <v>520</v>
      </c>
      <c r="D119" s="18">
        <f>SUM(E119+BZ119+CW119)</f>
        <v>961971</v>
      </c>
      <c r="E119" s="19">
        <f>SUM(F119+BA119)</f>
        <v>961971</v>
      </c>
      <c r="F119" s="19">
        <f t="shared" ref="F119:F121" si="254">SUM(G119+H119+I119+P119+S119+T119+U119+AD119)</f>
        <v>961971</v>
      </c>
      <c r="G119" s="19">
        <v>0</v>
      </c>
      <c r="H119" s="19">
        <v>0</v>
      </c>
      <c r="I119" s="19">
        <f t="shared" ref="I119:I121" si="255">SUM(J119:O119)</f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f t="shared" ref="P119:P121" si="256">SUM(Q119:R119)</f>
        <v>0</v>
      </c>
      <c r="Q119" s="19">
        <v>0</v>
      </c>
      <c r="R119" s="19">
        <v>0</v>
      </c>
      <c r="S119" s="19">
        <v>0</v>
      </c>
      <c r="T119" s="19">
        <v>0</v>
      </c>
      <c r="U119" s="19">
        <f t="shared" ref="U119:U121" si="257">SUM(V119:AC119)</f>
        <v>0</v>
      </c>
      <c r="V119" s="19">
        <v>0</v>
      </c>
      <c r="W119" s="19">
        <v>0</v>
      </c>
      <c r="X119" s="19">
        <v>0</v>
      </c>
      <c r="Y119" s="19">
        <v>0</v>
      </c>
      <c r="Z119" s="19">
        <v>0</v>
      </c>
      <c r="AA119" s="19">
        <v>0</v>
      </c>
      <c r="AB119" s="19">
        <v>0</v>
      </c>
      <c r="AC119" s="19">
        <v>0</v>
      </c>
      <c r="AD119" s="19">
        <f>SUM(AE119:AZ119)</f>
        <v>961971</v>
      </c>
      <c r="AE119" s="19">
        <v>0</v>
      </c>
      <c r="AF119" s="19">
        <v>0</v>
      </c>
      <c r="AG119" s="19">
        <v>0</v>
      </c>
      <c r="AH119" s="19">
        <v>0</v>
      </c>
      <c r="AI119" s="19">
        <v>0</v>
      </c>
      <c r="AJ119" s="19">
        <v>0</v>
      </c>
      <c r="AK119" s="19">
        <v>0</v>
      </c>
      <c r="AL119" s="19">
        <v>0</v>
      </c>
      <c r="AM119" s="19">
        <v>0</v>
      </c>
      <c r="AN119" s="19">
        <v>0</v>
      </c>
      <c r="AO119" s="19">
        <v>0</v>
      </c>
      <c r="AP119" s="19"/>
      <c r="AQ119" s="19">
        <v>0</v>
      </c>
      <c r="AR119" s="19">
        <v>0</v>
      </c>
      <c r="AS119" s="19">
        <v>0</v>
      </c>
      <c r="AT119" s="19">
        <v>0</v>
      </c>
      <c r="AU119" s="19">
        <v>0</v>
      </c>
      <c r="AV119" s="19">
        <v>0</v>
      </c>
      <c r="AW119" s="19">
        <v>0</v>
      </c>
      <c r="AX119" s="19">
        <v>0</v>
      </c>
      <c r="AY119" s="19">
        <v>0</v>
      </c>
      <c r="AZ119" s="19">
        <v>961971</v>
      </c>
      <c r="BA119" s="19">
        <f>SUM(BB119+BF119+BI119+BK119+BN119)</f>
        <v>0</v>
      </c>
      <c r="BB119" s="19">
        <f t="shared" ref="BB119:BB121" si="258">SUM(BC119:BE119)</f>
        <v>0</v>
      </c>
      <c r="BC119" s="19">
        <v>0</v>
      </c>
      <c r="BD119" s="19">
        <v>0</v>
      </c>
      <c r="BE119" s="23"/>
      <c r="BF119" s="19">
        <f t="shared" ref="BF119:BF121" si="259">SUM(BH119:BH119)</f>
        <v>0</v>
      </c>
      <c r="BG119" s="19">
        <v>0</v>
      </c>
      <c r="BH119" s="19">
        <v>0</v>
      </c>
      <c r="BI119" s="19">
        <v>0</v>
      </c>
      <c r="BJ119" s="19">
        <v>0</v>
      </c>
      <c r="BK119" s="19">
        <f t="shared" ref="BK119:BK121" si="260">SUM(BL119)</f>
        <v>0</v>
      </c>
      <c r="BL119" s="19">
        <v>0</v>
      </c>
      <c r="BM119" s="19">
        <v>0</v>
      </c>
      <c r="BN119" s="19">
        <f t="shared" ref="BN119:BN121" si="261">SUM(BO119:BY119)</f>
        <v>0</v>
      </c>
      <c r="BO119" s="19">
        <v>0</v>
      </c>
      <c r="BP119" s="19">
        <v>0</v>
      </c>
      <c r="BQ119" s="19">
        <v>0</v>
      </c>
      <c r="BR119" s="19">
        <v>0</v>
      </c>
      <c r="BS119" s="19">
        <v>0</v>
      </c>
      <c r="BT119" s="19">
        <v>0</v>
      </c>
      <c r="BU119" s="19">
        <v>0</v>
      </c>
      <c r="BV119" s="19">
        <v>0</v>
      </c>
      <c r="BW119" s="19">
        <v>0</v>
      </c>
      <c r="BX119" s="19">
        <v>0</v>
      </c>
      <c r="BY119" s="19">
        <v>0</v>
      </c>
      <c r="BZ119" s="19">
        <f>SUM(CA119+CS119)</f>
        <v>0</v>
      </c>
      <c r="CA119" s="19">
        <f>SUM(CB119+CE119+CK119)</f>
        <v>0</v>
      </c>
      <c r="CB119" s="19">
        <f t="shared" ref="CB119:CB121" si="262">SUM(CC119:CD119)</f>
        <v>0</v>
      </c>
      <c r="CC119" s="19">
        <v>0</v>
      </c>
      <c r="CD119" s="19">
        <v>0</v>
      </c>
      <c r="CE119" s="19">
        <f>SUM(CF119:CJ119)</f>
        <v>0</v>
      </c>
      <c r="CF119" s="19">
        <v>0</v>
      </c>
      <c r="CG119" s="19">
        <v>0</v>
      </c>
      <c r="CH119" s="19">
        <v>0</v>
      </c>
      <c r="CI119" s="19">
        <v>0</v>
      </c>
      <c r="CJ119" s="19">
        <v>0</v>
      </c>
      <c r="CK119" s="19">
        <f t="shared" ref="CK119:CK121" si="263">SUM(CL119:CP119)</f>
        <v>0</v>
      </c>
      <c r="CL119" s="19">
        <v>0</v>
      </c>
      <c r="CM119" s="19">
        <v>0</v>
      </c>
      <c r="CN119" s="19">
        <v>0</v>
      </c>
      <c r="CO119" s="19"/>
      <c r="CP119" s="19"/>
      <c r="CQ119" s="19"/>
      <c r="CR119" s="19"/>
      <c r="CS119" s="19">
        <v>0</v>
      </c>
      <c r="CT119" s="19"/>
      <c r="CU119" s="19"/>
      <c r="CV119" s="19"/>
      <c r="CW119" s="19">
        <f t="shared" ref="CW119:CW121" si="264">SUM(CX119)</f>
        <v>0</v>
      </c>
      <c r="CX119" s="19">
        <f t="shared" ref="CX119:CX121" si="265">SUM(CY119:CZ119)</f>
        <v>0</v>
      </c>
      <c r="CY119" s="19">
        <v>0</v>
      </c>
      <c r="CZ119" s="20">
        <v>0</v>
      </c>
    </row>
    <row r="120" spans="1:105" ht="31.5" x14ac:dyDescent="0.25">
      <c r="A120" s="80"/>
      <c r="B120" s="21" t="s">
        <v>88</v>
      </c>
      <c r="C120" s="32" t="s">
        <v>599</v>
      </c>
      <c r="D120" s="18">
        <f>SUM(E120+BZ120+CW120)</f>
        <v>1194750</v>
      </c>
      <c r="E120" s="19">
        <f>SUM(F120+BA120)</f>
        <v>1194750</v>
      </c>
      <c r="F120" s="19">
        <f t="shared" si="254"/>
        <v>1194750</v>
      </c>
      <c r="G120" s="19">
        <v>0</v>
      </c>
      <c r="H120" s="19">
        <v>0</v>
      </c>
      <c r="I120" s="19">
        <f t="shared" ref="I120" si="266">SUM(J120:O120)</f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f t="shared" ref="P120" si="267">SUM(Q120:R120)</f>
        <v>0</v>
      </c>
      <c r="Q120" s="19">
        <v>0</v>
      </c>
      <c r="R120" s="19">
        <v>0</v>
      </c>
      <c r="S120" s="19">
        <v>0</v>
      </c>
      <c r="T120" s="19">
        <v>0</v>
      </c>
      <c r="U120" s="19">
        <f t="shared" ref="U120" si="268">SUM(V120:AC120)</f>
        <v>0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0</v>
      </c>
      <c r="AB120" s="19">
        <v>0</v>
      </c>
      <c r="AC120" s="19">
        <v>0</v>
      </c>
      <c r="AD120" s="19">
        <f>SUM(AE120:AZ120)</f>
        <v>1194750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/>
      <c r="AQ120" s="19">
        <v>0</v>
      </c>
      <c r="AR120" s="19">
        <v>0</v>
      </c>
      <c r="AS120" s="19">
        <v>0</v>
      </c>
      <c r="AT120" s="19">
        <v>0</v>
      </c>
      <c r="AU120" s="19">
        <v>0</v>
      </c>
      <c r="AV120" s="19">
        <v>0</v>
      </c>
      <c r="AW120" s="19">
        <v>0</v>
      </c>
      <c r="AX120" s="19">
        <v>0</v>
      </c>
      <c r="AY120" s="19">
        <v>0</v>
      </c>
      <c r="AZ120" s="19">
        <v>1194750</v>
      </c>
      <c r="BA120" s="19">
        <f>SUM(BB120+BF120+BI120+BK120+BN120)</f>
        <v>0</v>
      </c>
      <c r="BB120" s="19">
        <f t="shared" ref="BB120" si="269">SUM(BC120:BE120)</f>
        <v>0</v>
      </c>
      <c r="BC120" s="19">
        <v>0</v>
      </c>
      <c r="BD120" s="19">
        <v>0</v>
      </c>
      <c r="BE120" s="23"/>
      <c r="BF120" s="19">
        <f t="shared" ref="BF120" si="270">SUM(BH120:BH120)</f>
        <v>0</v>
      </c>
      <c r="BG120" s="19">
        <v>0</v>
      </c>
      <c r="BH120" s="19">
        <v>0</v>
      </c>
      <c r="BI120" s="19">
        <v>0</v>
      </c>
      <c r="BJ120" s="19">
        <v>0</v>
      </c>
      <c r="BK120" s="19">
        <f t="shared" ref="BK120" si="271">SUM(BL120)</f>
        <v>0</v>
      </c>
      <c r="BL120" s="19">
        <v>0</v>
      </c>
      <c r="BM120" s="19">
        <v>0</v>
      </c>
      <c r="BN120" s="19">
        <f t="shared" ref="BN120" si="272">SUM(BO120:BY120)</f>
        <v>0</v>
      </c>
      <c r="BO120" s="19">
        <v>0</v>
      </c>
      <c r="BP120" s="19">
        <v>0</v>
      </c>
      <c r="BQ120" s="19">
        <v>0</v>
      </c>
      <c r="BR120" s="19">
        <v>0</v>
      </c>
      <c r="BS120" s="19">
        <v>0</v>
      </c>
      <c r="BT120" s="19">
        <v>0</v>
      </c>
      <c r="BU120" s="19">
        <v>0</v>
      </c>
      <c r="BV120" s="19">
        <v>0</v>
      </c>
      <c r="BW120" s="19">
        <v>0</v>
      </c>
      <c r="BX120" s="19">
        <v>0</v>
      </c>
      <c r="BY120" s="19">
        <v>0</v>
      </c>
      <c r="BZ120" s="19">
        <f>SUM(CA120+CS120)</f>
        <v>0</v>
      </c>
      <c r="CA120" s="19">
        <f>SUM(CB120+CE120+CK120)</f>
        <v>0</v>
      </c>
      <c r="CB120" s="19">
        <f t="shared" ref="CB120" si="273">SUM(CC120:CD120)</f>
        <v>0</v>
      </c>
      <c r="CC120" s="19">
        <v>0</v>
      </c>
      <c r="CD120" s="19">
        <v>0</v>
      </c>
      <c r="CE120" s="19">
        <f>SUM(CF120:CJ120)</f>
        <v>0</v>
      </c>
      <c r="CF120" s="19">
        <v>0</v>
      </c>
      <c r="CG120" s="19">
        <v>0</v>
      </c>
      <c r="CH120" s="19">
        <v>0</v>
      </c>
      <c r="CI120" s="19">
        <v>0</v>
      </c>
      <c r="CJ120" s="19">
        <v>0</v>
      </c>
      <c r="CK120" s="19">
        <f t="shared" ref="CK120" si="274">SUM(CL120:CP120)</f>
        <v>0</v>
      </c>
      <c r="CL120" s="19">
        <v>0</v>
      </c>
      <c r="CM120" s="19">
        <v>0</v>
      </c>
      <c r="CN120" s="19">
        <v>0</v>
      </c>
      <c r="CO120" s="19"/>
      <c r="CP120" s="19"/>
      <c r="CQ120" s="19"/>
      <c r="CR120" s="19"/>
      <c r="CS120" s="19">
        <v>0</v>
      </c>
      <c r="CT120" s="19"/>
      <c r="CU120" s="19"/>
      <c r="CV120" s="19"/>
      <c r="CW120" s="19">
        <f t="shared" ref="CW120" si="275">SUM(CX120)</f>
        <v>0</v>
      </c>
      <c r="CX120" s="19">
        <f t="shared" ref="CX120" si="276">SUM(CY120:CZ120)</f>
        <v>0</v>
      </c>
      <c r="CY120" s="19">
        <v>0</v>
      </c>
      <c r="CZ120" s="20">
        <v>0</v>
      </c>
    </row>
    <row r="121" spans="1:105" ht="31.5" x14ac:dyDescent="0.25">
      <c r="A121" s="80"/>
      <c r="B121" s="21" t="s">
        <v>104</v>
      </c>
      <c r="C121" s="32" t="s">
        <v>521</v>
      </c>
      <c r="D121" s="18">
        <f>SUM(E121+BZ121+CW121)</f>
        <v>5689189</v>
      </c>
      <c r="E121" s="19">
        <f>SUM(F121+BA121)</f>
        <v>5689189</v>
      </c>
      <c r="F121" s="19">
        <f t="shared" si="254"/>
        <v>5689189</v>
      </c>
      <c r="G121" s="19">
        <v>0</v>
      </c>
      <c r="H121" s="19">
        <v>0</v>
      </c>
      <c r="I121" s="19">
        <f t="shared" si="255"/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f t="shared" si="256"/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f t="shared" si="257"/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f>SUM(AE121:AZ121)</f>
        <v>5689189</v>
      </c>
      <c r="AE121" s="19">
        <v>0</v>
      </c>
      <c r="AF121" s="19">
        <v>0</v>
      </c>
      <c r="AG121" s="19">
        <v>0</v>
      </c>
      <c r="AH121" s="19">
        <v>0</v>
      </c>
      <c r="AI121" s="19">
        <v>0</v>
      </c>
      <c r="AJ121" s="19">
        <v>0</v>
      </c>
      <c r="AK121" s="19">
        <v>0</v>
      </c>
      <c r="AL121" s="19">
        <v>0</v>
      </c>
      <c r="AM121" s="19">
        <v>0</v>
      </c>
      <c r="AN121" s="19">
        <v>0</v>
      </c>
      <c r="AO121" s="19">
        <v>0</v>
      </c>
      <c r="AP121" s="19"/>
      <c r="AQ121" s="19">
        <v>0</v>
      </c>
      <c r="AR121" s="19">
        <v>0</v>
      </c>
      <c r="AS121" s="19">
        <v>0</v>
      </c>
      <c r="AT121" s="19">
        <v>0</v>
      </c>
      <c r="AU121" s="19">
        <v>0</v>
      </c>
      <c r="AV121" s="19">
        <v>0</v>
      </c>
      <c r="AW121" s="19">
        <v>0</v>
      </c>
      <c r="AX121" s="19">
        <v>0</v>
      </c>
      <c r="AY121" s="19">
        <v>0</v>
      </c>
      <c r="AZ121" s="19">
        <v>5689189</v>
      </c>
      <c r="BA121" s="19">
        <f>SUM(BB121+BF121+BI121+BK121+BN121)</f>
        <v>0</v>
      </c>
      <c r="BB121" s="19">
        <f t="shared" si="258"/>
        <v>0</v>
      </c>
      <c r="BC121" s="19">
        <v>0</v>
      </c>
      <c r="BD121" s="19">
        <v>0</v>
      </c>
      <c r="BE121" s="23"/>
      <c r="BF121" s="19">
        <f t="shared" si="259"/>
        <v>0</v>
      </c>
      <c r="BG121" s="19">
        <v>0</v>
      </c>
      <c r="BH121" s="19">
        <v>0</v>
      </c>
      <c r="BI121" s="19">
        <v>0</v>
      </c>
      <c r="BJ121" s="19">
        <v>0</v>
      </c>
      <c r="BK121" s="19">
        <f t="shared" si="260"/>
        <v>0</v>
      </c>
      <c r="BL121" s="19">
        <v>0</v>
      </c>
      <c r="BM121" s="19">
        <v>0</v>
      </c>
      <c r="BN121" s="19">
        <f t="shared" si="261"/>
        <v>0</v>
      </c>
      <c r="BO121" s="19">
        <v>0</v>
      </c>
      <c r="BP121" s="19">
        <v>0</v>
      </c>
      <c r="BQ121" s="19">
        <v>0</v>
      </c>
      <c r="BR121" s="19">
        <v>0</v>
      </c>
      <c r="BS121" s="19">
        <v>0</v>
      </c>
      <c r="BT121" s="19">
        <v>0</v>
      </c>
      <c r="BU121" s="19">
        <v>0</v>
      </c>
      <c r="BV121" s="19">
        <v>0</v>
      </c>
      <c r="BW121" s="19">
        <v>0</v>
      </c>
      <c r="BX121" s="19">
        <v>0</v>
      </c>
      <c r="BY121" s="19">
        <v>0</v>
      </c>
      <c r="BZ121" s="19">
        <f>SUM(CA121+CS121)</f>
        <v>0</v>
      </c>
      <c r="CA121" s="19">
        <f>SUM(CB121+CE121+CK121)</f>
        <v>0</v>
      </c>
      <c r="CB121" s="19">
        <f t="shared" si="262"/>
        <v>0</v>
      </c>
      <c r="CC121" s="19">
        <v>0</v>
      </c>
      <c r="CD121" s="19">
        <v>0</v>
      </c>
      <c r="CE121" s="19">
        <f>SUM(CF121:CJ121)</f>
        <v>0</v>
      </c>
      <c r="CF121" s="19">
        <v>0</v>
      </c>
      <c r="CG121" s="19">
        <v>0</v>
      </c>
      <c r="CH121" s="19">
        <v>0</v>
      </c>
      <c r="CI121" s="19">
        <v>0</v>
      </c>
      <c r="CJ121" s="19">
        <v>0</v>
      </c>
      <c r="CK121" s="19">
        <f t="shared" si="263"/>
        <v>0</v>
      </c>
      <c r="CL121" s="19">
        <v>0</v>
      </c>
      <c r="CM121" s="19">
        <v>0</v>
      </c>
      <c r="CN121" s="19">
        <v>0</v>
      </c>
      <c r="CO121" s="19"/>
      <c r="CP121" s="19"/>
      <c r="CQ121" s="19"/>
      <c r="CR121" s="19"/>
      <c r="CS121" s="19">
        <v>0</v>
      </c>
      <c r="CT121" s="19"/>
      <c r="CU121" s="19"/>
      <c r="CV121" s="19"/>
      <c r="CW121" s="19">
        <f t="shared" si="264"/>
        <v>0</v>
      </c>
      <c r="CX121" s="19">
        <f t="shared" si="265"/>
        <v>0</v>
      </c>
      <c r="CY121" s="19">
        <v>0</v>
      </c>
      <c r="CZ121" s="20">
        <v>0</v>
      </c>
    </row>
    <row r="122" spans="1:105" s="58" customFormat="1" ht="31.5" x14ac:dyDescent="0.25">
      <c r="A122" s="79" t="s">
        <v>212</v>
      </c>
      <c r="B122" s="16" t="s">
        <v>1</v>
      </c>
      <c r="C122" s="17" t="s">
        <v>213</v>
      </c>
      <c r="D122" s="18">
        <f t="shared" ref="D122:AX122" si="277">SUM(D123:D123)</f>
        <v>1502137</v>
      </c>
      <c r="E122" s="18">
        <f t="shared" si="277"/>
        <v>1502137</v>
      </c>
      <c r="F122" s="18">
        <f t="shared" si="277"/>
        <v>1502137</v>
      </c>
      <c r="G122" s="18">
        <f t="shared" si="277"/>
        <v>0</v>
      </c>
      <c r="H122" s="18">
        <f t="shared" si="277"/>
        <v>0</v>
      </c>
      <c r="I122" s="18">
        <f t="shared" si="277"/>
        <v>0</v>
      </c>
      <c r="J122" s="18">
        <f t="shared" si="277"/>
        <v>0</v>
      </c>
      <c r="K122" s="18">
        <f t="shared" si="277"/>
        <v>0</v>
      </c>
      <c r="L122" s="18">
        <f t="shared" si="277"/>
        <v>0</v>
      </c>
      <c r="M122" s="18">
        <f t="shared" si="277"/>
        <v>0</v>
      </c>
      <c r="N122" s="18">
        <f t="shared" si="277"/>
        <v>0</v>
      </c>
      <c r="O122" s="18">
        <f t="shared" si="277"/>
        <v>0</v>
      </c>
      <c r="P122" s="18">
        <f t="shared" si="277"/>
        <v>0</v>
      </c>
      <c r="Q122" s="18">
        <f t="shared" si="277"/>
        <v>0</v>
      </c>
      <c r="R122" s="18">
        <f t="shared" si="277"/>
        <v>0</v>
      </c>
      <c r="S122" s="18">
        <f t="shared" si="277"/>
        <v>0</v>
      </c>
      <c r="T122" s="18">
        <f t="shared" si="277"/>
        <v>0</v>
      </c>
      <c r="U122" s="18">
        <f t="shared" si="277"/>
        <v>0</v>
      </c>
      <c r="V122" s="18">
        <f t="shared" si="277"/>
        <v>0</v>
      </c>
      <c r="W122" s="18">
        <f t="shared" si="277"/>
        <v>0</v>
      </c>
      <c r="X122" s="18">
        <f t="shared" si="277"/>
        <v>0</v>
      </c>
      <c r="Y122" s="18">
        <f t="shared" si="277"/>
        <v>0</v>
      </c>
      <c r="Z122" s="18">
        <f t="shared" si="277"/>
        <v>0</v>
      </c>
      <c r="AA122" s="18">
        <f t="shared" si="277"/>
        <v>0</v>
      </c>
      <c r="AB122" s="18">
        <f t="shared" si="277"/>
        <v>0</v>
      </c>
      <c r="AC122" s="18">
        <f t="shared" si="277"/>
        <v>0</v>
      </c>
      <c r="AD122" s="18">
        <f t="shared" si="277"/>
        <v>1502137</v>
      </c>
      <c r="AE122" s="18">
        <f t="shared" si="277"/>
        <v>0</v>
      </c>
      <c r="AF122" s="18">
        <f t="shared" si="277"/>
        <v>0</v>
      </c>
      <c r="AG122" s="18">
        <f t="shared" si="277"/>
        <v>0</v>
      </c>
      <c r="AH122" s="18">
        <f t="shared" si="277"/>
        <v>0</v>
      </c>
      <c r="AI122" s="18">
        <f t="shared" si="277"/>
        <v>0</v>
      </c>
      <c r="AJ122" s="18">
        <f t="shared" si="277"/>
        <v>0</v>
      </c>
      <c r="AK122" s="18">
        <f t="shared" si="277"/>
        <v>0</v>
      </c>
      <c r="AL122" s="18">
        <f t="shared" si="277"/>
        <v>0</v>
      </c>
      <c r="AM122" s="18">
        <f t="shared" si="277"/>
        <v>0</v>
      </c>
      <c r="AN122" s="18">
        <f t="shared" si="277"/>
        <v>0</v>
      </c>
      <c r="AO122" s="18">
        <f t="shared" si="277"/>
        <v>0</v>
      </c>
      <c r="AP122" s="18"/>
      <c r="AQ122" s="18">
        <f t="shared" si="277"/>
        <v>0</v>
      </c>
      <c r="AR122" s="18">
        <f t="shared" si="277"/>
        <v>0</v>
      </c>
      <c r="AS122" s="18">
        <f t="shared" si="277"/>
        <v>0</v>
      </c>
      <c r="AT122" s="18">
        <f t="shared" si="277"/>
        <v>0</v>
      </c>
      <c r="AU122" s="18">
        <f t="shared" si="277"/>
        <v>0</v>
      </c>
      <c r="AV122" s="18">
        <f t="shared" si="277"/>
        <v>0</v>
      </c>
      <c r="AW122" s="18">
        <f t="shared" si="277"/>
        <v>0</v>
      </c>
      <c r="AX122" s="18">
        <f t="shared" si="277"/>
        <v>0</v>
      </c>
      <c r="AY122" s="18"/>
      <c r="AZ122" s="18">
        <f t="shared" ref="AZ122:CZ122" si="278">SUM(AZ123:AZ123)</f>
        <v>1502137</v>
      </c>
      <c r="BA122" s="18">
        <f t="shared" si="278"/>
        <v>0</v>
      </c>
      <c r="BB122" s="18">
        <f t="shared" si="278"/>
        <v>0</v>
      </c>
      <c r="BC122" s="18">
        <f t="shared" si="278"/>
        <v>0</v>
      </c>
      <c r="BD122" s="18">
        <f t="shared" si="278"/>
        <v>0</v>
      </c>
      <c r="BE122" s="18">
        <f t="shared" si="278"/>
        <v>0</v>
      </c>
      <c r="BF122" s="18">
        <f t="shared" si="278"/>
        <v>0</v>
      </c>
      <c r="BG122" s="18">
        <f t="shared" si="278"/>
        <v>0</v>
      </c>
      <c r="BH122" s="18">
        <f t="shared" si="278"/>
        <v>0</v>
      </c>
      <c r="BI122" s="18">
        <f t="shared" si="278"/>
        <v>0</v>
      </c>
      <c r="BJ122" s="18">
        <f t="shared" si="278"/>
        <v>0</v>
      </c>
      <c r="BK122" s="18">
        <f t="shared" si="278"/>
        <v>0</v>
      </c>
      <c r="BL122" s="18">
        <f t="shared" si="278"/>
        <v>0</v>
      </c>
      <c r="BM122" s="18">
        <f t="shared" si="278"/>
        <v>0</v>
      </c>
      <c r="BN122" s="18">
        <f t="shared" si="278"/>
        <v>0</v>
      </c>
      <c r="BO122" s="18">
        <f t="shared" si="278"/>
        <v>0</v>
      </c>
      <c r="BP122" s="18">
        <f t="shared" si="278"/>
        <v>0</v>
      </c>
      <c r="BQ122" s="18">
        <f t="shared" si="278"/>
        <v>0</v>
      </c>
      <c r="BR122" s="18">
        <f t="shared" si="278"/>
        <v>0</v>
      </c>
      <c r="BS122" s="18">
        <f t="shared" si="278"/>
        <v>0</v>
      </c>
      <c r="BT122" s="18">
        <f t="shared" si="278"/>
        <v>0</v>
      </c>
      <c r="BU122" s="18">
        <f t="shared" si="278"/>
        <v>0</v>
      </c>
      <c r="BV122" s="18">
        <f t="shared" si="278"/>
        <v>0</v>
      </c>
      <c r="BW122" s="18">
        <f t="shared" si="278"/>
        <v>0</v>
      </c>
      <c r="BX122" s="18">
        <f t="shared" si="278"/>
        <v>0</v>
      </c>
      <c r="BY122" s="18">
        <f t="shared" si="278"/>
        <v>0</v>
      </c>
      <c r="BZ122" s="18">
        <f t="shared" si="278"/>
        <v>0</v>
      </c>
      <c r="CA122" s="18">
        <f t="shared" si="278"/>
        <v>0</v>
      </c>
      <c r="CB122" s="18">
        <f t="shared" si="278"/>
        <v>0</v>
      </c>
      <c r="CC122" s="18">
        <f t="shared" si="278"/>
        <v>0</v>
      </c>
      <c r="CD122" s="18">
        <f t="shared" si="278"/>
        <v>0</v>
      </c>
      <c r="CE122" s="18">
        <f t="shared" si="278"/>
        <v>0</v>
      </c>
      <c r="CF122" s="18">
        <f t="shared" si="278"/>
        <v>0</v>
      </c>
      <c r="CG122" s="18">
        <f t="shared" si="278"/>
        <v>0</v>
      </c>
      <c r="CH122" s="18">
        <f t="shared" si="278"/>
        <v>0</v>
      </c>
      <c r="CI122" s="18">
        <f t="shared" si="278"/>
        <v>0</v>
      </c>
      <c r="CJ122" s="18">
        <f t="shared" si="278"/>
        <v>0</v>
      </c>
      <c r="CK122" s="18">
        <f t="shared" si="278"/>
        <v>0</v>
      </c>
      <c r="CL122" s="18">
        <f t="shared" si="278"/>
        <v>0</v>
      </c>
      <c r="CM122" s="18">
        <f t="shared" si="278"/>
        <v>0</v>
      </c>
      <c r="CN122" s="18">
        <f t="shared" si="278"/>
        <v>0</v>
      </c>
      <c r="CO122" s="18">
        <f t="shared" si="278"/>
        <v>0</v>
      </c>
      <c r="CP122" s="18">
        <f t="shared" si="278"/>
        <v>0</v>
      </c>
      <c r="CQ122" s="18"/>
      <c r="CR122" s="18"/>
      <c r="CS122" s="18">
        <f t="shared" si="278"/>
        <v>0</v>
      </c>
      <c r="CT122" s="18"/>
      <c r="CU122" s="18"/>
      <c r="CV122" s="18"/>
      <c r="CW122" s="18">
        <f t="shared" si="278"/>
        <v>0</v>
      </c>
      <c r="CX122" s="18">
        <f t="shared" si="278"/>
        <v>0</v>
      </c>
      <c r="CY122" s="18">
        <f t="shared" si="278"/>
        <v>0</v>
      </c>
      <c r="CZ122" s="46">
        <f t="shared" si="278"/>
        <v>0</v>
      </c>
      <c r="DA122" s="57"/>
    </row>
    <row r="123" spans="1:105" ht="47.25" x14ac:dyDescent="0.25">
      <c r="A123" s="80" t="s">
        <v>1</v>
      </c>
      <c r="B123" s="21" t="s">
        <v>104</v>
      </c>
      <c r="C123" s="22" t="s">
        <v>538</v>
      </c>
      <c r="D123" s="18">
        <f>SUM(E123+BZ123+CW123)</f>
        <v>1502137</v>
      </c>
      <c r="E123" s="19">
        <f>SUM(F123+BA123)</f>
        <v>1502137</v>
      </c>
      <c r="F123" s="19">
        <f>SUM(G123+H123+I123+P123+S123+T123+U123+AD123)</f>
        <v>1502137</v>
      </c>
      <c r="G123" s="19">
        <v>0</v>
      </c>
      <c r="H123" s="19">
        <v>0</v>
      </c>
      <c r="I123" s="19">
        <f t="shared" si="112"/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f t="shared" si="113"/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f>SUM(V123:AC123)</f>
        <v>0</v>
      </c>
      <c r="V123" s="19">
        <v>0</v>
      </c>
      <c r="W123" s="19">
        <v>0</v>
      </c>
      <c r="X123" s="19">
        <v>0</v>
      </c>
      <c r="Y123" s="19">
        <v>0</v>
      </c>
      <c r="Z123" s="19">
        <v>0</v>
      </c>
      <c r="AA123" s="19">
        <v>0</v>
      </c>
      <c r="AB123" s="19">
        <v>0</v>
      </c>
      <c r="AC123" s="19">
        <v>0</v>
      </c>
      <c r="AD123" s="19">
        <f>SUM(AE123:AZ123)</f>
        <v>1502137</v>
      </c>
      <c r="AE123" s="19">
        <v>0</v>
      </c>
      <c r="AF123" s="19">
        <v>0</v>
      </c>
      <c r="AG123" s="19">
        <v>0</v>
      </c>
      <c r="AH123" s="19">
        <v>0</v>
      </c>
      <c r="AI123" s="19">
        <v>0</v>
      </c>
      <c r="AJ123" s="19">
        <v>0</v>
      </c>
      <c r="AK123" s="19">
        <v>0</v>
      </c>
      <c r="AL123" s="19">
        <v>0</v>
      </c>
      <c r="AM123" s="19">
        <v>0</v>
      </c>
      <c r="AN123" s="19">
        <v>0</v>
      </c>
      <c r="AO123" s="19">
        <v>0</v>
      </c>
      <c r="AP123" s="19"/>
      <c r="AQ123" s="19">
        <v>0</v>
      </c>
      <c r="AR123" s="19">
        <v>0</v>
      </c>
      <c r="AS123" s="19">
        <v>0</v>
      </c>
      <c r="AT123" s="19">
        <v>0</v>
      </c>
      <c r="AU123" s="19">
        <v>0</v>
      </c>
      <c r="AV123" s="19">
        <v>0</v>
      </c>
      <c r="AW123" s="19">
        <v>0</v>
      </c>
      <c r="AX123" s="19">
        <v>0</v>
      </c>
      <c r="AY123" s="19">
        <v>0</v>
      </c>
      <c r="AZ123" s="23">
        <v>1502137</v>
      </c>
      <c r="BA123" s="19">
        <f>SUM(BB123+BF123+BI123+BK123+BN123)</f>
        <v>0</v>
      </c>
      <c r="BB123" s="19">
        <f>SUM(BC123:BE123)</f>
        <v>0</v>
      </c>
      <c r="BC123" s="19">
        <v>0</v>
      </c>
      <c r="BD123" s="19">
        <v>0</v>
      </c>
      <c r="BE123" s="19">
        <v>0</v>
      </c>
      <c r="BF123" s="19">
        <f>SUM(BH123:BH123)</f>
        <v>0</v>
      </c>
      <c r="BG123" s="19">
        <v>0</v>
      </c>
      <c r="BH123" s="19">
        <v>0</v>
      </c>
      <c r="BI123" s="19">
        <v>0</v>
      </c>
      <c r="BJ123" s="19">
        <v>0</v>
      </c>
      <c r="BK123" s="19">
        <f t="shared" si="114"/>
        <v>0</v>
      </c>
      <c r="BL123" s="19">
        <v>0</v>
      </c>
      <c r="BM123" s="19">
        <v>0</v>
      </c>
      <c r="BN123" s="19">
        <f>SUM(BO123:BY123)</f>
        <v>0</v>
      </c>
      <c r="BO123" s="19">
        <v>0</v>
      </c>
      <c r="BP123" s="19">
        <v>0</v>
      </c>
      <c r="BQ123" s="19">
        <v>0</v>
      </c>
      <c r="BR123" s="19">
        <v>0</v>
      </c>
      <c r="BS123" s="19">
        <v>0</v>
      </c>
      <c r="BT123" s="19">
        <v>0</v>
      </c>
      <c r="BU123" s="19">
        <v>0</v>
      </c>
      <c r="BV123" s="19">
        <v>0</v>
      </c>
      <c r="BW123" s="19">
        <v>0</v>
      </c>
      <c r="BX123" s="19">
        <v>0</v>
      </c>
      <c r="BY123" s="19">
        <v>0</v>
      </c>
      <c r="BZ123" s="19">
        <f>SUM(CA123+CS123)</f>
        <v>0</v>
      </c>
      <c r="CA123" s="19">
        <f>SUM(CB123+CE123+CK123)</f>
        <v>0</v>
      </c>
      <c r="CB123" s="19">
        <f t="shared" si="115"/>
        <v>0</v>
      </c>
      <c r="CC123" s="19">
        <v>0</v>
      </c>
      <c r="CD123" s="19">
        <v>0</v>
      </c>
      <c r="CE123" s="19">
        <f>SUM(CF123:CJ123)</f>
        <v>0</v>
      </c>
      <c r="CF123" s="19">
        <v>0</v>
      </c>
      <c r="CG123" s="19">
        <v>0</v>
      </c>
      <c r="CH123" s="19">
        <v>0</v>
      </c>
      <c r="CI123" s="19">
        <v>0</v>
      </c>
      <c r="CJ123" s="19">
        <v>0</v>
      </c>
      <c r="CK123" s="19">
        <f>SUM(CL123:CP123)</f>
        <v>0</v>
      </c>
      <c r="CL123" s="19">
        <v>0</v>
      </c>
      <c r="CM123" s="19">
        <v>0</v>
      </c>
      <c r="CN123" s="19">
        <v>0</v>
      </c>
      <c r="CO123" s="19"/>
      <c r="CP123" s="19"/>
      <c r="CQ123" s="19"/>
      <c r="CR123" s="19"/>
      <c r="CS123" s="19">
        <v>0</v>
      </c>
      <c r="CT123" s="19"/>
      <c r="CU123" s="19"/>
      <c r="CV123" s="19"/>
      <c r="CW123" s="19">
        <f t="shared" si="116"/>
        <v>0</v>
      </c>
      <c r="CX123" s="19">
        <f t="shared" si="117"/>
        <v>0</v>
      </c>
      <c r="CY123" s="19">
        <v>0</v>
      </c>
      <c r="CZ123" s="20">
        <v>0</v>
      </c>
    </row>
    <row r="124" spans="1:105" s="58" customFormat="1" ht="15.75" x14ac:dyDescent="0.25">
      <c r="A124" s="81" t="s">
        <v>214</v>
      </c>
      <c r="B124" s="25" t="s">
        <v>1</v>
      </c>
      <c r="C124" s="26" t="s">
        <v>215</v>
      </c>
      <c r="D124" s="27">
        <f>SUM(D125+D129+D133+D137+D139+D141)</f>
        <v>425120234</v>
      </c>
      <c r="E124" s="27">
        <f t="shared" ref="E124:BT124" si="279">SUM(E125+E129+E133+E137+E139+E141)</f>
        <v>420203023</v>
      </c>
      <c r="F124" s="27">
        <f t="shared" si="279"/>
        <v>376808710</v>
      </c>
      <c r="G124" s="27">
        <f t="shared" si="279"/>
        <v>267383120</v>
      </c>
      <c r="H124" s="27">
        <f t="shared" si="279"/>
        <v>63104100</v>
      </c>
      <c r="I124" s="27">
        <f t="shared" si="279"/>
        <v>28809205</v>
      </c>
      <c r="J124" s="27">
        <f t="shared" si="279"/>
        <v>409710</v>
      </c>
      <c r="K124" s="27">
        <f t="shared" si="279"/>
        <v>2553983</v>
      </c>
      <c r="L124" s="27">
        <f t="shared" si="279"/>
        <v>21660727</v>
      </c>
      <c r="M124" s="27">
        <f t="shared" si="279"/>
        <v>0</v>
      </c>
      <c r="N124" s="27">
        <f t="shared" si="279"/>
        <v>2296349</v>
      </c>
      <c r="O124" s="27">
        <f t="shared" si="279"/>
        <v>1888436</v>
      </c>
      <c r="P124" s="27">
        <f t="shared" si="279"/>
        <v>1646</v>
      </c>
      <c r="Q124" s="27">
        <f t="shared" si="279"/>
        <v>1646</v>
      </c>
      <c r="R124" s="27">
        <f t="shared" si="279"/>
        <v>0</v>
      </c>
      <c r="S124" s="27">
        <f t="shared" si="279"/>
        <v>0</v>
      </c>
      <c r="T124" s="27">
        <f t="shared" si="279"/>
        <v>791914</v>
      </c>
      <c r="U124" s="27">
        <f t="shared" si="279"/>
        <v>9704369</v>
      </c>
      <c r="V124" s="27">
        <f t="shared" si="279"/>
        <v>317865</v>
      </c>
      <c r="W124" s="27">
        <f t="shared" si="279"/>
        <v>6320585</v>
      </c>
      <c r="X124" s="27">
        <f t="shared" si="279"/>
        <v>1646848</v>
      </c>
      <c r="Y124" s="27">
        <f t="shared" si="279"/>
        <v>987623</v>
      </c>
      <c r="Z124" s="27">
        <f t="shared" si="279"/>
        <v>340619</v>
      </c>
      <c r="AA124" s="27">
        <f t="shared" si="279"/>
        <v>0</v>
      </c>
      <c r="AB124" s="27">
        <f t="shared" si="279"/>
        <v>0</v>
      </c>
      <c r="AC124" s="27">
        <f t="shared" si="279"/>
        <v>90829</v>
      </c>
      <c r="AD124" s="27">
        <f t="shared" si="279"/>
        <v>7014356</v>
      </c>
      <c r="AE124" s="27">
        <f t="shared" si="279"/>
        <v>0</v>
      </c>
      <c r="AF124" s="27">
        <f t="shared" si="279"/>
        <v>0</v>
      </c>
      <c r="AG124" s="27">
        <f t="shared" si="279"/>
        <v>51603</v>
      </c>
      <c r="AH124" s="27">
        <f t="shared" si="279"/>
        <v>1726628</v>
      </c>
      <c r="AI124" s="27">
        <f t="shared" si="279"/>
        <v>655214</v>
      </c>
      <c r="AJ124" s="27">
        <f t="shared" si="279"/>
        <v>856785</v>
      </c>
      <c r="AK124" s="27">
        <f t="shared" si="279"/>
        <v>0</v>
      </c>
      <c r="AL124" s="27">
        <f t="shared" si="279"/>
        <v>122381</v>
      </c>
      <c r="AM124" s="27">
        <f t="shared" si="279"/>
        <v>367021</v>
      </c>
      <c r="AN124" s="27">
        <f t="shared" si="279"/>
        <v>0</v>
      </c>
      <c r="AO124" s="27">
        <f t="shared" si="279"/>
        <v>10583</v>
      </c>
      <c r="AP124" s="27"/>
      <c r="AQ124" s="27">
        <f t="shared" si="279"/>
        <v>0</v>
      </c>
      <c r="AR124" s="27">
        <f t="shared" si="279"/>
        <v>1240237</v>
      </c>
      <c r="AS124" s="27">
        <f t="shared" si="279"/>
        <v>181659</v>
      </c>
      <c r="AT124" s="27"/>
      <c r="AU124" s="27"/>
      <c r="AV124" s="27">
        <f t="shared" si="279"/>
        <v>0</v>
      </c>
      <c r="AW124" s="27">
        <f t="shared" si="279"/>
        <v>0</v>
      </c>
      <c r="AX124" s="27">
        <f t="shared" si="279"/>
        <v>43126</v>
      </c>
      <c r="AY124" s="27"/>
      <c r="AZ124" s="27">
        <f t="shared" si="279"/>
        <v>1759119</v>
      </c>
      <c r="BA124" s="27">
        <f t="shared" si="279"/>
        <v>43394313</v>
      </c>
      <c r="BB124" s="27">
        <f t="shared" si="279"/>
        <v>0</v>
      </c>
      <c r="BC124" s="27">
        <f t="shared" si="279"/>
        <v>0</v>
      </c>
      <c r="BD124" s="27">
        <f t="shared" si="279"/>
        <v>0</v>
      </c>
      <c r="BE124" s="27">
        <f t="shared" si="279"/>
        <v>0</v>
      </c>
      <c r="BF124" s="27">
        <f t="shared" si="279"/>
        <v>0</v>
      </c>
      <c r="BG124" s="27">
        <f t="shared" si="279"/>
        <v>0</v>
      </c>
      <c r="BH124" s="27">
        <f t="shared" si="279"/>
        <v>0</v>
      </c>
      <c r="BI124" s="27">
        <f t="shared" si="279"/>
        <v>0</v>
      </c>
      <c r="BJ124" s="27">
        <f t="shared" ref="BJ124" si="280">SUM(BJ125+BJ129+BJ133+BJ137+BJ139+BJ141)</f>
        <v>0</v>
      </c>
      <c r="BK124" s="27">
        <f t="shared" si="279"/>
        <v>0</v>
      </c>
      <c r="BL124" s="27">
        <f t="shared" si="279"/>
        <v>0</v>
      </c>
      <c r="BM124" s="27">
        <f t="shared" ref="BM124" si="281">SUM(BM125+BM129+BM133+BM137+BM139+BM141)</f>
        <v>0</v>
      </c>
      <c r="BN124" s="27">
        <f t="shared" si="279"/>
        <v>43394313</v>
      </c>
      <c r="BO124" s="27">
        <f t="shared" si="279"/>
        <v>0</v>
      </c>
      <c r="BP124" s="27">
        <f t="shared" si="279"/>
        <v>0</v>
      </c>
      <c r="BQ124" s="27">
        <f t="shared" si="279"/>
        <v>16696021</v>
      </c>
      <c r="BR124" s="27">
        <f t="shared" si="279"/>
        <v>0</v>
      </c>
      <c r="BS124" s="27">
        <f t="shared" si="279"/>
        <v>0</v>
      </c>
      <c r="BT124" s="27">
        <f t="shared" si="279"/>
        <v>328732</v>
      </c>
      <c r="BU124" s="27">
        <f t="shared" ref="BU124:CZ124" si="282">SUM(BU125+BU129+BU133+BU137+BU139+BU141)</f>
        <v>0</v>
      </c>
      <c r="BV124" s="27">
        <f t="shared" si="282"/>
        <v>0</v>
      </c>
      <c r="BW124" s="27">
        <f t="shared" si="282"/>
        <v>0</v>
      </c>
      <c r="BX124" s="27">
        <f t="shared" si="282"/>
        <v>15219418</v>
      </c>
      <c r="BY124" s="27">
        <f t="shared" si="282"/>
        <v>11150142</v>
      </c>
      <c r="BZ124" s="27">
        <f t="shared" si="282"/>
        <v>4917211</v>
      </c>
      <c r="CA124" s="27">
        <f t="shared" si="282"/>
        <v>4917211</v>
      </c>
      <c r="CB124" s="27">
        <f t="shared" si="282"/>
        <v>3525760</v>
      </c>
      <c r="CC124" s="27">
        <f t="shared" si="282"/>
        <v>0</v>
      </c>
      <c r="CD124" s="27">
        <f t="shared" si="282"/>
        <v>3525760</v>
      </c>
      <c r="CE124" s="27">
        <f t="shared" si="282"/>
        <v>0</v>
      </c>
      <c r="CF124" s="27">
        <f t="shared" si="282"/>
        <v>0</v>
      </c>
      <c r="CG124" s="27">
        <f t="shared" ref="CG124:CH124" si="283">SUM(CG125+CG129+CG133+CG137+CG139+CG141)</f>
        <v>0</v>
      </c>
      <c r="CH124" s="27">
        <f t="shared" si="283"/>
        <v>0</v>
      </c>
      <c r="CI124" s="27">
        <f t="shared" si="282"/>
        <v>0</v>
      </c>
      <c r="CJ124" s="27">
        <f t="shared" ref="CJ124" si="284">SUM(CJ125+CJ129+CJ133+CJ137+CJ139+CJ141)</f>
        <v>0</v>
      </c>
      <c r="CK124" s="27">
        <f t="shared" si="282"/>
        <v>1391451</v>
      </c>
      <c r="CL124" s="27">
        <f t="shared" si="282"/>
        <v>0</v>
      </c>
      <c r="CM124" s="27">
        <f t="shared" ref="CM124" si="285">SUM(CM125+CM129+CM133+CM137+CM139+CM141)</f>
        <v>1391451</v>
      </c>
      <c r="CN124" s="27">
        <f t="shared" si="282"/>
        <v>0</v>
      </c>
      <c r="CO124" s="27"/>
      <c r="CP124" s="27"/>
      <c r="CQ124" s="27"/>
      <c r="CR124" s="27"/>
      <c r="CS124" s="27">
        <f t="shared" si="282"/>
        <v>0</v>
      </c>
      <c r="CT124" s="27"/>
      <c r="CU124" s="27"/>
      <c r="CV124" s="27"/>
      <c r="CW124" s="27">
        <f t="shared" si="282"/>
        <v>0</v>
      </c>
      <c r="CX124" s="27">
        <f t="shared" si="282"/>
        <v>0</v>
      </c>
      <c r="CY124" s="27">
        <f t="shared" si="282"/>
        <v>0</v>
      </c>
      <c r="CZ124" s="60">
        <f t="shared" si="282"/>
        <v>0</v>
      </c>
      <c r="DA124" s="57"/>
    </row>
    <row r="125" spans="1:105" s="58" customFormat="1" ht="15.75" x14ac:dyDescent="0.25">
      <c r="A125" s="79" t="s">
        <v>216</v>
      </c>
      <c r="B125" s="16" t="s">
        <v>1</v>
      </c>
      <c r="C125" s="17" t="s">
        <v>217</v>
      </c>
      <c r="D125" s="18">
        <f>SUM(D126:D128)</f>
        <v>85401605</v>
      </c>
      <c r="E125" s="18">
        <f t="shared" ref="E125:BT125" si="286">SUM(E126:E128)</f>
        <v>84116278</v>
      </c>
      <c r="F125" s="18">
        <f t="shared" si="286"/>
        <v>75353121</v>
      </c>
      <c r="G125" s="18">
        <f t="shared" si="286"/>
        <v>44858624</v>
      </c>
      <c r="H125" s="18">
        <f t="shared" si="286"/>
        <v>10585214</v>
      </c>
      <c r="I125" s="18">
        <f t="shared" si="286"/>
        <v>15144530</v>
      </c>
      <c r="J125" s="18">
        <f t="shared" si="286"/>
        <v>252029</v>
      </c>
      <c r="K125" s="18">
        <f t="shared" si="286"/>
        <v>1264343</v>
      </c>
      <c r="L125" s="18">
        <f t="shared" si="286"/>
        <v>12121374</v>
      </c>
      <c r="M125" s="18">
        <f t="shared" si="286"/>
        <v>0</v>
      </c>
      <c r="N125" s="18">
        <f t="shared" si="286"/>
        <v>717438</v>
      </c>
      <c r="O125" s="18">
        <f t="shared" si="286"/>
        <v>789346</v>
      </c>
      <c r="P125" s="18">
        <f t="shared" si="286"/>
        <v>0</v>
      </c>
      <c r="Q125" s="18">
        <f t="shared" si="286"/>
        <v>0</v>
      </c>
      <c r="R125" s="18">
        <f t="shared" si="286"/>
        <v>0</v>
      </c>
      <c r="S125" s="18">
        <f t="shared" si="286"/>
        <v>0</v>
      </c>
      <c r="T125" s="18">
        <f t="shared" si="286"/>
        <v>109212</v>
      </c>
      <c r="U125" s="18">
        <f t="shared" si="286"/>
        <v>2398480</v>
      </c>
      <c r="V125" s="18">
        <f t="shared" si="286"/>
        <v>112028</v>
      </c>
      <c r="W125" s="18">
        <f t="shared" si="286"/>
        <v>1232055</v>
      </c>
      <c r="X125" s="18">
        <f t="shared" si="286"/>
        <v>478836</v>
      </c>
      <c r="Y125" s="18">
        <f t="shared" si="286"/>
        <v>418635</v>
      </c>
      <c r="Z125" s="18">
        <f t="shared" si="286"/>
        <v>66406</v>
      </c>
      <c r="AA125" s="18">
        <f t="shared" si="286"/>
        <v>0</v>
      </c>
      <c r="AB125" s="18">
        <f t="shared" si="286"/>
        <v>0</v>
      </c>
      <c r="AC125" s="18">
        <f t="shared" si="286"/>
        <v>90520</v>
      </c>
      <c r="AD125" s="18">
        <f t="shared" si="286"/>
        <v>2257061</v>
      </c>
      <c r="AE125" s="18">
        <f t="shared" si="286"/>
        <v>0</v>
      </c>
      <c r="AF125" s="18">
        <f t="shared" si="286"/>
        <v>0</v>
      </c>
      <c r="AG125" s="18">
        <f t="shared" si="286"/>
        <v>16095</v>
      </c>
      <c r="AH125" s="18">
        <f t="shared" si="286"/>
        <v>774173</v>
      </c>
      <c r="AI125" s="18">
        <f t="shared" si="286"/>
        <v>145177</v>
      </c>
      <c r="AJ125" s="18">
        <f t="shared" si="286"/>
        <v>371035</v>
      </c>
      <c r="AK125" s="18">
        <f t="shared" si="286"/>
        <v>0</v>
      </c>
      <c r="AL125" s="18">
        <f t="shared" si="286"/>
        <v>92740</v>
      </c>
      <c r="AM125" s="18">
        <f t="shared" si="286"/>
        <v>12852</v>
      </c>
      <c r="AN125" s="18">
        <f t="shared" si="286"/>
        <v>0</v>
      </c>
      <c r="AO125" s="18">
        <f t="shared" si="286"/>
        <v>2847</v>
      </c>
      <c r="AP125" s="18"/>
      <c r="AQ125" s="18">
        <f t="shared" si="286"/>
        <v>0</v>
      </c>
      <c r="AR125" s="18">
        <f t="shared" si="286"/>
        <v>621998</v>
      </c>
      <c r="AS125" s="18">
        <f t="shared" si="286"/>
        <v>31572</v>
      </c>
      <c r="AT125" s="18"/>
      <c r="AU125" s="18"/>
      <c r="AV125" s="18">
        <f t="shared" si="286"/>
        <v>0</v>
      </c>
      <c r="AW125" s="18">
        <f t="shared" si="286"/>
        <v>0</v>
      </c>
      <c r="AX125" s="18">
        <f t="shared" si="286"/>
        <v>0</v>
      </c>
      <c r="AY125" s="18"/>
      <c r="AZ125" s="18">
        <f t="shared" si="286"/>
        <v>188572</v>
      </c>
      <c r="BA125" s="18">
        <f t="shared" si="286"/>
        <v>8763157</v>
      </c>
      <c r="BB125" s="18">
        <f t="shared" si="286"/>
        <v>0</v>
      </c>
      <c r="BC125" s="18">
        <f t="shared" si="286"/>
        <v>0</v>
      </c>
      <c r="BD125" s="18">
        <f t="shared" si="286"/>
        <v>0</v>
      </c>
      <c r="BE125" s="18">
        <f t="shared" si="286"/>
        <v>0</v>
      </c>
      <c r="BF125" s="18">
        <f t="shared" si="286"/>
        <v>0</v>
      </c>
      <c r="BG125" s="18">
        <f t="shared" si="286"/>
        <v>0</v>
      </c>
      <c r="BH125" s="18">
        <f t="shared" si="286"/>
        <v>0</v>
      </c>
      <c r="BI125" s="18">
        <f t="shared" si="286"/>
        <v>0</v>
      </c>
      <c r="BJ125" s="18">
        <f t="shared" ref="BJ125" si="287">SUM(BJ126:BJ128)</f>
        <v>0</v>
      </c>
      <c r="BK125" s="18">
        <f t="shared" si="286"/>
        <v>0</v>
      </c>
      <c r="BL125" s="18">
        <f t="shared" si="286"/>
        <v>0</v>
      </c>
      <c r="BM125" s="18">
        <f t="shared" ref="BM125" si="288">SUM(BM126:BM128)</f>
        <v>0</v>
      </c>
      <c r="BN125" s="18">
        <f t="shared" si="286"/>
        <v>8763157</v>
      </c>
      <c r="BO125" s="18">
        <f t="shared" si="286"/>
        <v>0</v>
      </c>
      <c r="BP125" s="18">
        <f t="shared" si="286"/>
        <v>0</v>
      </c>
      <c r="BQ125" s="18">
        <f t="shared" si="286"/>
        <v>0</v>
      </c>
      <c r="BR125" s="18">
        <f t="shared" si="286"/>
        <v>0</v>
      </c>
      <c r="BS125" s="18">
        <f t="shared" si="286"/>
        <v>0</v>
      </c>
      <c r="BT125" s="18">
        <f t="shared" si="286"/>
        <v>328732</v>
      </c>
      <c r="BU125" s="18">
        <f t="shared" ref="BU125:CZ125" si="289">SUM(BU126:BU128)</f>
        <v>0</v>
      </c>
      <c r="BV125" s="18">
        <f t="shared" si="289"/>
        <v>0</v>
      </c>
      <c r="BW125" s="18">
        <f t="shared" si="289"/>
        <v>0</v>
      </c>
      <c r="BX125" s="18">
        <f t="shared" si="289"/>
        <v>0</v>
      </c>
      <c r="BY125" s="18">
        <f t="shared" si="289"/>
        <v>8434425</v>
      </c>
      <c r="BZ125" s="18">
        <f t="shared" si="289"/>
        <v>1285327</v>
      </c>
      <c r="CA125" s="18">
        <f t="shared" si="289"/>
        <v>1285327</v>
      </c>
      <c r="CB125" s="18">
        <f t="shared" si="289"/>
        <v>715959</v>
      </c>
      <c r="CC125" s="18">
        <f t="shared" si="289"/>
        <v>0</v>
      </c>
      <c r="CD125" s="18">
        <f t="shared" si="289"/>
        <v>715959</v>
      </c>
      <c r="CE125" s="18">
        <f t="shared" si="289"/>
        <v>0</v>
      </c>
      <c r="CF125" s="18">
        <f t="shared" si="289"/>
        <v>0</v>
      </c>
      <c r="CG125" s="18">
        <f t="shared" ref="CG125:CH125" si="290">SUM(CG126:CG128)</f>
        <v>0</v>
      </c>
      <c r="CH125" s="18">
        <f t="shared" si="290"/>
        <v>0</v>
      </c>
      <c r="CI125" s="18">
        <f t="shared" si="289"/>
        <v>0</v>
      </c>
      <c r="CJ125" s="18">
        <f t="shared" ref="CJ125" si="291">SUM(CJ126:CJ128)</f>
        <v>0</v>
      </c>
      <c r="CK125" s="18">
        <f t="shared" si="289"/>
        <v>569368</v>
      </c>
      <c r="CL125" s="18">
        <f t="shared" si="289"/>
        <v>0</v>
      </c>
      <c r="CM125" s="18">
        <f t="shared" ref="CM125" si="292">SUM(CM126:CM128)</f>
        <v>569368</v>
      </c>
      <c r="CN125" s="18">
        <f t="shared" si="289"/>
        <v>0</v>
      </c>
      <c r="CO125" s="18"/>
      <c r="CP125" s="18"/>
      <c r="CQ125" s="18"/>
      <c r="CR125" s="18"/>
      <c r="CS125" s="18">
        <f t="shared" si="289"/>
        <v>0</v>
      </c>
      <c r="CT125" s="18"/>
      <c r="CU125" s="18"/>
      <c r="CV125" s="18"/>
      <c r="CW125" s="18">
        <f t="shared" si="289"/>
        <v>0</v>
      </c>
      <c r="CX125" s="18">
        <f t="shared" si="289"/>
        <v>0</v>
      </c>
      <c r="CY125" s="18">
        <f t="shared" si="289"/>
        <v>0</v>
      </c>
      <c r="CZ125" s="46">
        <f t="shared" si="289"/>
        <v>0</v>
      </c>
      <c r="DA125" s="57"/>
    </row>
    <row r="126" spans="1:105" ht="21" customHeight="1" x14ac:dyDescent="0.25">
      <c r="A126" s="80" t="s">
        <v>1</v>
      </c>
      <c r="B126" s="21" t="s">
        <v>82</v>
      </c>
      <c r="C126" s="22" t="s">
        <v>218</v>
      </c>
      <c r="D126" s="18">
        <f>SUM(E126+BZ126+CW126)</f>
        <v>27860567</v>
      </c>
      <c r="E126" s="19">
        <f>SUM(F126+BA126)</f>
        <v>27712884</v>
      </c>
      <c r="F126" s="19">
        <f t="shared" ref="F126:F128" si="293">SUM(G126+H126+I126+P126+S126+T126+U126+AD126)</f>
        <v>22840916</v>
      </c>
      <c r="G126" s="23">
        <f>9722108+2227983</f>
        <v>11950091</v>
      </c>
      <c r="H126" s="23">
        <f>2360780+541012</f>
        <v>2901792</v>
      </c>
      <c r="I126" s="19">
        <f t="shared" si="112"/>
        <v>6438508</v>
      </c>
      <c r="J126" s="23">
        <v>71191</v>
      </c>
      <c r="K126" s="23">
        <v>583117</v>
      </c>
      <c r="L126" s="23">
        <v>5081579</v>
      </c>
      <c r="M126" s="23">
        <v>0</v>
      </c>
      <c r="N126" s="23">
        <v>444329</v>
      </c>
      <c r="O126" s="23">
        <v>258292</v>
      </c>
      <c r="P126" s="19">
        <f t="shared" si="113"/>
        <v>0</v>
      </c>
      <c r="Q126" s="19">
        <v>0</v>
      </c>
      <c r="R126" s="19">
        <v>0</v>
      </c>
      <c r="S126" s="19">
        <v>0</v>
      </c>
      <c r="T126" s="23">
        <v>17734</v>
      </c>
      <c r="U126" s="19">
        <f t="shared" ref="U126:U128" si="294">SUM(V126:AC126)</f>
        <v>851244</v>
      </c>
      <c r="V126" s="23">
        <v>43071</v>
      </c>
      <c r="W126" s="23">
        <v>421497</v>
      </c>
      <c r="X126" s="23">
        <v>176864</v>
      </c>
      <c r="Y126" s="23">
        <v>152827</v>
      </c>
      <c r="Z126" s="23">
        <v>17871</v>
      </c>
      <c r="AA126" s="23">
        <v>0</v>
      </c>
      <c r="AB126" s="23">
        <v>0</v>
      </c>
      <c r="AC126" s="23">
        <v>39114</v>
      </c>
      <c r="AD126" s="19">
        <f>SUM(AE126:AZ126)</f>
        <v>681547</v>
      </c>
      <c r="AE126" s="19">
        <v>0</v>
      </c>
      <c r="AF126" s="19">
        <v>0</v>
      </c>
      <c r="AG126" s="23">
        <v>15240</v>
      </c>
      <c r="AH126" s="23">
        <v>317066</v>
      </c>
      <c r="AI126" s="23">
        <v>0</v>
      </c>
      <c r="AJ126" s="23">
        <v>14591</v>
      </c>
      <c r="AK126" s="23">
        <v>0</v>
      </c>
      <c r="AL126" s="23">
        <v>4200</v>
      </c>
      <c r="AM126" s="23">
        <v>6235</v>
      </c>
      <c r="AN126" s="23">
        <v>0</v>
      </c>
      <c r="AO126" s="23">
        <v>2847</v>
      </c>
      <c r="AP126" s="23"/>
      <c r="AQ126" s="23">
        <v>0</v>
      </c>
      <c r="AR126" s="23">
        <v>254842</v>
      </c>
      <c r="AS126" s="23">
        <v>0</v>
      </c>
      <c r="AT126" s="23">
        <v>0</v>
      </c>
      <c r="AU126" s="23">
        <v>0</v>
      </c>
      <c r="AV126" s="23">
        <v>0</v>
      </c>
      <c r="AW126" s="23">
        <v>0</v>
      </c>
      <c r="AX126" s="23">
        <v>0</v>
      </c>
      <c r="AY126" s="23">
        <v>0</v>
      </c>
      <c r="AZ126" s="23">
        <v>66526</v>
      </c>
      <c r="BA126" s="19">
        <f>SUM(BB126+BF126+BI126+BK126+BN126)</f>
        <v>4871968</v>
      </c>
      <c r="BB126" s="19">
        <f>SUM(BC126:BE126)</f>
        <v>0</v>
      </c>
      <c r="BC126" s="19">
        <v>0</v>
      </c>
      <c r="BD126" s="19">
        <v>0</v>
      </c>
      <c r="BE126" s="19">
        <v>0</v>
      </c>
      <c r="BF126" s="19">
        <f>SUM(BH126:BH126)</f>
        <v>0</v>
      </c>
      <c r="BG126" s="19">
        <v>0</v>
      </c>
      <c r="BH126" s="19">
        <v>0</v>
      </c>
      <c r="BI126" s="19">
        <v>0</v>
      </c>
      <c r="BJ126" s="19">
        <v>0</v>
      </c>
      <c r="BK126" s="19">
        <f t="shared" si="114"/>
        <v>0</v>
      </c>
      <c r="BL126" s="19">
        <v>0</v>
      </c>
      <c r="BM126" s="19">
        <v>0</v>
      </c>
      <c r="BN126" s="19">
        <f>SUM(BO126:BY126)</f>
        <v>4871968</v>
      </c>
      <c r="BO126" s="19">
        <v>0</v>
      </c>
      <c r="BP126" s="19">
        <v>0</v>
      </c>
      <c r="BQ126" s="19">
        <v>0</v>
      </c>
      <c r="BR126" s="19">
        <v>0</v>
      </c>
      <c r="BS126" s="19">
        <v>0</v>
      </c>
      <c r="BT126" s="24">
        <v>176473</v>
      </c>
      <c r="BU126" s="19">
        <v>0</v>
      </c>
      <c r="BV126" s="19">
        <v>0</v>
      </c>
      <c r="BW126" s="19">
        <v>0</v>
      </c>
      <c r="BX126" s="19">
        <v>0</v>
      </c>
      <c r="BY126" s="23">
        <v>4695495</v>
      </c>
      <c r="BZ126" s="19">
        <f>SUM(CA126+CS126)</f>
        <v>147683</v>
      </c>
      <c r="CA126" s="19">
        <f>SUM(CB126+CE126+CK126)</f>
        <v>147683</v>
      </c>
      <c r="CB126" s="19">
        <f t="shared" si="115"/>
        <v>147683</v>
      </c>
      <c r="CC126" s="19">
        <v>0</v>
      </c>
      <c r="CD126" s="23">
        <v>147683</v>
      </c>
      <c r="CE126" s="19">
        <f t="shared" ref="CE126:CE128" si="295">SUM(CF126:CJ126)</f>
        <v>0</v>
      </c>
      <c r="CF126" s="19">
        <v>0</v>
      </c>
      <c r="CG126" s="19">
        <v>0</v>
      </c>
      <c r="CH126" s="19">
        <v>0</v>
      </c>
      <c r="CI126" s="19">
        <v>0</v>
      </c>
      <c r="CJ126" s="19">
        <v>0</v>
      </c>
      <c r="CK126" s="19">
        <f>SUM(CL126:CP126)</f>
        <v>0</v>
      </c>
      <c r="CL126" s="19">
        <v>0</v>
      </c>
      <c r="CM126" s="19">
        <v>0</v>
      </c>
      <c r="CN126" s="19">
        <v>0</v>
      </c>
      <c r="CO126" s="19"/>
      <c r="CP126" s="19"/>
      <c r="CQ126" s="19"/>
      <c r="CR126" s="19"/>
      <c r="CS126" s="19">
        <v>0</v>
      </c>
      <c r="CT126" s="19"/>
      <c r="CU126" s="19"/>
      <c r="CV126" s="19"/>
      <c r="CW126" s="19">
        <f t="shared" si="116"/>
        <v>0</v>
      </c>
      <c r="CX126" s="19">
        <f t="shared" si="117"/>
        <v>0</v>
      </c>
      <c r="CY126" s="19">
        <v>0</v>
      </c>
      <c r="CZ126" s="20">
        <v>0</v>
      </c>
    </row>
    <row r="127" spans="1:105" ht="15.75" x14ac:dyDescent="0.25">
      <c r="A127" s="80" t="s">
        <v>1</v>
      </c>
      <c r="B127" s="21" t="s">
        <v>82</v>
      </c>
      <c r="C127" s="22" t="s">
        <v>219</v>
      </c>
      <c r="D127" s="18">
        <f>SUM(E127+BZ127+CW127)</f>
        <v>45201878</v>
      </c>
      <c r="E127" s="19">
        <f>SUM(F127+BA127)</f>
        <v>44109589</v>
      </c>
      <c r="F127" s="19">
        <f t="shared" si="293"/>
        <v>40218400</v>
      </c>
      <c r="G127" s="23">
        <f>19473124+4462591</f>
        <v>23935715</v>
      </c>
      <c r="H127" s="23">
        <f>4542897+1041080</f>
        <v>5583977</v>
      </c>
      <c r="I127" s="19">
        <f t="shared" si="112"/>
        <v>8183859</v>
      </c>
      <c r="J127" s="23">
        <v>173545</v>
      </c>
      <c r="K127" s="23">
        <v>680032</v>
      </c>
      <c r="L127" s="23">
        <v>6584465</v>
      </c>
      <c r="M127" s="23">
        <v>0</v>
      </c>
      <c r="N127" s="23">
        <v>273109</v>
      </c>
      <c r="O127" s="23">
        <v>472708</v>
      </c>
      <c r="P127" s="19">
        <f t="shared" si="113"/>
        <v>0</v>
      </c>
      <c r="Q127" s="19">
        <v>0</v>
      </c>
      <c r="R127" s="19">
        <v>0</v>
      </c>
      <c r="S127" s="19">
        <v>0</v>
      </c>
      <c r="T127" s="23">
        <v>29475</v>
      </c>
      <c r="U127" s="19">
        <f t="shared" si="294"/>
        <v>1015676</v>
      </c>
      <c r="V127" s="23">
        <v>42558</v>
      </c>
      <c r="W127" s="23">
        <f>459148+4593</f>
        <v>463741</v>
      </c>
      <c r="X127" s="23">
        <v>212942</v>
      </c>
      <c r="Y127" s="23">
        <v>214030</v>
      </c>
      <c r="Z127" s="23">
        <v>30999</v>
      </c>
      <c r="AA127" s="23">
        <v>0</v>
      </c>
      <c r="AB127" s="23">
        <v>0</v>
      </c>
      <c r="AC127" s="23">
        <v>51406</v>
      </c>
      <c r="AD127" s="19">
        <f>SUM(AE127:AZ127)</f>
        <v>1469698</v>
      </c>
      <c r="AE127" s="19">
        <v>0</v>
      </c>
      <c r="AF127" s="19">
        <v>0</v>
      </c>
      <c r="AG127" s="23">
        <v>481</v>
      </c>
      <c r="AH127" s="23">
        <v>457107</v>
      </c>
      <c r="AI127" s="23">
        <v>145177</v>
      </c>
      <c r="AJ127" s="23">
        <v>355754</v>
      </c>
      <c r="AK127" s="23">
        <v>0</v>
      </c>
      <c r="AL127" s="23">
        <v>80465</v>
      </c>
      <c r="AM127" s="23">
        <v>6617</v>
      </c>
      <c r="AN127" s="23">
        <v>0</v>
      </c>
      <c r="AO127" s="23">
        <v>0</v>
      </c>
      <c r="AP127" s="23"/>
      <c r="AQ127" s="23">
        <v>0</v>
      </c>
      <c r="AR127" s="23">
        <v>280468</v>
      </c>
      <c r="AS127" s="23">
        <v>31572</v>
      </c>
      <c r="AT127" s="23">
        <v>0</v>
      </c>
      <c r="AU127" s="23">
        <v>0</v>
      </c>
      <c r="AV127" s="23">
        <v>0</v>
      </c>
      <c r="AW127" s="23">
        <v>0</v>
      </c>
      <c r="AX127" s="23">
        <v>0</v>
      </c>
      <c r="AY127" s="23">
        <v>0</v>
      </c>
      <c r="AZ127" s="23">
        <v>112057</v>
      </c>
      <c r="BA127" s="19">
        <f>SUM(BB127+BF127+BI127+BK127+BN127)</f>
        <v>3891189</v>
      </c>
      <c r="BB127" s="19">
        <f>SUM(BC127:BE127)</f>
        <v>0</v>
      </c>
      <c r="BC127" s="19">
        <v>0</v>
      </c>
      <c r="BD127" s="19">
        <v>0</v>
      </c>
      <c r="BE127" s="19">
        <v>0</v>
      </c>
      <c r="BF127" s="19">
        <f>SUM(BH127:BH127)</f>
        <v>0</v>
      </c>
      <c r="BG127" s="19">
        <v>0</v>
      </c>
      <c r="BH127" s="19">
        <v>0</v>
      </c>
      <c r="BI127" s="19">
        <v>0</v>
      </c>
      <c r="BJ127" s="19">
        <v>0</v>
      </c>
      <c r="BK127" s="19">
        <f t="shared" si="114"/>
        <v>0</v>
      </c>
      <c r="BL127" s="19">
        <v>0</v>
      </c>
      <c r="BM127" s="19">
        <v>0</v>
      </c>
      <c r="BN127" s="19">
        <f>SUM(BO127:BY127)</f>
        <v>3891189</v>
      </c>
      <c r="BO127" s="19">
        <v>0</v>
      </c>
      <c r="BP127" s="19">
        <v>0</v>
      </c>
      <c r="BQ127" s="19">
        <v>0</v>
      </c>
      <c r="BR127" s="19">
        <v>0</v>
      </c>
      <c r="BS127" s="19">
        <v>0</v>
      </c>
      <c r="BT127" s="24">
        <v>152259</v>
      </c>
      <c r="BU127" s="19">
        <v>0</v>
      </c>
      <c r="BV127" s="19">
        <v>0</v>
      </c>
      <c r="BW127" s="19">
        <v>0</v>
      </c>
      <c r="BX127" s="19">
        <v>0</v>
      </c>
      <c r="BY127" s="23">
        <v>3738930</v>
      </c>
      <c r="BZ127" s="19">
        <f>SUM(CA127+CS127)</f>
        <v>1092289</v>
      </c>
      <c r="CA127" s="19">
        <f>SUM(CB127+CE127+CK127)</f>
        <v>1092289</v>
      </c>
      <c r="CB127" s="19">
        <f t="shared" si="115"/>
        <v>522921</v>
      </c>
      <c r="CC127" s="19">
        <v>0</v>
      </c>
      <c r="CD127" s="23">
        <v>522921</v>
      </c>
      <c r="CE127" s="19">
        <f t="shared" si="295"/>
        <v>0</v>
      </c>
      <c r="CF127" s="19">
        <v>0</v>
      </c>
      <c r="CG127" s="19">
        <v>0</v>
      </c>
      <c r="CH127" s="19">
        <v>0</v>
      </c>
      <c r="CI127" s="19">
        <v>0</v>
      </c>
      <c r="CJ127" s="19">
        <v>0</v>
      </c>
      <c r="CK127" s="19">
        <f>SUM(CL127:CP127)</f>
        <v>569368</v>
      </c>
      <c r="CL127" s="23"/>
      <c r="CM127" s="23">
        <v>569368</v>
      </c>
      <c r="CN127" s="19">
        <v>0</v>
      </c>
      <c r="CO127" s="19"/>
      <c r="CP127" s="19"/>
      <c r="CQ127" s="19"/>
      <c r="CR127" s="19"/>
      <c r="CS127" s="19">
        <v>0</v>
      </c>
      <c r="CT127" s="19"/>
      <c r="CU127" s="19"/>
      <c r="CV127" s="19"/>
      <c r="CW127" s="19">
        <f t="shared" si="116"/>
        <v>0</v>
      </c>
      <c r="CX127" s="19">
        <f t="shared" si="117"/>
        <v>0</v>
      </c>
      <c r="CY127" s="19">
        <v>0</v>
      </c>
      <c r="CZ127" s="20">
        <v>0</v>
      </c>
    </row>
    <row r="128" spans="1:105" ht="15.75" x14ac:dyDescent="0.25">
      <c r="A128" s="80" t="s">
        <v>1</v>
      </c>
      <c r="B128" s="21" t="s">
        <v>86</v>
      </c>
      <c r="C128" s="22" t="s">
        <v>220</v>
      </c>
      <c r="D128" s="18">
        <f>SUM(E128+BZ128+CW128)</f>
        <v>12339160</v>
      </c>
      <c r="E128" s="19">
        <f>SUM(F128+BA128)</f>
        <v>12293805</v>
      </c>
      <c r="F128" s="19">
        <f t="shared" si="293"/>
        <v>12293805</v>
      </c>
      <c r="G128" s="23">
        <f>7299920+1672898</f>
        <v>8972818</v>
      </c>
      <c r="H128" s="23">
        <f>1708023+391422</f>
        <v>2099445</v>
      </c>
      <c r="I128" s="19">
        <f t="shared" si="112"/>
        <v>522163</v>
      </c>
      <c r="J128" s="23">
        <v>7293</v>
      </c>
      <c r="K128" s="23">
        <v>1194</v>
      </c>
      <c r="L128" s="23">
        <v>455330</v>
      </c>
      <c r="M128" s="23">
        <v>0</v>
      </c>
      <c r="N128" s="23">
        <v>0</v>
      </c>
      <c r="O128" s="23">
        <v>58346</v>
      </c>
      <c r="P128" s="19">
        <f t="shared" si="113"/>
        <v>0</v>
      </c>
      <c r="Q128" s="19">
        <v>0</v>
      </c>
      <c r="R128" s="24"/>
      <c r="S128" s="19">
        <v>0</v>
      </c>
      <c r="T128" s="23">
        <v>62003</v>
      </c>
      <c r="U128" s="19">
        <f t="shared" si="294"/>
        <v>531560</v>
      </c>
      <c r="V128" s="23">
        <f>29639-3240</f>
        <v>26399</v>
      </c>
      <c r="W128" s="23">
        <v>346817</v>
      </c>
      <c r="X128" s="23">
        <v>89030</v>
      </c>
      <c r="Y128" s="23">
        <v>51778</v>
      </c>
      <c r="Z128" s="23">
        <v>17536</v>
      </c>
      <c r="AA128" s="23">
        <v>0</v>
      </c>
      <c r="AB128" s="23">
        <v>0</v>
      </c>
      <c r="AC128" s="23">
        <v>0</v>
      </c>
      <c r="AD128" s="19">
        <f>SUM(AE128:AZ128)</f>
        <v>105816</v>
      </c>
      <c r="AE128" s="19">
        <v>0</v>
      </c>
      <c r="AF128" s="19">
        <v>0</v>
      </c>
      <c r="AG128" s="23">
        <v>374</v>
      </c>
      <c r="AH128" s="23">
        <v>0</v>
      </c>
      <c r="AI128" s="23">
        <v>0</v>
      </c>
      <c r="AJ128" s="23">
        <v>690</v>
      </c>
      <c r="AK128" s="23">
        <v>0</v>
      </c>
      <c r="AL128" s="23">
        <v>8075</v>
      </c>
      <c r="AM128" s="23">
        <v>0</v>
      </c>
      <c r="AN128" s="23">
        <v>0</v>
      </c>
      <c r="AO128" s="23">
        <v>0</v>
      </c>
      <c r="AP128" s="23"/>
      <c r="AQ128" s="23">
        <v>0</v>
      </c>
      <c r="AR128" s="23">
        <v>86688</v>
      </c>
      <c r="AS128" s="23">
        <v>0</v>
      </c>
      <c r="AT128" s="23">
        <v>0</v>
      </c>
      <c r="AU128" s="23">
        <v>0</v>
      </c>
      <c r="AV128" s="23">
        <v>0</v>
      </c>
      <c r="AW128" s="23">
        <v>0</v>
      </c>
      <c r="AX128" s="23">
        <v>0</v>
      </c>
      <c r="AY128" s="23">
        <v>0</v>
      </c>
      <c r="AZ128" s="23">
        <v>9989</v>
      </c>
      <c r="BA128" s="19">
        <f>SUM(BB128+BF128+BI128+BK128+BN128)</f>
        <v>0</v>
      </c>
      <c r="BB128" s="19">
        <f>SUM(BC128:BE128)</f>
        <v>0</v>
      </c>
      <c r="BC128" s="19">
        <v>0</v>
      </c>
      <c r="BD128" s="19">
        <v>0</v>
      </c>
      <c r="BE128" s="19">
        <v>0</v>
      </c>
      <c r="BF128" s="19">
        <f>SUM(BH128:BH128)</f>
        <v>0</v>
      </c>
      <c r="BG128" s="19">
        <v>0</v>
      </c>
      <c r="BH128" s="19">
        <v>0</v>
      </c>
      <c r="BI128" s="19">
        <v>0</v>
      </c>
      <c r="BJ128" s="19">
        <v>0</v>
      </c>
      <c r="BK128" s="19">
        <f t="shared" si="114"/>
        <v>0</v>
      </c>
      <c r="BL128" s="19">
        <v>0</v>
      </c>
      <c r="BM128" s="19">
        <v>0</v>
      </c>
      <c r="BN128" s="19">
        <f>SUM(BO128:BY128)</f>
        <v>0</v>
      </c>
      <c r="BO128" s="19">
        <v>0</v>
      </c>
      <c r="BP128" s="19">
        <v>0</v>
      </c>
      <c r="BQ128" s="19">
        <v>0</v>
      </c>
      <c r="BR128" s="19">
        <v>0</v>
      </c>
      <c r="BS128" s="19">
        <v>0</v>
      </c>
      <c r="BT128" s="19">
        <v>0</v>
      </c>
      <c r="BU128" s="19">
        <v>0</v>
      </c>
      <c r="BV128" s="19">
        <v>0</v>
      </c>
      <c r="BW128" s="19">
        <v>0</v>
      </c>
      <c r="BX128" s="19">
        <v>0</v>
      </c>
      <c r="BY128" s="19">
        <v>0</v>
      </c>
      <c r="BZ128" s="19">
        <f>SUM(CA128+CS128)</f>
        <v>45355</v>
      </c>
      <c r="CA128" s="19">
        <f>SUM(CB128+CE128+CK128)</f>
        <v>45355</v>
      </c>
      <c r="CB128" s="19">
        <f t="shared" si="115"/>
        <v>45355</v>
      </c>
      <c r="CC128" s="19">
        <v>0</v>
      </c>
      <c r="CD128" s="23">
        <f>42115+3240</f>
        <v>45355</v>
      </c>
      <c r="CE128" s="19">
        <f t="shared" si="295"/>
        <v>0</v>
      </c>
      <c r="CF128" s="19">
        <v>0</v>
      </c>
      <c r="CG128" s="19">
        <v>0</v>
      </c>
      <c r="CH128" s="19">
        <v>0</v>
      </c>
      <c r="CI128" s="19">
        <v>0</v>
      </c>
      <c r="CJ128" s="19">
        <v>0</v>
      </c>
      <c r="CK128" s="19">
        <f>SUM(CL128:CP128)</f>
        <v>0</v>
      </c>
      <c r="CL128" s="19">
        <v>0</v>
      </c>
      <c r="CM128" s="19">
        <v>0</v>
      </c>
      <c r="CN128" s="19">
        <v>0</v>
      </c>
      <c r="CO128" s="19"/>
      <c r="CP128" s="19"/>
      <c r="CQ128" s="19"/>
      <c r="CR128" s="19"/>
      <c r="CS128" s="19">
        <v>0</v>
      </c>
      <c r="CT128" s="19"/>
      <c r="CU128" s="19"/>
      <c r="CV128" s="19"/>
      <c r="CW128" s="19">
        <f t="shared" si="116"/>
        <v>0</v>
      </c>
      <c r="CX128" s="19">
        <f t="shared" si="117"/>
        <v>0</v>
      </c>
      <c r="CY128" s="19">
        <v>0</v>
      </c>
      <c r="CZ128" s="20">
        <v>0</v>
      </c>
    </row>
    <row r="129" spans="1:105" s="58" customFormat="1" ht="15.75" x14ac:dyDescent="0.25">
      <c r="A129" s="79" t="s">
        <v>221</v>
      </c>
      <c r="B129" s="16" t="s">
        <v>1</v>
      </c>
      <c r="C129" s="17" t="s">
        <v>222</v>
      </c>
      <c r="D129" s="18">
        <f>SUM(D130:D132)</f>
        <v>147456364</v>
      </c>
      <c r="E129" s="18">
        <f t="shared" ref="E129:BT129" si="296">SUM(E130:E132)</f>
        <v>144308029</v>
      </c>
      <c r="F129" s="18">
        <f t="shared" si="296"/>
        <v>126581321</v>
      </c>
      <c r="G129" s="18">
        <f t="shared" si="296"/>
        <v>88475874</v>
      </c>
      <c r="H129" s="18">
        <f t="shared" si="296"/>
        <v>20898664</v>
      </c>
      <c r="I129" s="18">
        <f t="shared" si="296"/>
        <v>9352463</v>
      </c>
      <c r="J129" s="18">
        <f t="shared" si="296"/>
        <v>128507</v>
      </c>
      <c r="K129" s="18">
        <f t="shared" si="296"/>
        <v>1080339</v>
      </c>
      <c r="L129" s="18">
        <f t="shared" si="296"/>
        <v>6326978</v>
      </c>
      <c r="M129" s="18">
        <f t="shared" si="296"/>
        <v>0</v>
      </c>
      <c r="N129" s="18">
        <f t="shared" si="296"/>
        <v>1174217</v>
      </c>
      <c r="O129" s="18">
        <f t="shared" si="296"/>
        <v>642422</v>
      </c>
      <c r="P129" s="18">
        <f t="shared" si="296"/>
        <v>750</v>
      </c>
      <c r="Q129" s="18">
        <f t="shared" si="296"/>
        <v>750</v>
      </c>
      <c r="R129" s="18">
        <f t="shared" si="296"/>
        <v>0</v>
      </c>
      <c r="S129" s="18">
        <f t="shared" si="296"/>
        <v>0</v>
      </c>
      <c r="T129" s="18">
        <f t="shared" si="296"/>
        <v>260323</v>
      </c>
      <c r="U129" s="18">
        <f t="shared" si="296"/>
        <v>4229673</v>
      </c>
      <c r="V129" s="18">
        <f t="shared" si="296"/>
        <v>184717</v>
      </c>
      <c r="W129" s="18">
        <f t="shared" si="296"/>
        <v>2985537</v>
      </c>
      <c r="X129" s="18">
        <f t="shared" si="296"/>
        <v>644803</v>
      </c>
      <c r="Y129" s="18">
        <f t="shared" si="296"/>
        <v>333685</v>
      </c>
      <c r="Z129" s="18">
        <f t="shared" si="296"/>
        <v>80785</v>
      </c>
      <c r="AA129" s="18">
        <f t="shared" si="296"/>
        <v>0</v>
      </c>
      <c r="AB129" s="18">
        <f t="shared" si="296"/>
        <v>0</v>
      </c>
      <c r="AC129" s="18">
        <f t="shared" si="296"/>
        <v>146</v>
      </c>
      <c r="AD129" s="18">
        <f t="shared" si="296"/>
        <v>3363574</v>
      </c>
      <c r="AE129" s="18">
        <f t="shared" si="296"/>
        <v>0</v>
      </c>
      <c r="AF129" s="18">
        <f t="shared" si="296"/>
        <v>0</v>
      </c>
      <c r="AG129" s="18">
        <f t="shared" si="296"/>
        <v>26437</v>
      </c>
      <c r="AH129" s="18">
        <f t="shared" si="296"/>
        <v>870082</v>
      </c>
      <c r="AI129" s="18">
        <f t="shared" si="296"/>
        <v>273848</v>
      </c>
      <c r="AJ129" s="18">
        <f t="shared" si="296"/>
        <v>462923</v>
      </c>
      <c r="AK129" s="18">
        <f t="shared" si="296"/>
        <v>0</v>
      </c>
      <c r="AL129" s="18">
        <f t="shared" si="296"/>
        <v>5709</v>
      </c>
      <c r="AM129" s="18">
        <f t="shared" si="296"/>
        <v>27919</v>
      </c>
      <c r="AN129" s="18">
        <f t="shared" si="296"/>
        <v>0</v>
      </c>
      <c r="AO129" s="18">
        <f t="shared" si="296"/>
        <v>7736</v>
      </c>
      <c r="AP129" s="18"/>
      <c r="AQ129" s="18">
        <f t="shared" si="296"/>
        <v>0</v>
      </c>
      <c r="AR129" s="18">
        <f t="shared" si="296"/>
        <v>442268</v>
      </c>
      <c r="AS129" s="18">
        <f t="shared" si="296"/>
        <v>104250</v>
      </c>
      <c r="AT129" s="18"/>
      <c r="AU129" s="18"/>
      <c r="AV129" s="18">
        <f t="shared" si="296"/>
        <v>0</v>
      </c>
      <c r="AW129" s="18">
        <f t="shared" si="296"/>
        <v>0</v>
      </c>
      <c r="AX129" s="18">
        <f t="shared" si="296"/>
        <v>0</v>
      </c>
      <c r="AY129" s="18"/>
      <c r="AZ129" s="18">
        <f t="shared" si="296"/>
        <v>1142402</v>
      </c>
      <c r="BA129" s="18">
        <f t="shared" si="296"/>
        <v>17726708</v>
      </c>
      <c r="BB129" s="18">
        <f t="shared" si="296"/>
        <v>0</v>
      </c>
      <c r="BC129" s="18">
        <f t="shared" si="296"/>
        <v>0</v>
      </c>
      <c r="BD129" s="18">
        <f t="shared" si="296"/>
        <v>0</v>
      </c>
      <c r="BE129" s="18">
        <f t="shared" si="296"/>
        <v>0</v>
      </c>
      <c r="BF129" s="18">
        <f t="shared" si="296"/>
        <v>0</v>
      </c>
      <c r="BG129" s="18">
        <f t="shared" si="296"/>
        <v>0</v>
      </c>
      <c r="BH129" s="18">
        <f t="shared" si="296"/>
        <v>0</v>
      </c>
      <c r="BI129" s="18">
        <f t="shared" si="296"/>
        <v>0</v>
      </c>
      <c r="BJ129" s="18">
        <f t="shared" ref="BJ129" si="297">SUM(BJ130:BJ132)</f>
        <v>0</v>
      </c>
      <c r="BK129" s="18">
        <f t="shared" si="296"/>
        <v>0</v>
      </c>
      <c r="BL129" s="18">
        <f t="shared" si="296"/>
        <v>0</v>
      </c>
      <c r="BM129" s="18">
        <f t="shared" ref="BM129" si="298">SUM(BM130:BM132)</f>
        <v>0</v>
      </c>
      <c r="BN129" s="18">
        <f t="shared" si="296"/>
        <v>17726708</v>
      </c>
      <c r="BO129" s="18">
        <f t="shared" si="296"/>
        <v>0</v>
      </c>
      <c r="BP129" s="18">
        <f t="shared" si="296"/>
        <v>0</v>
      </c>
      <c r="BQ129" s="18">
        <f t="shared" si="296"/>
        <v>7659468</v>
      </c>
      <c r="BR129" s="18">
        <f t="shared" si="296"/>
        <v>0</v>
      </c>
      <c r="BS129" s="18">
        <f t="shared" si="296"/>
        <v>0</v>
      </c>
      <c r="BT129" s="18">
        <f t="shared" si="296"/>
        <v>0</v>
      </c>
      <c r="BU129" s="18">
        <f t="shared" ref="BU129:CZ129" si="299">SUM(BU130:BU132)</f>
        <v>0</v>
      </c>
      <c r="BV129" s="18">
        <f t="shared" si="299"/>
        <v>0</v>
      </c>
      <c r="BW129" s="18">
        <f t="shared" si="299"/>
        <v>0</v>
      </c>
      <c r="BX129" s="18">
        <f t="shared" si="299"/>
        <v>9758696</v>
      </c>
      <c r="BY129" s="18">
        <f t="shared" si="299"/>
        <v>308544</v>
      </c>
      <c r="BZ129" s="18">
        <f t="shared" si="299"/>
        <v>3148335</v>
      </c>
      <c r="CA129" s="18">
        <f t="shared" si="299"/>
        <v>3148335</v>
      </c>
      <c r="CB129" s="18">
        <f t="shared" si="299"/>
        <v>2358283</v>
      </c>
      <c r="CC129" s="18">
        <f t="shared" si="299"/>
        <v>0</v>
      </c>
      <c r="CD129" s="18">
        <f t="shared" si="299"/>
        <v>2358283</v>
      </c>
      <c r="CE129" s="18">
        <f t="shared" si="299"/>
        <v>0</v>
      </c>
      <c r="CF129" s="18">
        <f t="shared" si="299"/>
        <v>0</v>
      </c>
      <c r="CG129" s="18">
        <f t="shared" ref="CG129:CH129" si="300">SUM(CG130:CG132)</f>
        <v>0</v>
      </c>
      <c r="CH129" s="18">
        <f t="shared" si="300"/>
        <v>0</v>
      </c>
      <c r="CI129" s="18">
        <f t="shared" si="299"/>
        <v>0</v>
      </c>
      <c r="CJ129" s="18">
        <f t="shared" ref="CJ129" si="301">SUM(CJ130:CJ132)</f>
        <v>0</v>
      </c>
      <c r="CK129" s="18">
        <f t="shared" si="299"/>
        <v>790052</v>
      </c>
      <c r="CL129" s="18">
        <f t="shared" si="299"/>
        <v>0</v>
      </c>
      <c r="CM129" s="18">
        <f t="shared" ref="CM129" si="302">SUM(CM130:CM132)</f>
        <v>790052</v>
      </c>
      <c r="CN129" s="18">
        <f t="shared" si="299"/>
        <v>0</v>
      </c>
      <c r="CO129" s="18"/>
      <c r="CP129" s="18"/>
      <c r="CQ129" s="18"/>
      <c r="CR129" s="18"/>
      <c r="CS129" s="18">
        <f t="shared" si="299"/>
        <v>0</v>
      </c>
      <c r="CT129" s="18"/>
      <c r="CU129" s="18"/>
      <c r="CV129" s="18"/>
      <c r="CW129" s="18">
        <f t="shared" si="299"/>
        <v>0</v>
      </c>
      <c r="CX129" s="18">
        <f t="shared" si="299"/>
        <v>0</v>
      </c>
      <c r="CY129" s="18">
        <f t="shared" si="299"/>
        <v>0</v>
      </c>
      <c r="CZ129" s="46">
        <f t="shared" si="299"/>
        <v>0</v>
      </c>
      <c r="DA129" s="57"/>
    </row>
    <row r="130" spans="1:105" ht="31.5" x14ac:dyDescent="0.25">
      <c r="A130" s="80" t="s">
        <v>1</v>
      </c>
      <c r="B130" s="21" t="s">
        <v>84</v>
      </c>
      <c r="C130" s="22" t="s">
        <v>223</v>
      </c>
      <c r="D130" s="18">
        <f>SUM(E130+BZ130+CW130)</f>
        <v>18842340</v>
      </c>
      <c r="E130" s="19">
        <f>SUM(F130+BA130)</f>
        <v>18640987</v>
      </c>
      <c r="F130" s="19">
        <f t="shared" ref="F130:F132" si="303">SUM(G130+H130+I130+P130+S130+T130+U130+AD130)</f>
        <v>15706380</v>
      </c>
      <c r="G130" s="23">
        <f>9608642+2201980</f>
        <v>11810622</v>
      </c>
      <c r="H130" s="23">
        <f>2337817+535750</f>
        <v>2873567</v>
      </c>
      <c r="I130" s="19">
        <f t="shared" si="112"/>
        <v>596620</v>
      </c>
      <c r="J130" s="23">
        <v>0</v>
      </c>
      <c r="K130" s="23">
        <v>0</v>
      </c>
      <c r="L130" s="23">
        <v>507368</v>
      </c>
      <c r="M130" s="23">
        <v>0</v>
      </c>
      <c r="N130" s="23">
        <v>45163</v>
      </c>
      <c r="O130" s="23">
        <v>44089</v>
      </c>
      <c r="P130" s="19">
        <f t="shared" si="113"/>
        <v>0</v>
      </c>
      <c r="Q130" s="23">
        <v>0</v>
      </c>
      <c r="R130" s="23">
        <v>0</v>
      </c>
      <c r="S130" s="23">
        <v>0</v>
      </c>
      <c r="T130" s="23">
        <v>48319</v>
      </c>
      <c r="U130" s="19">
        <f t="shared" ref="U130:U132" si="304">SUM(V130:AC130)</f>
        <v>343266</v>
      </c>
      <c r="V130" s="23">
        <v>13748</v>
      </c>
      <c r="W130" s="23">
        <v>233669</v>
      </c>
      <c r="X130" s="23">
        <v>58742</v>
      </c>
      <c r="Y130" s="23">
        <v>37107</v>
      </c>
      <c r="Z130" s="23">
        <v>0</v>
      </c>
      <c r="AA130" s="23">
        <v>0</v>
      </c>
      <c r="AB130" s="23">
        <v>0</v>
      </c>
      <c r="AC130" s="23">
        <v>0</v>
      </c>
      <c r="AD130" s="19">
        <f>SUM(AE130:AZ130)</f>
        <v>33986</v>
      </c>
      <c r="AE130" s="19">
        <v>0</v>
      </c>
      <c r="AF130" s="19">
        <v>0</v>
      </c>
      <c r="AG130" s="23">
        <v>5924</v>
      </c>
      <c r="AH130" s="23">
        <v>17595</v>
      </c>
      <c r="AI130" s="23">
        <v>0</v>
      </c>
      <c r="AJ130" s="23">
        <v>781</v>
      </c>
      <c r="AK130" s="23">
        <v>0</v>
      </c>
      <c r="AL130" s="23">
        <v>1434</v>
      </c>
      <c r="AM130" s="23">
        <v>5724</v>
      </c>
      <c r="AN130" s="23">
        <v>0</v>
      </c>
      <c r="AO130" s="23">
        <v>0</v>
      </c>
      <c r="AP130" s="23"/>
      <c r="AQ130" s="23">
        <v>0</v>
      </c>
      <c r="AR130" s="23">
        <v>0</v>
      </c>
      <c r="AS130" s="23">
        <v>0</v>
      </c>
      <c r="AT130" s="23">
        <v>0</v>
      </c>
      <c r="AU130" s="23">
        <v>0</v>
      </c>
      <c r="AV130" s="23">
        <v>0</v>
      </c>
      <c r="AW130" s="23">
        <v>0</v>
      </c>
      <c r="AX130" s="23">
        <v>0</v>
      </c>
      <c r="AY130" s="23">
        <v>0</v>
      </c>
      <c r="AZ130" s="23">
        <v>2528</v>
      </c>
      <c r="BA130" s="19">
        <f>SUM(BB130+BF130+BI130+BK130+BN130)</f>
        <v>2934607</v>
      </c>
      <c r="BB130" s="19">
        <f>SUM(BC130:BE130)</f>
        <v>0</v>
      </c>
      <c r="BC130" s="19">
        <v>0</v>
      </c>
      <c r="BD130" s="19">
        <v>0</v>
      </c>
      <c r="BE130" s="19">
        <v>0</v>
      </c>
      <c r="BF130" s="19">
        <f>SUM(BH130:BH130)</f>
        <v>0</v>
      </c>
      <c r="BG130" s="19">
        <v>0</v>
      </c>
      <c r="BH130" s="19">
        <v>0</v>
      </c>
      <c r="BI130" s="19">
        <v>0</v>
      </c>
      <c r="BJ130" s="19">
        <v>0</v>
      </c>
      <c r="BK130" s="19">
        <f t="shared" si="114"/>
        <v>0</v>
      </c>
      <c r="BL130" s="19">
        <v>0</v>
      </c>
      <c r="BM130" s="19">
        <v>0</v>
      </c>
      <c r="BN130" s="19">
        <f>SUM(BO130:BY130)</f>
        <v>2934607</v>
      </c>
      <c r="BO130" s="19">
        <v>0</v>
      </c>
      <c r="BP130" s="19">
        <v>0</v>
      </c>
      <c r="BQ130" s="23">
        <v>1146888</v>
      </c>
      <c r="BR130" s="19">
        <v>0</v>
      </c>
      <c r="BS130" s="19">
        <v>0</v>
      </c>
      <c r="BT130" s="19">
        <v>0</v>
      </c>
      <c r="BU130" s="19">
        <v>0</v>
      </c>
      <c r="BV130" s="19">
        <v>0</v>
      </c>
      <c r="BW130" s="19">
        <v>0</v>
      </c>
      <c r="BX130" s="23">
        <v>1633519</v>
      </c>
      <c r="BY130" s="23">
        <v>154200</v>
      </c>
      <c r="BZ130" s="19">
        <f>SUM(CA130+CS130)</f>
        <v>201353</v>
      </c>
      <c r="CA130" s="19">
        <f>SUM(CB130+CE130+CK130)</f>
        <v>201353</v>
      </c>
      <c r="CB130" s="19">
        <f t="shared" si="115"/>
        <v>50000</v>
      </c>
      <c r="CC130" s="19">
        <v>0</v>
      </c>
      <c r="CD130" s="23">
        <v>50000</v>
      </c>
      <c r="CE130" s="19">
        <f t="shared" ref="CE130:CE132" si="305">SUM(CF130:CJ130)</f>
        <v>0</v>
      </c>
      <c r="CF130" s="19">
        <v>0</v>
      </c>
      <c r="CG130" s="19">
        <v>0</v>
      </c>
      <c r="CH130" s="19">
        <v>0</v>
      </c>
      <c r="CI130" s="19">
        <v>0</v>
      </c>
      <c r="CJ130" s="19">
        <v>0</v>
      </c>
      <c r="CK130" s="19">
        <f>SUM(CL130:CP130)</f>
        <v>151353</v>
      </c>
      <c r="CL130" s="23">
        <v>0</v>
      </c>
      <c r="CM130" s="23">
        <v>151353</v>
      </c>
      <c r="CN130" s="19">
        <v>0</v>
      </c>
      <c r="CO130" s="19"/>
      <c r="CP130" s="19"/>
      <c r="CQ130" s="19"/>
      <c r="CR130" s="19"/>
      <c r="CS130" s="19">
        <v>0</v>
      </c>
      <c r="CT130" s="19"/>
      <c r="CU130" s="19"/>
      <c r="CV130" s="19"/>
      <c r="CW130" s="19">
        <f t="shared" si="116"/>
        <v>0</v>
      </c>
      <c r="CX130" s="19">
        <f t="shared" si="117"/>
        <v>0</v>
      </c>
      <c r="CY130" s="19">
        <v>0</v>
      </c>
      <c r="CZ130" s="20">
        <v>0</v>
      </c>
    </row>
    <row r="131" spans="1:105" s="73" customFormat="1" ht="31.5" x14ac:dyDescent="0.25">
      <c r="A131" s="83" t="s">
        <v>1</v>
      </c>
      <c r="B131" s="66" t="s">
        <v>86</v>
      </c>
      <c r="C131" s="67" t="s">
        <v>224</v>
      </c>
      <c r="D131" s="68">
        <f>SUM(E131+BZ131+CW131)</f>
        <v>111595100</v>
      </c>
      <c r="E131" s="69">
        <f>SUM(F131+BA131)</f>
        <v>109952466</v>
      </c>
      <c r="F131" s="69">
        <f t="shared" si="303"/>
        <v>95330853</v>
      </c>
      <c r="G131" s="70">
        <f>56673951+12987780</f>
        <v>69661731</v>
      </c>
      <c r="H131" s="70">
        <f>13317870+3052012</f>
        <v>16369882</v>
      </c>
      <c r="I131" s="69">
        <f t="shared" si="112"/>
        <v>3803697</v>
      </c>
      <c r="J131" s="70">
        <f>52256-3748</f>
        <v>48508</v>
      </c>
      <c r="K131" s="70">
        <f>180600-17967</f>
        <v>162633</v>
      </c>
      <c r="L131" s="70">
        <f>2465186-307614</f>
        <v>2157572</v>
      </c>
      <c r="M131" s="70">
        <v>0</v>
      </c>
      <c r="N131" s="70">
        <f>988547-55754</f>
        <v>932793</v>
      </c>
      <c r="O131" s="70">
        <v>502191</v>
      </c>
      <c r="P131" s="69">
        <f t="shared" si="113"/>
        <v>750</v>
      </c>
      <c r="Q131" s="70">
        <v>750</v>
      </c>
      <c r="R131" s="70">
        <v>0</v>
      </c>
      <c r="S131" s="70">
        <v>0</v>
      </c>
      <c r="T131" s="70">
        <v>195833</v>
      </c>
      <c r="U131" s="69">
        <f t="shared" si="304"/>
        <v>3577071</v>
      </c>
      <c r="V131" s="70">
        <v>157012</v>
      </c>
      <c r="W131" s="70">
        <f>2574287+13237</f>
        <v>2587524</v>
      </c>
      <c r="X131" s="70">
        <v>514057</v>
      </c>
      <c r="Y131" s="70">
        <v>255093</v>
      </c>
      <c r="Z131" s="70">
        <v>63239</v>
      </c>
      <c r="AA131" s="70">
        <v>0</v>
      </c>
      <c r="AB131" s="70">
        <v>0</v>
      </c>
      <c r="AC131" s="70">
        <v>146</v>
      </c>
      <c r="AD131" s="69">
        <f>SUM(AE131:AZ131)</f>
        <v>1721889</v>
      </c>
      <c r="AE131" s="69">
        <v>0</v>
      </c>
      <c r="AF131" s="69">
        <v>0</v>
      </c>
      <c r="AG131" s="70">
        <v>1980</v>
      </c>
      <c r="AH131" s="70">
        <v>390782</v>
      </c>
      <c r="AI131" s="70">
        <f>285374-11526</f>
        <v>273848</v>
      </c>
      <c r="AJ131" s="70">
        <f>463736-8077</f>
        <v>455659</v>
      </c>
      <c r="AK131" s="70">
        <v>0</v>
      </c>
      <c r="AL131" s="70">
        <v>4204</v>
      </c>
      <c r="AM131" s="70">
        <v>18455</v>
      </c>
      <c r="AN131" s="70">
        <v>0</v>
      </c>
      <c r="AO131" s="70">
        <v>7736</v>
      </c>
      <c r="AP131" s="70"/>
      <c r="AQ131" s="70">
        <v>0</v>
      </c>
      <c r="AR131" s="70">
        <v>427560</v>
      </c>
      <c r="AS131" s="70">
        <v>39000</v>
      </c>
      <c r="AT131" s="70">
        <v>0</v>
      </c>
      <c r="AU131" s="70">
        <v>0</v>
      </c>
      <c r="AV131" s="70">
        <v>0</v>
      </c>
      <c r="AW131" s="70">
        <v>0</v>
      </c>
      <c r="AX131" s="70">
        <v>0</v>
      </c>
      <c r="AY131" s="70">
        <v>0</v>
      </c>
      <c r="AZ131" s="70">
        <v>102665</v>
      </c>
      <c r="BA131" s="69">
        <f>SUM(BB131+BF131+BI131+BK131+BN131)</f>
        <v>14621613</v>
      </c>
      <c r="BB131" s="69">
        <f>SUM(BC131:BE131)</f>
        <v>0</v>
      </c>
      <c r="BC131" s="69">
        <v>0</v>
      </c>
      <c r="BD131" s="69">
        <v>0</v>
      </c>
      <c r="BE131" s="69">
        <v>0</v>
      </c>
      <c r="BF131" s="69">
        <f>SUM(BH131:BH131)</f>
        <v>0</v>
      </c>
      <c r="BG131" s="69">
        <v>0</v>
      </c>
      <c r="BH131" s="69">
        <v>0</v>
      </c>
      <c r="BI131" s="69">
        <v>0</v>
      </c>
      <c r="BJ131" s="69">
        <v>0</v>
      </c>
      <c r="BK131" s="69">
        <f t="shared" si="114"/>
        <v>0</v>
      </c>
      <c r="BL131" s="69">
        <v>0</v>
      </c>
      <c r="BM131" s="69">
        <v>0</v>
      </c>
      <c r="BN131" s="69">
        <f>SUM(BO131:BY131)</f>
        <v>14621613</v>
      </c>
      <c r="BO131" s="69">
        <v>0</v>
      </c>
      <c r="BP131" s="69">
        <v>0</v>
      </c>
      <c r="BQ131" s="70">
        <v>6379651</v>
      </c>
      <c r="BR131" s="69">
        <v>0</v>
      </c>
      <c r="BS131" s="69">
        <v>0</v>
      </c>
      <c r="BT131" s="69">
        <v>0</v>
      </c>
      <c r="BU131" s="69">
        <v>0</v>
      </c>
      <c r="BV131" s="69">
        <v>0</v>
      </c>
      <c r="BW131" s="69">
        <v>0</v>
      </c>
      <c r="BX131" s="70">
        <v>8087618</v>
      </c>
      <c r="BY131" s="70">
        <v>154344</v>
      </c>
      <c r="BZ131" s="69">
        <f>SUM(CA131+CS131)</f>
        <v>1642634</v>
      </c>
      <c r="CA131" s="69">
        <f>SUM(CB131+CE131+CK131)</f>
        <v>1642634</v>
      </c>
      <c r="CB131" s="69">
        <f t="shared" si="115"/>
        <v>1381996</v>
      </c>
      <c r="CC131" s="69">
        <v>0</v>
      </c>
      <c r="CD131" s="70">
        <v>1381996</v>
      </c>
      <c r="CE131" s="69">
        <f t="shared" si="305"/>
        <v>0</v>
      </c>
      <c r="CF131" s="69">
        <v>0</v>
      </c>
      <c r="CG131" s="69">
        <v>0</v>
      </c>
      <c r="CH131" s="69">
        <v>0</v>
      </c>
      <c r="CI131" s="69">
        <v>0</v>
      </c>
      <c r="CJ131" s="69">
        <v>0</v>
      </c>
      <c r="CK131" s="69">
        <f>SUM(CL131:CP131)</f>
        <v>260638</v>
      </c>
      <c r="CL131" s="70"/>
      <c r="CM131" s="70">
        <v>260638</v>
      </c>
      <c r="CN131" s="69">
        <v>0</v>
      </c>
      <c r="CO131" s="69"/>
      <c r="CP131" s="69"/>
      <c r="CQ131" s="69"/>
      <c r="CR131" s="69"/>
      <c r="CS131" s="69">
        <v>0</v>
      </c>
      <c r="CT131" s="69"/>
      <c r="CU131" s="69"/>
      <c r="CV131" s="69"/>
      <c r="CW131" s="69">
        <f t="shared" si="116"/>
        <v>0</v>
      </c>
      <c r="CX131" s="69">
        <f t="shared" si="117"/>
        <v>0</v>
      </c>
      <c r="CY131" s="69">
        <v>0</v>
      </c>
      <c r="CZ131" s="72">
        <v>0</v>
      </c>
    </row>
    <row r="132" spans="1:105" ht="31.5" x14ac:dyDescent="0.25">
      <c r="A132" s="80" t="s">
        <v>1</v>
      </c>
      <c r="B132" s="21" t="s">
        <v>94</v>
      </c>
      <c r="C132" s="22" t="s">
        <v>363</v>
      </c>
      <c r="D132" s="18">
        <f>SUM(E132+BZ132+CW132)</f>
        <v>17018924</v>
      </c>
      <c r="E132" s="19">
        <f>SUM(F132+BA132)</f>
        <v>15714576</v>
      </c>
      <c r="F132" s="19">
        <f t="shared" si="303"/>
        <v>15544088</v>
      </c>
      <c r="G132" s="23">
        <f>5697780+1305741</f>
        <v>7003521</v>
      </c>
      <c r="H132" s="23">
        <f>1346615+308600</f>
        <v>1655215</v>
      </c>
      <c r="I132" s="19">
        <f t="shared" si="112"/>
        <v>4952146</v>
      </c>
      <c r="J132" s="23">
        <v>79999</v>
      </c>
      <c r="K132" s="23">
        <v>917706</v>
      </c>
      <c r="L132" s="23">
        <v>3662038</v>
      </c>
      <c r="M132" s="23">
        <v>0</v>
      </c>
      <c r="N132" s="23">
        <v>196261</v>
      </c>
      <c r="O132" s="23">
        <v>96142</v>
      </c>
      <c r="P132" s="19">
        <f t="shared" si="113"/>
        <v>0</v>
      </c>
      <c r="Q132" s="23">
        <v>0</v>
      </c>
      <c r="R132" s="23">
        <v>0</v>
      </c>
      <c r="S132" s="23">
        <v>0</v>
      </c>
      <c r="T132" s="23">
        <v>16171</v>
      </c>
      <c r="U132" s="19">
        <f t="shared" si="304"/>
        <v>309336</v>
      </c>
      <c r="V132" s="23">
        <v>13957</v>
      </c>
      <c r="W132" s="23">
        <v>164344</v>
      </c>
      <c r="X132" s="23">
        <v>72004</v>
      </c>
      <c r="Y132" s="23">
        <v>41485</v>
      </c>
      <c r="Z132" s="23">
        <v>17546</v>
      </c>
      <c r="AA132" s="23">
        <v>0</v>
      </c>
      <c r="AB132" s="23">
        <v>0</v>
      </c>
      <c r="AC132" s="23">
        <v>0</v>
      </c>
      <c r="AD132" s="19">
        <f>SUM(AE132:AZ132)</f>
        <v>1607699</v>
      </c>
      <c r="AE132" s="19">
        <v>0</v>
      </c>
      <c r="AF132" s="19">
        <v>0</v>
      </c>
      <c r="AG132" s="23">
        <v>18533</v>
      </c>
      <c r="AH132" s="23">
        <v>461705</v>
      </c>
      <c r="AI132" s="23">
        <v>0</v>
      </c>
      <c r="AJ132" s="23">
        <v>6483</v>
      </c>
      <c r="AK132" s="23">
        <v>0</v>
      </c>
      <c r="AL132" s="23">
        <v>71</v>
      </c>
      <c r="AM132" s="23">
        <v>3740</v>
      </c>
      <c r="AN132" s="23">
        <v>0</v>
      </c>
      <c r="AO132" s="23">
        <v>0</v>
      </c>
      <c r="AP132" s="23"/>
      <c r="AQ132" s="23">
        <v>0</v>
      </c>
      <c r="AR132" s="23">
        <v>14708</v>
      </c>
      <c r="AS132" s="23">
        <v>65250</v>
      </c>
      <c r="AT132" s="23">
        <v>0</v>
      </c>
      <c r="AU132" s="23">
        <v>0</v>
      </c>
      <c r="AV132" s="23">
        <v>0</v>
      </c>
      <c r="AW132" s="23">
        <v>0</v>
      </c>
      <c r="AX132" s="23">
        <v>0</v>
      </c>
      <c r="AY132" s="23">
        <v>0</v>
      </c>
      <c r="AZ132" s="23">
        <v>1037209</v>
      </c>
      <c r="BA132" s="19">
        <f>SUM(BB132+BF132+BI132+BK132+BN132)</f>
        <v>170488</v>
      </c>
      <c r="BB132" s="19">
        <f>SUM(BC132:BE132)</f>
        <v>0</v>
      </c>
      <c r="BC132" s="19">
        <v>0</v>
      </c>
      <c r="BD132" s="19">
        <v>0</v>
      </c>
      <c r="BE132" s="19">
        <v>0</v>
      </c>
      <c r="BF132" s="19">
        <f>SUM(BH132:BH132)</f>
        <v>0</v>
      </c>
      <c r="BG132" s="19">
        <v>0</v>
      </c>
      <c r="BH132" s="19">
        <v>0</v>
      </c>
      <c r="BI132" s="19">
        <v>0</v>
      </c>
      <c r="BJ132" s="19">
        <v>0</v>
      </c>
      <c r="BK132" s="19">
        <f t="shared" si="114"/>
        <v>0</v>
      </c>
      <c r="BL132" s="19">
        <v>0</v>
      </c>
      <c r="BM132" s="19">
        <v>0</v>
      </c>
      <c r="BN132" s="19">
        <f>SUM(BO132:BY132)</f>
        <v>170488</v>
      </c>
      <c r="BO132" s="19">
        <v>0</v>
      </c>
      <c r="BP132" s="19">
        <v>0</v>
      </c>
      <c r="BQ132" s="23">
        <v>132929</v>
      </c>
      <c r="BR132" s="19">
        <v>0</v>
      </c>
      <c r="BS132" s="19">
        <v>0</v>
      </c>
      <c r="BT132" s="19">
        <v>0</v>
      </c>
      <c r="BU132" s="19">
        <v>0</v>
      </c>
      <c r="BV132" s="19">
        <v>0</v>
      </c>
      <c r="BW132" s="19">
        <v>0</v>
      </c>
      <c r="BX132" s="23">
        <v>37559</v>
      </c>
      <c r="BY132" s="23"/>
      <c r="BZ132" s="19">
        <f>SUM(CA132+CS132)</f>
        <v>1304348</v>
      </c>
      <c r="CA132" s="19">
        <f>SUM(CB132+CE132+CK132)</f>
        <v>1304348</v>
      </c>
      <c r="CB132" s="19">
        <f t="shared" si="115"/>
        <v>926287</v>
      </c>
      <c r="CC132" s="19">
        <v>0</v>
      </c>
      <c r="CD132" s="23">
        <v>926287</v>
      </c>
      <c r="CE132" s="19">
        <f t="shared" si="305"/>
        <v>0</v>
      </c>
      <c r="CF132" s="19">
        <v>0</v>
      </c>
      <c r="CG132" s="19">
        <v>0</v>
      </c>
      <c r="CH132" s="19">
        <v>0</v>
      </c>
      <c r="CI132" s="19">
        <v>0</v>
      </c>
      <c r="CJ132" s="19">
        <v>0</v>
      </c>
      <c r="CK132" s="19">
        <f>SUM(CL132:CP132)</f>
        <v>378061</v>
      </c>
      <c r="CL132" s="23"/>
      <c r="CM132" s="23">
        <v>378061</v>
      </c>
      <c r="CN132" s="19">
        <v>0</v>
      </c>
      <c r="CO132" s="19"/>
      <c r="CP132" s="19"/>
      <c r="CQ132" s="19"/>
      <c r="CR132" s="19"/>
      <c r="CS132" s="19">
        <v>0</v>
      </c>
      <c r="CT132" s="19"/>
      <c r="CU132" s="19"/>
      <c r="CV132" s="19"/>
      <c r="CW132" s="19">
        <f t="shared" si="116"/>
        <v>0</v>
      </c>
      <c r="CX132" s="19">
        <f t="shared" si="117"/>
        <v>0</v>
      </c>
      <c r="CY132" s="19">
        <v>0</v>
      </c>
      <c r="CZ132" s="20">
        <v>0</v>
      </c>
    </row>
    <row r="133" spans="1:105" s="58" customFormat="1" ht="15.75" x14ac:dyDescent="0.25">
      <c r="A133" s="79" t="s">
        <v>225</v>
      </c>
      <c r="B133" s="16" t="s">
        <v>1</v>
      </c>
      <c r="C133" s="17" t="s">
        <v>226</v>
      </c>
      <c r="D133" s="18">
        <f t="shared" ref="D133:BQ133" si="306">SUM(D134:D136)</f>
        <v>175510387</v>
      </c>
      <c r="E133" s="18">
        <f t="shared" si="306"/>
        <v>175236896</v>
      </c>
      <c r="F133" s="18">
        <f t="shared" si="306"/>
        <v>159764013</v>
      </c>
      <c r="G133" s="18">
        <f t="shared" si="306"/>
        <v>124229797</v>
      </c>
      <c r="H133" s="18">
        <f t="shared" si="306"/>
        <v>29333611</v>
      </c>
      <c r="I133" s="18">
        <f t="shared" si="306"/>
        <v>2365516</v>
      </c>
      <c r="J133" s="18">
        <f t="shared" si="306"/>
        <v>9105</v>
      </c>
      <c r="K133" s="18">
        <f t="shared" si="306"/>
        <v>27819</v>
      </c>
      <c r="L133" s="18">
        <f t="shared" si="306"/>
        <v>1988277</v>
      </c>
      <c r="M133" s="18">
        <f t="shared" si="306"/>
        <v>0</v>
      </c>
      <c r="N133" s="18">
        <f t="shared" si="306"/>
        <v>198351</v>
      </c>
      <c r="O133" s="18">
        <f t="shared" si="306"/>
        <v>141964</v>
      </c>
      <c r="P133" s="18">
        <f t="shared" si="306"/>
        <v>0</v>
      </c>
      <c r="Q133" s="18">
        <f t="shared" si="306"/>
        <v>0</v>
      </c>
      <c r="R133" s="18">
        <f t="shared" si="306"/>
        <v>0</v>
      </c>
      <c r="S133" s="18">
        <f t="shared" si="306"/>
        <v>0</v>
      </c>
      <c r="T133" s="18">
        <f t="shared" si="306"/>
        <v>395279</v>
      </c>
      <c r="U133" s="18">
        <f t="shared" si="306"/>
        <v>2769051</v>
      </c>
      <c r="V133" s="18">
        <f t="shared" si="306"/>
        <v>1215</v>
      </c>
      <c r="W133" s="18">
        <f t="shared" si="306"/>
        <v>1922577</v>
      </c>
      <c r="X133" s="18">
        <f t="shared" si="306"/>
        <v>469836</v>
      </c>
      <c r="Y133" s="18">
        <f t="shared" si="306"/>
        <v>188721</v>
      </c>
      <c r="Z133" s="18">
        <f t="shared" si="306"/>
        <v>186539</v>
      </c>
      <c r="AA133" s="18">
        <f t="shared" si="306"/>
        <v>0</v>
      </c>
      <c r="AB133" s="18">
        <f t="shared" si="306"/>
        <v>0</v>
      </c>
      <c r="AC133" s="18">
        <f t="shared" si="306"/>
        <v>163</v>
      </c>
      <c r="AD133" s="18">
        <f t="shared" si="306"/>
        <v>670759</v>
      </c>
      <c r="AE133" s="18">
        <f t="shared" si="306"/>
        <v>0</v>
      </c>
      <c r="AF133" s="18">
        <f t="shared" si="306"/>
        <v>0</v>
      </c>
      <c r="AG133" s="18">
        <f t="shared" si="306"/>
        <v>0</v>
      </c>
      <c r="AH133" s="18">
        <f t="shared" si="306"/>
        <v>44226</v>
      </c>
      <c r="AI133" s="18">
        <f t="shared" si="306"/>
        <v>213084</v>
      </c>
      <c r="AJ133" s="18">
        <f t="shared" si="306"/>
        <v>19786</v>
      </c>
      <c r="AK133" s="18">
        <f t="shared" si="306"/>
        <v>0</v>
      </c>
      <c r="AL133" s="18">
        <f t="shared" si="306"/>
        <v>786</v>
      </c>
      <c r="AM133" s="18">
        <f t="shared" si="306"/>
        <v>193936</v>
      </c>
      <c r="AN133" s="18">
        <f t="shared" si="306"/>
        <v>0</v>
      </c>
      <c r="AO133" s="18">
        <f t="shared" si="306"/>
        <v>0</v>
      </c>
      <c r="AP133" s="18"/>
      <c r="AQ133" s="18">
        <f t="shared" si="306"/>
        <v>0</v>
      </c>
      <c r="AR133" s="18">
        <f t="shared" si="306"/>
        <v>0</v>
      </c>
      <c r="AS133" s="18">
        <f t="shared" si="306"/>
        <v>45837</v>
      </c>
      <c r="AT133" s="18"/>
      <c r="AU133" s="18"/>
      <c r="AV133" s="18">
        <f t="shared" si="306"/>
        <v>0</v>
      </c>
      <c r="AW133" s="18">
        <f t="shared" si="306"/>
        <v>0</v>
      </c>
      <c r="AX133" s="18">
        <f t="shared" si="306"/>
        <v>43126</v>
      </c>
      <c r="AY133" s="18"/>
      <c r="AZ133" s="18">
        <f t="shared" si="306"/>
        <v>109978</v>
      </c>
      <c r="BA133" s="18">
        <f t="shared" si="306"/>
        <v>15472883</v>
      </c>
      <c r="BB133" s="18">
        <f t="shared" si="306"/>
        <v>0</v>
      </c>
      <c r="BC133" s="18">
        <f t="shared" si="306"/>
        <v>0</v>
      </c>
      <c r="BD133" s="18">
        <f t="shared" si="306"/>
        <v>0</v>
      </c>
      <c r="BE133" s="18">
        <f t="shared" si="306"/>
        <v>0</v>
      </c>
      <c r="BF133" s="18">
        <f t="shared" si="306"/>
        <v>0</v>
      </c>
      <c r="BG133" s="18">
        <f t="shared" si="306"/>
        <v>0</v>
      </c>
      <c r="BH133" s="18">
        <f t="shared" si="306"/>
        <v>0</v>
      </c>
      <c r="BI133" s="18">
        <f t="shared" si="306"/>
        <v>0</v>
      </c>
      <c r="BJ133" s="18">
        <f t="shared" ref="BJ133" si="307">SUM(BJ134:BJ136)</f>
        <v>0</v>
      </c>
      <c r="BK133" s="18">
        <f t="shared" si="306"/>
        <v>0</v>
      </c>
      <c r="BL133" s="18">
        <f t="shared" si="306"/>
        <v>0</v>
      </c>
      <c r="BM133" s="18">
        <f t="shared" ref="BM133" si="308">SUM(BM134:BM136)</f>
        <v>0</v>
      </c>
      <c r="BN133" s="18">
        <f t="shared" si="306"/>
        <v>15472883</v>
      </c>
      <c r="BO133" s="18">
        <f t="shared" si="306"/>
        <v>0</v>
      </c>
      <c r="BP133" s="18">
        <f t="shared" si="306"/>
        <v>0</v>
      </c>
      <c r="BQ133" s="18">
        <f t="shared" si="306"/>
        <v>8986113</v>
      </c>
      <c r="BR133" s="18">
        <f t="shared" ref="BR133:CZ133" si="309">SUM(BR134:BR136)</f>
        <v>0</v>
      </c>
      <c r="BS133" s="18">
        <f t="shared" si="309"/>
        <v>0</v>
      </c>
      <c r="BT133" s="18">
        <f t="shared" si="309"/>
        <v>0</v>
      </c>
      <c r="BU133" s="18">
        <f t="shared" si="309"/>
        <v>0</v>
      </c>
      <c r="BV133" s="18">
        <f t="shared" si="309"/>
        <v>0</v>
      </c>
      <c r="BW133" s="18">
        <f t="shared" si="309"/>
        <v>0</v>
      </c>
      <c r="BX133" s="18">
        <f t="shared" si="309"/>
        <v>5460722</v>
      </c>
      <c r="BY133" s="18">
        <f t="shared" si="309"/>
        <v>1026048</v>
      </c>
      <c r="BZ133" s="18">
        <f t="shared" si="309"/>
        <v>273491</v>
      </c>
      <c r="CA133" s="18">
        <f t="shared" si="309"/>
        <v>273491</v>
      </c>
      <c r="CB133" s="18">
        <f t="shared" si="309"/>
        <v>258676</v>
      </c>
      <c r="CC133" s="18">
        <f t="shared" si="309"/>
        <v>0</v>
      </c>
      <c r="CD133" s="18">
        <f t="shared" si="309"/>
        <v>258676</v>
      </c>
      <c r="CE133" s="18">
        <f t="shared" si="309"/>
        <v>0</v>
      </c>
      <c r="CF133" s="18">
        <f t="shared" si="309"/>
        <v>0</v>
      </c>
      <c r="CG133" s="18">
        <f t="shared" ref="CG133:CH133" si="310">SUM(CG134:CG136)</f>
        <v>0</v>
      </c>
      <c r="CH133" s="18">
        <f t="shared" si="310"/>
        <v>0</v>
      </c>
      <c r="CI133" s="18">
        <f t="shared" si="309"/>
        <v>0</v>
      </c>
      <c r="CJ133" s="18">
        <f t="shared" ref="CJ133" si="311">SUM(CJ134:CJ136)</f>
        <v>0</v>
      </c>
      <c r="CK133" s="18">
        <f t="shared" si="309"/>
        <v>14815</v>
      </c>
      <c r="CL133" s="18">
        <f t="shared" si="309"/>
        <v>0</v>
      </c>
      <c r="CM133" s="18">
        <f t="shared" ref="CM133" si="312">SUM(CM134:CM136)</f>
        <v>14815</v>
      </c>
      <c r="CN133" s="18">
        <f t="shared" si="309"/>
        <v>0</v>
      </c>
      <c r="CO133" s="18"/>
      <c r="CP133" s="18"/>
      <c r="CQ133" s="18"/>
      <c r="CR133" s="18"/>
      <c r="CS133" s="18">
        <f t="shared" si="309"/>
        <v>0</v>
      </c>
      <c r="CT133" s="18"/>
      <c r="CU133" s="18"/>
      <c r="CV133" s="18"/>
      <c r="CW133" s="18">
        <f t="shared" si="309"/>
        <v>0</v>
      </c>
      <c r="CX133" s="18">
        <f t="shared" si="309"/>
        <v>0</v>
      </c>
      <c r="CY133" s="18">
        <f t="shared" si="309"/>
        <v>0</v>
      </c>
      <c r="CZ133" s="46">
        <f t="shared" si="309"/>
        <v>0</v>
      </c>
      <c r="DA133" s="57"/>
    </row>
    <row r="134" spans="1:105" ht="15.75" x14ac:dyDescent="0.25">
      <c r="A134" s="80" t="s">
        <v>1</v>
      </c>
      <c r="B134" s="21" t="s">
        <v>86</v>
      </c>
      <c r="C134" s="22" t="s">
        <v>227</v>
      </c>
      <c r="D134" s="18">
        <f>SUM(E134+BZ134+CW134)</f>
        <v>381210</v>
      </c>
      <c r="E134" s="19">
        <f>SUM(F134+BA134)</f>
        <v>381210</v>
      </c>
      <c r="F134" s="19">
        <f t="shared" ref="F134:F136" si="313">SUM(G134+H134+I134+P134+S134+T134+U134+AD134)</f>
        <v>0</v>
      </c>
      <c r="G134" s="23">
        <v>0</v>
      </c>
      <c r="H134" s="23">
        <v>0</v>
      </c>
      <c r="I134" s="19">
        <f t="shared" si="112"/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19">
        <f t="shared" si="113"/>
        <v>0</v>
      </c>
      <c r="Q134" s="23">
        <v>0</v>
      </c>
      <c r="R134" s="23">
        <v>0</v>
      </c>
      <c r="S134" s="23">
        <v>0</v>
      </c>
      <c r="T134" s="23">
        <v>0</v>
      </c>
      <c r="U134" s="19">
        <f t="shared" ref="U134:U136" si="314">SUM(V134:AC134)</f>
        <v>0</v>
      </c>
      <c r="V134" s="23">
        <v>0</v>
      </c>
      <c r="W134" s="23">
        <v>0</v>
      </c>
      <c r="X134" s="23">
        <v>0</v>
      </c>
      <c r="Y134" s="23">
        <v>0</v>
      </c>
      <c r="Z134" s="23">
        <v>0</v>
      </c>
      <c r="AA134" s="23">
        <v>0</v>
      </c>
      <c r="AB134" s="23">
        <v>0</v>
      </c>
      <c r="AC134" s="23">
        <v>0</v>
      </c>
      <c r="AD134" s="19">
        <f>SUM(AE134:AZ134)</f>
        <v>0</v>
      </c>
      <c r="AE134" s="24">
        <v>0</v>
      </c>
      <c r="AF134" s="24">
        <v>0</v>
      </c>
      <c r="AG134" s="23">
        <v>0</v>
      </c>
      <c r="AH134" s="23">
        <v>0</v>
      </c>
      <c r="AI134" s="23">
        <v>0</v>
      </c>
      <c r="AJ134" s="23">
        <v>0</v>
      </c>
      <c r="AK134" s="23">
        <v>0</v>
      </c>
      <c r="AL134" s="23">
        <v>0</v>
      </c>
      <c r="AM134" s="23">
        <v>0</v>
      </c>
      <c r="AN134" s="23">
        <v>0</v>
      </c>
      <c r="AO134" s="23">
        <v>0</v>
      </c>
      <c r="AP134" s="23"/>
      <c r="AQ134" s="23">
        <v>0</v>
      </c>
      <c r="AR134" s="23">
        <v>0</v>
      </c>
      <c r="AS134" s="23">
        <v>0</v>
      </c>
      <c r="AT134" s="23">
        <v>0</v>
      </c>
      <c r="AU134" s="23">
        <v>0</v>
      </c>
      <c r="AV134" s="23">
        <v>0</v>
      </c>
      <c r="AW134" s="23">
        <v>0</v>
      </c>
      <c r="AX134" s="23">
        <v>0</v>
      </c>
      <c r="AY134" s="23">
        <v>0</v>
      </c>
      <c r="AZ134" s="23">
        <v>0</v>
      </c>
      <c r="BA134" s="19">
        <f>SUM(BB134+BF134+BI134+BK134+BN134)</f>
        <v>381210</v>
      </c>
      <c r="BB134" s="19">
        <f>SUM(BC134:BE134)</f>
        <v>0</v>
      </c>
      <c r="BC134" s="19">
        <v>0</v>
      </c>
      <c r="BD134" s="19">
        <v>0</v>
      </c>
      <c r="BE134" s="19">
        <v>0</v>
      </c>
      <c r="BF134" s="19">
        <f>SUM(BH134:BH134)</f>
        <v>0</v>
      </c>
      <c r="BG134" s="19">
        <v>0</v>
      </c>
      <c r="BH134" s="19">
        <v>0</v>
      </c>
      <c r="BI134" s="19">
        <v>0</v>
      </c>
      <c r="BJ134" s="19">
        <v>0</v>
      </c>
      <c r="BK134" s="19">
        <f t="shared" si="114"/>
        <v>0</v>
      </c>
      <c r="BL134" s="19">
        <v>0</v>
      </c>
      <c r="BM134" s="19">
        <v>0</v>
      </c>
      <c r="BN134" s="19">
        <f>SUM(BO134:BY134)</f>
        <v>381210</v>
      </c>
      <c r="BO134" s="19">
        <v>0</v>
      </c>
      <c r="BP134" s="19">
        <v>0</v>
      </c>
      <c r="BQ134" s="23">
        <v>381210</v>
      </c>
      <c r="BR134" s="19">
        <v>0</v>
      </c>
      <c r="BS134" s="19">
        <v>0</v>
      </c>
      <c r="BT134" s="19">
        <v>0</v>
      </c>
      <c r="BU134" s="19">
        <v>0</v>
      </c>
      <c r="BV134" s="19">
        <v>0</v>
      </c>
      <c r="BW134" s="19">
        <v>0</v>
      </c>
      <c r="BX134" s="23">
        <v>0</v>
      </c>
      <c r="BY134" s="23">
        <v>0</v>
      </c>
      <c r="BZ134" s="19">
        <f>SUM(CA134+CS134)</f>
        <v>0</v>
      </c>
      <c r="CA134" s="19">
        <f>SUM(CB134+CE134+CK134)</f>
        <v>0</v>
      </c>
      <c r="CB134" s="19">
        <f t="shared" si="115"/>
        <v>0</v>
      </c>
      <c r="CC134" s="19">
        <v>0</v>
      </c>
      <c r="CD134" s="23">
        <v>0</v>
      </c>
      <c r="CE134" s="19">
        <f t="shared" ref="CE134:CE136" si="315">SUM(CF134:CJ134)</f>
        <v>0</v>
      </c>
      <c r="CF134" s="19">
        <v>0</v>
      </c>
      <c r="CG134" s="19">
        <v>0</v>
      </c>
      <c r="CH134" s="19">
        <v>0</v>
      </c>
      <c r="CI134" s="19">
        <v>0</v>
      </c>
      <c r="CJ134" s="19">
        <v>0</v>
      </c>
      <c r="CK134" s="19">
        <f>SUM(CL134:CP134)</f>
        <v>0</v>
      </c>
      <c r="CL134" s="19">
        <v>0</v>
      </c>
      <c r="CM134" s="19">
        <v>0</v>
      </c>
      <c r="CN134" s="19">
        <v>0</v>
      </c>
      <c r="CO134" s="19"/>
      <c r="CP134" s="19"/>
      <c r="CQ134" s="19"/>
      <c r="CR134" s="19"/>
      <c r="CS134" s="19">
        <v>0</v>
      </c>
      <c r="CT134" s="19"/>
      <c r="CU134" s="19"/>
      <c r="CV134" s="19"/>
      <c r="CW134" s="19">
        <f t="shared" si="116"/>
        <v>0</v>
      </c>
      <c r="CX134" s="19">
        <f t="shared" si="117"/>
        <v>0</v>
      </c>
      <c r="CY134" s="19">
        <v>0</v>
      </c>
      <c r="CZ134" s="20">
        <v>0</v>
      </c>
    </row>
    <row r="135" spans="1:105" s="73" customFormat="1" ht="15.75" x14ac:dyDescent="0.25">
      <c r="A135" s="83" t="s">
        <v>1</v>
      </c>
      <c r="B135" s="66" t="s">
        <v>189</v>
      </c>
      <c r="C135" s="67" t="s">
        <v>228</v>
      </c>
      <c r="D135" s="68">
        <f>SUM(E135+BZ135+CW135)</f>
        <v>153964708</v>
      </c>
      <c r="E135" s="69">
        <f>SUM(F135+BA135)</f>
        <v>153911460</v>
      </c>
      <c r="F135" s="69">
        <f t="shared" si="313"/>
        <v>139911323</v>
      </c>
      <c r="G135" s="70">
        <f>88837529+19995101</f>
        <v>108832630</v>
      </c>
      <c r="H135" s="70">
        <f>20933015+4710775</f>
        <v>25643790</v>
      </c>
      <c r="I135" s="69">
        <f t="shared" si="112"/>
        <v>2027121</v>
      </c>
      <c r="J135" s="70">
        <f>0+3748</f>
        <v>3748</v>
      </c>
      <c r="K135" s="70">
        <f>0+17967</f>
        <v>17967</v>
      </c>
      <c r="L135" s="70">
        <f>1461600+307614</f>
        <v>1769214</v>
      </c>
      <c r="M135" s="70">
        <v>0</v>
      </c>
      <c r="N135" s="70">
        <f>110218+55754</f>
        <v>165972</v>
      </c>
      <c r="O135" s="70">
        <v>70220</v>
      </c>
      <c r="P135" s="69">
        <f t="shared" si="113"/>
        <v>0</v>
      </c>
      <c r="Q135" s="70">
        <v>0</v>
      </c>
      <c r="R135" s="70">
        <v>0</v>
      </c>
      <c r="S135" s="70">
        <v>0</v>
      </c>
      <c r="T135" s="70">
        <v>352322</v>
      </c>
      <c r="U135" s="69">
        <f t="shared" si="314"/>
        <v>2542429</v>
      </c>
      <c r="V135" s="70">
        <v>0</v>
      </c>
      <c r="W135" s="70">
        <f>1732343+16751</f>
        <v>1749094</v>
      </c>
      <c r="X135" s="70">
        <v>440294</v>
      </c>
      <c r="Y135" s="70">
        <v>175109</v>
      </c>
      <c r="Z135" s="70">
        <v>177769</v>
      </c>
      <c r="AA135" s="70">
        <v>0</v>
      </c>
      <c r="AB135" s="70">
        <v>0</v>
      </c>
      <c r="AC135" s="70">
        <v>163</v>
      </c>
      <c r="AD135" s="69">
        <f>SUM(AE135:AZ135)</f>
        <v>513031</v>
      </c>
      <c r="AE135" s="71">
        <v>0</v>
      </c>
      <c r="AF135" s="71">
        <v>0</v>
      </c>
      <c r="AG135" s="70">
        <v>0</v>
      </c>
      <c r="AH135" s="70">
        <v>0</v>
      </c>
      <c r="AI135" s="70">
        <f>201558+11526</f>
        <v>213084</v>
      </c>
      <c r="AJ135" s="70">
        <f>0+8077</f>
        <v>8077</v>
      </c>
      <c r="AK135" s="70">
        <v>0</v>
      </c>
      <c r="AL135" s="70">
        <v>0</v>
      </c>
      <c r="AM135" s="70">
        <v>181892</v>
      </c>
      <c r="AN135" s="70">
        <v>0</v>
      </c>
      <c r="AO135" s="70">
        <v>0</v>
      </c>
      <c r="AP135" s="70"/>
      <c r="AQ135" s="70">
        <v>0</v>
      </c>
      <c r="AR135" s="70">
        <v>0</v>
      </c>
      <c r="AS135" s="70">
        <v>0</v>
      </c>
      <c r="AT135" s="70">
        <v>0</v>
      </c>
      <c r="AU135" s="70">
        <v>0</v>
      </c>
      <c r="AV135" s="70">
        <v>0</v>
      </c>
      <c r="AW135" s="70">
        <v>0</v>
      </c>
      <c r="AX135" s="70">
        <v>0</v>
      </c>
      <c r="AY135" s="70">
        <v>0</v>
      </c>
      <c r="AZ135" s="70">
        <v>109978</v>
      </c>
      <c r="BA135" s="69">
        <f>SUM(BB135+BF135+BI135+BK135+BN135)</f>
        <v>14000137</v>
      </c>
      <c r="BB135" s="69">
        <f>SUM(BC135:BE135)</f>
        <v>0</v>
      </c>
      <c r="BC135" s="69">
        <v>0</v>
      </c>
      <c r="BD135" s="69">
        <v>0</v>
      </c>
      <c r="BE135" s="69">
        <v>0</v>
      </c>
      <c r="BF135" s="69">
        <f>SUM(BH135:BH135)</f>
        <v>0</v>
      </c>
      <c r="BG135" s="69">
        <v>0</v>
      </c>
      <c r="BH135" s="69">
        <v>0</v>
      </c>
      <c r="BI135" s="69">
        <v>0</v>
      </c>
      <c r="BJ135" s="69">
        <v>0</v>
      </c>
      <c r="BK135" s="69">
        <f t="shared" si="114"/>
        <v>0</v>
      </c>
      <c r="BL135" s="69">
        <v>0</v>
      </c>
      <c r="BM135" s="69">
        <v>0</v>
      </c>
      <c r="BN135" s="69">
        <f>SUM(BO135:BY135)</f>
        <v>14000137</v>
      </c>
      <c r="BO135" s="69">
        <v>0</v>
      </c>
      <c r="BP135" s="69">
        <v>0</v>
      </c>
      <c r="BQ135" s="70">
        <f>8214697-246269</f>
        <v>7968428</v>
      </c>
      <c r="BR135" s="69">
        <v>0</v>
      </c>
      <c r="BS135" s="69">
        <v>0</v>
      </c>
      <c r="BT135" s="69">
        <v>0</v>
      </c>
      <c r="BU135" s="69">
        <v>0</v>
      </c>
      <c r="BV135" s="69">
        <v>0</v>
      </c>
      <c r="BW135" s="69">
        <v>0</v>
      </c>
      <c r="BX135" s="70">
        <v>5005661</v>
      </c>
      <c r="BY135" s="70">
        <v>1026048</v>
      </c>
      <c r="BZ135" s="69">
        <f>SUM(CA135+CS135)</f>
        <v>53248</v>
      </c>
      <c r="CA135" s="69">
        <f>SUM(CB135+CE135+CK135)</f>
        <v>53248</v>
      </c>
      <c r="CB135" s="69">
        <f t="shared" si="115"/>
        <v>53248</v>
      </c>
      <c r="CC135" s="69">
        <v>0</v>
      </c>
      <c r="CD135" s="70">
        <v>53248</v>
      </c>
      <c r="CE135" s="69">
        <f t="shared" si="315"/>
        <v>0</v>
      </c>
      <c r="CF135" s="69">
        <v>0</v>
      </c>
      <c r="CG135" s="69">
        <v>0</v>
      </c>
      <c r="CH135" s="69">
        <v>0</v>
      </c>
      <c r="CI135" s="69">
        <v>0</v>
      </c>
      <c r="CJ135" s="69">
        <v>0</v>
      </c>
      <c r="CK135" s="69">
        <f>SUM(CL135:CP135)</f>
        <v>0</v>
      </c>
      <c r="CL135" s="69">
        <v>0</v>
      </c>
      <c r="CM135" s="69">
        <v>0</v>
      </c>
      <c r="CN135" s="69">
        <v>0</v>
      </c>
      <c r="CO135" s="69"/>
      <c r="CP135" s="69"/>
      <c r="CQ135" s="69"/>
      <c r="CR135" s="69"/>
      <c r="CS135" s="69">
        <v>0</v>
      </c>
      <c r="CT135" s="69"/>
      <c r="CU135" s="69"/>
      <c r="CV135" s="69"/>
      <c r="CW135" s="69">
        <f t="shared" si="116"/>
        <v>0</v>
      </c>
      <c r="CX135" s="69">
        <f t="shared" si="117"/>
        <v>0</v>
      </c>
      <c r="CY135" s="69">
        <v>0</v>
      </c>
      <c r="CZ135" s="72">
        <v>0</v>
      </c>
    </row>
    <row r="136" spans="1:105" ht="15.75" x14ac:dyDescent="0.25">
      <c r="A136" s="80" t="s">
        <v>1</v>
      </c>
      <c r="B136" s="21" t="s">
        <v>96</v>
      </c>
      <c r="C136" s="22" t="s">
        <v>541</v>
      </c>
      <c r="D136" s="18">
        <f>SUM(E136+BZ136+CW136)</f>
        <v>21164469</v>
      </c>
      <c r="E136" s="19">
        <f>SUM(F136+BA136)</f>
        <v>20944226</v>
      </c>
      <c r="F136" s="19">
        <f t="shared" si="313"/>
        <v>19852690</v>
      </c>
      <c r="G136" s="23">
        <f>12526509+2870658</f>
        <v>15397167</v>
      </c>
      <c r="H136" s="23">
        <f>3001888+687933</f>
        <v>3689821</v>
      </c>
      <c r="I136" s="19">
        <f t="shared" si="112"/>
        <v>338395</v>
      </c>
      <c r="J136" s="23">
        <v>5357</v>
      </c>
      <c r="K136" s="23">
        <v>9852</v>
      </c>
      <c r="L136" s="23">
        <v>219063</v>
      </c>
      <c r="M136" s="23">
        <v>0</v>
      </c>
      <c r="N136" s="23">
        <v>32379</v>
      </c>
      <c r="O136" s="23">
        <v>71744</v>
      </c>
      <c r="P136" s="19">
        <f t="shared" si="113"/>
        <v>0</v>
      </c>
      <c r="Q136" s="23">
        <v>0</v>
      </c>
      <c r="R136" s="23">
        <v>0</v>
      </c>
      <c r="S136" s="23">
        <v>0</v>
      </c>
      <c r="T136" s="23">
        <v>42957</v>
      </c>
      <c r="U136" s="19">
        <f t="shared" si="314"/>
        <v>226622</v>
      </c>
      <c r="V136" s="23">
        <v>1215</v>
      </c>
      <c r="W136" s="23">
        <f>171520+1963</f>
        <v>173483</v>
      </c>
      <c r="X136" s="23">
        <v>29542</v>
      </c>
      <c r="Y136" s="23">
        <v>13612</v>
      </c>
      <c r="Z136" s="23">
        <v>8770</v>
      </c>
      <c r="AA136" s="23">
        <v>0</v>
      </c>
      <c r="AB136" s="23">
        <v>0</v>
      </c>
      <c r="AC136" s="23">
        <v>0</v>
      </c>
      <c r="AD136" s="19">
        <f>SUM(AE136:AZ136)</f>
        <v>157728</v>
      </c>
      <c r="AE136" s="24">
        <v>0</v>
      </c>
      <c r="AF136" s="24">
        <v>0</v>
      </c>
      <c r="AG136" s="23">
        <v>0</v>
      </c>
      <c r="AH136" s="23">
        <v>44226</v>
      </c>
      <c r="AI136" s="23">
        <v>0</v>
      </c>
      <c r="AJ136" s="23">
        <v>11709</v>
      </c>
      <c r="AK136" s="23">
        <v>0</v>
      </c>
      <c r="AL136" s="23">
        <v>786</v>
      </c>
      <c r="AM136" s="23">
        <v>12044</v>
      </c>
      <c r="AN136" s="23">
        <v>0</v>
      </c>
      <c r="AO136" s="23">
        <v>0</v>
      </c>
      <c r="AP136" s="23"/>
      <c r="AQ136" s="23">
        <v>0</v>
      </c>
      <c r="AR136" s="23">
        <v>0</v>
      </c>
      <c r="AS136" s="23">
        <v>45837</v>
      </c>
      <c r="AT136" s="23">
        <v>0</v>
      </c>
      <c r="AU136" s="23">
        <v>0</v>
      </c>
      <c r="AV136" s="23">
        <v>0</v>
      </c>
      <c r="AW136" s="23">
        <v>0</v>
      </c>
      <c r="AX136" s="23">
        <v>43126</v>
      </c>
      <c r="AY136" s="23">
        <v>0</v>
      </c>
      <c r="AZ136" s="23">
        <v>0</v>
      </c>
      <c r="BA136" s="19">
        <f>SUM(BB136+BF136+BI136+BK136+BN136)</f>
        <v>1091536</v>
      </c>
      <c r="BB136" s="19">
        <f>SUM(BC136:BE136)</f>
        <v>0</v>
      </c>
      <c r="BC136" s="19">
        <v>0</v>
      </c>
      <c r="BD136" s="19">
        <v>0</v>
      </c>
      <c r="BE136" s="19">
        <v>0</v>
      </c>
      <c r="BF136" s="19">
        <f>SUM(BH136:BH136)</f>
        <v>0</v>
      </c>
      <c r="BG136" s="19">
        <v>0</v>
      </c>
      <c r="BH136" s="19">
        <v>0</v>
      </c>
      <c r="BI136" s="19">
        <v>0</v>
      </c>
      <c r="BJ136" s="19">
        <v>0</v>
      </c>
      <c r="BK136" s="19">
        <f t="shared" si="114"/>
        <v>0</v>
      </c>
      <c r="BL136" s="19">
        <v>0</v>
      </c>
      <c r="BM136" s="19">
        <v>0</v>
      </c>
      <c r="BN136" s="19">
        <f>SUM(BO136:BY136)</f>
        <v>1091536</v>
      </c>
      <c r="BO136" s="19">
        <v>0</v>
      </c>
      <c r="BP136" s="19">
        <v>0</v>
      </c>
      <c r="BQ136" s="23">
        <v>636475</v>
      </c>
      <c r="BR136" s="19">
        <v>0</v>
      </c>
      <c r="BS136" s="19">
        <v>0</v>
      </c>
      <c r="BT136" s="19">
        <v>0</v>
      </c>
      <c r="BU136" s="19">
        <v>0</v>
      </c>
      <c r="BV136" s="19">
        <v>0</v>
      </c>
      <c r="BW136" s="19">
        <v>0</v>
      </c>
      <c r="BX136" s="23">
        <v>455061</v>
      </c>
      <c r="BY136" s="23"/>
      <c r="BZ136" s="19">
        <f>SUM(CA136+CS136)</f>
        <v>220243</v>
      </c>
      <c r="CA136" s="19">
        <f>SUM(CB136+CE136+CK136)</f>
        <v>220243</v>
      </c>
      <c r="CB136" s="19">
        <f t="shared" si="115"/>
        <v>205428</v>
      </c>
      <c r="CC136" s="19">
        <v>0</v>
      </c>
      <c r="CD136" s="23">
        <v>205428</v>
      </c>
      <c r="CE136" s="19">
        <f t="shared" si="315"/>
        <v>0</v>
      </c>
      <c r="CF136" s="19">
        <v>0</v>
      </c>
      <c r="CG136" s="19">
        <v>0</v>
      </c>
      <c r="CH136" s="19">
        <v>0</v>
      </c>
      <c r="CI136" s="19">
        <v>0</v>
      </c>
      <c r="CJ136" s="19">
        <v>0</v>
      </c>
      <c r="CK136" s="19">
        <f>SUM(CL136:CP136)</f>
        <v>14815</v>
      </c>
      <c r="CL136" s="19"/>
      <c r="CM136" s="19">
        <v>14815</v>
      </c>
      <c r="CN136" s="19">
        <v>0</v>
      </c>
      <c r="CO136" s="19"/>
      <c r="CP136" s="19"/>
      <c r="CQ136" s="19"/>
      <c r="CR136" s="19"/>
      <c r="CS136" s="19">
        <v>0</v>
      </c>
      <c r="CT136" s="19"/>
      <c r="CU136" s="19"/>
      <c r="CV136" s="19"/>
      <c r="CW136" s="19">
        <f t="shared" si="116"/>
        <v>0</v>
      </c>
      <c r="CX136" s="19">
        <f t="shared" si="117"/>
        <v>0</v>
      </c>
      <c r="CY136" s="19">
        <v>0</v>
      </c>
      <c r="CZ136" s="20">
        <v>0</v>
      </c>
    </row>
    <row r="137" spans="1:105" s="58" customFormat="1" ht="31.5" x14ac:dyDescent="0.25">
      <c r="A137" s="79" t="s">
        <v>229</v>
      </c>
      <c r="B137" s="16" t="s">
        <v>1</v>
      </c>
      <c r="C137" s="17" t="s">
        <v>230</v>
      </c>
      <c r="D137" s="18">
        <f>SUM(D138)</f>
        <v>5066284</v>
      </c>
      <c r="E137" s="18">
        <f t="shared" ref="E137:BT137" si="316">SUM(E138)</f>
        <v>5066284</v>
      </c>
      <c r="F137" s="18">
        <f t="shared" si="316"/>
        <v>5066284</v>
      </c>
      <c r="G137" s="18">
        <f t="shared" si="316"/>
        <v>4012683</v>
      </c>
      <c r="H137" s="18">
        <f t="shared" si="316"/>
        <v>908945</v>
      </c>
      <c r="I137" s="18">
        <f t="shared" si="316"/>
        <v>61489</v>
      </c>
      <c r="J137" s="18">
        <f t="shared" si="316"/>
        <v>0</v>
      </c>
      <c r="K137" s="18">
        <f t="shared" si="316"/>
        <v>0</v>
      </c>
      <c r="L137" s="18">
        <f t="shared" si="316"/>
        <v>0</v>
      </c>
      <c r="M137" s="18">
        <f t="shared" si="316"/>
        <v>0</v>
      </c>
      <c r="N137" s="18">
        <f t="shared" si="316"/>
        <v>49533</v>
      </c>
      <c r="O137" s="18">
        <f t="shared" si="316"/>
        <v>11956</v>
      </c>
      <c r="P137" s="18">
        <f t="shared" si="316"/>
        <v>896</v>
      </c>
      <c r="Q137" s="18">
        <f t="shared" si="316"/>
        <v>896</v>
      </c>
      <c r="R137" s="18">
        <f t="shared" si="316"/>
        <v>0</v>
      </c>
      <c r="S137" s="18">
        <f t="shared" si="316"/>
        <v>0</v>
      </c>
      <c r="T137" s="18">
        <f t="shared" si="316"/>
        <v>14136</v>
      </c>
      <c r="U137" s="18">
        <f t="shared" si="316"/>
        <v>60831</v>
      </c>
      <c r="V137" s="18">
        <f t="shared" si="316"/>
        <v>2848</v>
      </c>
      <c r="W137" s="18">
        <f t="shared" si="316"/>
        <v>42194</v>
      </c>
      <c r="X137" s="18">
        <f t="shared" si="316"/>
        <v>9521</v>
      </c>
      <c r="Y137" s="18">
        <f t="shared" si="316"/>
        <v>4490</v>
      </c>
      <c r="Z137" s="18">
        <f t="shared" si="316"/>
        <v>1778</v>
      </c>
      <c r="AA137" s="18">
        <f t="shared" si="316"/>
        <v>0</v>
      </c>
      <c r="AB137" s="18">
        <f t="shared" si="316"/>
        <v>0</v>
      </c>
      <c r="AC137" s="18">
        <f t="shared" si="316"/>
        <v>0</v>
      </c>
      <c r="AD137" s="18">
        <f t="shared" si="316"/>
        <v>7304</v>
      </c>
      <c r="AE137" s="18">
        <f t="shared" si="316"/>
        <v>0</v>
      </c>
      <c r="AF137" s="18">
        <f t="shared" si="316"/>
        <v>0</v>
      </c>
      <c r="AG137" s="18">
        <f t="shared" si="316"/>
        <v>1271</v>
      </c>
      <c r="AH137" s="18">
        <f t="shared" si="316"/>
        <v>1998</v>
      </c>
      <c r="AI137" s="18">
        <f t="shared" si="316"/>
        <v>0</v>
      </c>
      <c r="AJ137" s="18">
        <f t="shared" si="316"/>
        <v>984</v>
      </c>
      <c r="AK137" s="18">
        <f t="shared" si="316"/>
        <v>0</v>
      </c>
      <c r="AL137" s="18">
        <f t="shared" si="316"/>
        <v>546</v>
      </c>
      <c r="AM137" s="18">
        <f t="shared" si="316"/>
        <v>2505</v>
      </c>
      <c r="AN137" s="18">
        <f t="shared" si="316"/>
        <v>0</v>
      </c>
      <c r="AO137" s="18">
        <f t="shared" si="316"/>
        <v>0</v>
      </c>
      <c r="AP137" s="18"/>
      <c r="AQ137" s="18">
        <f t="shared" si="316"/>
        <v>0</v>
      </c>
      <c r="AR137" s="18">
        <f t="shared" si="316"/>
        <v>0</v>
      </c>
      <c r="AS137" s="18">
        <f t="shared" si="316"/>
        <v>0</v>
      </c>
      <c r="AT137" s="18"/>
      <c r="AU137" s="18"/>
      <c r="AV137" s="18">
        <f t="shared" si="316"/>
        <v>0</v>
      </c>
      <c r="AW137" s="18">
        <f t="shared" si="316"/>
        <v>0</v>
      </c>
      <c r="AX137" s="18">
        <f t="shared" si="316"/>
        <v>0</v>
      </c>
      <c r="AY137" s="18"/>
      <c r="AZ137" s="18">
        <f t="shared" si="316"/>
        <v>0</v>
      </c>
      <c r="BA137" s="18">
        <f t="shared" si="316"/>
        <v>0</v>
      </c>
      <c r="BB137" s="18">
        <f t="shared" si="316"/>
        <v>0</v>
      </c>
      <c r="BC137" s="18">
        <f t="shared" si="316"/>
        <v>0</v>
      </c>
      <c r="BD137" s="18">
        <f t="shared" si="316"/>
        <v>0</v>
      </c>
      <c r="BE137" s="18">
        <f t="shared" si="316"/>
        <v>0</v>
      </c>
      <c r="BF137" s="18">
        <f t="shared" si="316"/>
        <v>0</v>
      </c>
      <c r="BG137" s="18">
        <f t="shared" si="316"/>
        <v>0</v>
      </c>
      <c r="BH137" s="18">
        <f t="shared" si="316"/>
        <v>0</v>
      </c>
      <c r="BI137" s="18">
        <f t="shared" si="316"/>
        <v>0</v>
      </c>
      <c r="BJ137" s="18">
        <f t="shared" si="316"/>
        <v>0</v>
      </c>
      <c r="BK137" s="18">
        <f t="shared" si="316"/>
        <v>0</v>
      </c>
      <c r="BL137" s="18">
        <f t="shared" si="316"/>
        <v>0</v>
      </c>
      <c r="BM137" s="18">
        <f t="shared" si="316"/>
        <v>0</v>
      </c>
      <c r="BN137" s="18">
        <f t="shared" si="316"/>
        <v>0</v>
      </c>
      <c r="BO137" s="18">
        <f t="shared" si="316"/>
        <v>0</v>
      </c>
      <c r="BP137" s="18">
        <f t="shared" si="316"/>
        <v>0</v>
      </c>
      <c r="BQ137" s="18">
        <f t="shared" si="316"/>
        <v>0</v>
      </c>
      <c r="BR137" s="18">
        <f t="shared" si="316"/>
        <v>0</v>
      </c>
      <c r="BS137" s="18">
        <f t="shared" si="316"/>
        <v>0</v>
      </c>
      <c r="BT137" s="18">
        <f t="shared" si="316"/>
        <v>0</v>
      </c>
      <c r="BU137" s="18">
        <f t="shared" ref="BU137:CZ137" si="317">SUM(BU138)</f>
        <v>0</v>
      </c>
      <c r="BV137" s="18">
        <f t="shared" si="317"/>
        <v>0</v>
      </c>
      <c r="BW137" s="18">
        <f t="shared" si="317"/>
        <v>0</v>
      </c>
      <c r="BX137" s="18">
        <f t="shared" si="317"/>
        <v>0</v>
      </c>
      <c r="BY137" s="18">
        <f t="shared" si="317"/>
        <v>0</v>
      </c>
      <c r="BZ137" s="18">
        <f t="shared" si="317"/>
        <v>0</v>
      </c>
      <c r="CA137" s="18">
        <f t="shared" si="317"/>
        <v>0</v>
      </c>
      <c r="CB137" s="18">
        <f t="shared" si="317"/>
        <v>0</v>
      </c>
      <c r="CC137" s="18">
        <f t="shared" si="317"/>
        <v>0</v>
      </c>
      <c r="CD137" s="18">
        <f t="shared" si="317"/>
        <v>0</v>
      </c>
      <c r="CE137" s="18">
        <f t="shared" si="317"/>
        <v>0</v>
      </c>
      <c r="CF137" s="18">
        <f t="shared" si="317"/>
        <v>0</v>
      </c>
      <c r="CG137" s="18">
        <f t="shared" si="317"/>
        <v>0</v>
      </c>
      <c r="CH137" s="18">
        <f t="shared" si="317"/>
        <v>0</v>
      </c>
      <c r="CI137" s="18">
        <f t="shared" si="317"/>
        <v>0</v>
      </c>
      <c r="CJ137" s="18">
        <f t="shared" si="317"/>
        <v>0</v>
      </c>
      <c r="CK137" s="18">
        <f t="shared" si="317"/>
        <v>0</v>
      </c>
      <c r="CL137" s="18">
        <f t="shared" si="317"/>
        <v>0</v>
      </c>
      <c r="CM137" s="18">
        <f t="shared" si="317"/>
        <v>0</v>
      </c>
      <c r="CN137" s="18">
        <f t="shared" si="317"/>
        <v>0</v>
      </c>
      <c r="CO137" s="18"/>
      <c r="CP137" s="18"/>
      <c r="CQ137" s="18"/>
      <c r="CR137" s="18"/>
      <c r="CS137" s="18">
        <f t="shared" si="317"/>
        <v>0</v>
      </c>
      <c r="CT137" s="18"/>
      <c r="CU137" s="18"/>
      <c r="CV137" s="18"/>
      <c r="CW137" s="18">
        <f t="shared" si="317"/>
        <v>0</v>
      </c>
      <c r="CX137" s="18">
        <f t="shared" si="317"/>
        <v>0</v>
      </c>
      <c r="CY137" s="18">
        <f t="shared" si="317"/>
        <v>0</v>
      </c>
      <c r="CZ137" s="46">
        <f t="shared" si="317"/>
        <v>0</v>
      </c>
      <c r="DA137" s="57"/>
    </row>
    <row r="138" spans="1:105" ht="31.5" x14ac:dyDescent="0.25">
      <c r="A138" s="80" t="s">
        <v>1</v>
      </c>
      <c r="B138" s="21" t="s">
        <v>86</v>
      </c>
      <c r="C138" s="22" t="s">
        <v>231</v>
      </c>
      <c r="D138" s="18">
        <f>SUM(E138+BZ138+CW138)</f>
        <v>5066284</v>
      </c>
      <c r="E138" s="19">
        <f>SUM(F138+BA138)</f>
        <v>5066284</v>
      </c>
      <c r="F138" s="19">
        <f>SUM(G138+H138+I138+P138+S138+T138+U138+AD138)</f>
        <v>5066284</v>
      </c>
      <c r="G138" s="19">
        <f>3264556+748127</f>
        <v>4012683</v>
      </c>
      <c r="H138" s="19">
        <f>739480+169465</f>
        <v>908945</v>
      </c>
      <c r="I138" s="19">
        <f t="shared" si="112"/>
        <v>61489</v>
      </c>
      <c r="J138" s="19">
        <v>0</v>
      </c>
      <c r="K138" s="19">
        <v>0</v>
      </c>
      <c r="L138" s="19">
        <v>0</v>
      </c>
      <c r="M138" s="19">
        <v>0</v>
      </c>
      <c r="N138" s="24">
        <v>49533</v>
      </c>
      <c r="O138" s="24">
        <v>11956</v>
      </c>
      <c r="P138" s="19">
        <f t="shared" si="113"/>
        <v>896</v>
      </c>
      <c r="Q138" s="24">
        <v>896</v>
      </c>
      <c r="R138" s="19">
        <v>0</v>
      </c>
      <c r="S138" s="19">
        <v>0</v>
      </c>
      <c r="T138" s="24">
        <v>14136</v>
      </c>
      <c r="U138" s="19">
        <f>SUM(V138:AC138)</f>
        <v>60831</v>
      </c>
      <c r="V138" s="23">
        <v>2848</v>
      </c>
      <c r="W138" s="23">
        <v>42194</v>
      </c>
      <c r="X138" s="23">
        <v>9521</v>
      </c>
      <c r="Y138" s="23">
        <v>4490</v>
      </c>
      <c r="Z138" s="23">
        <v>1778</v>
      </c>
      <c r="AA138" s="23">
        <v>0</v>
      </c>
      <c r="AB138" s="23">
        <v>0</v>
      </c>
      <c r="AC138" s="23">
        <v>0</v>
      </c>
      <c r="AD138" s="19">
        <f>SUM(AE138:AZ138)</f>
        <v>7304</v>
      </c>
      <c r="AE138" s="19">
        <v>0</v>
      </c>
      <c r="AF138" s="19">
        <v>0</v>
      </c>
      <c r="AG138" s="23">
        <v>1271</v>
      </c>
      <c r="AH138" s="23">
        <v>1998</v>
      </c>
      <c r="AI138" s="23">
        <v>0</v>
      </c>
      <c r="AJ138" s="23">
        <v>984</v>
      </c>
      <c r="AK138" s="23">
        <v>0</v>
      </c>
      <c r="AL138" s="23">
        <v>546</v>
      </c>
      <c r="AM138" s="23">
        <v>2505</v>
      </c>
      <c r="AN138" s="23">
        <v>0</v>
      </c>
      <c r="AO138" s="23">
        <v>0</v>
      </c>
      <c r="AP138" s="23"/>
      <c r="AQ138" s="23">
        <v>0</v>
      </c>
      <c r="AR138" s="23">
        <v>0</v>
      </c>
      <c r="AS138" s="23">
        <v>0</v>
      </c>
      <c r="AT138" s="23">
        <v>0</v>
      </c>
      <c r="AU138" s="23">
        <v>0</v>
      </c>
      <c r="AV138" s="23">
        <v>0</v>
      </c>
      <c r="AW138" s="23">
        <v>0</v>
      </c>
      <c r="AX138" s="23">
        <v>0</v>
      </c>
      <c r="AY138" s="23">
        <v>0</v>
      </c>
      <c r="AZ138" s="23">
        <v>0</v>
      </c>
      <c r="BA138" s="19">
        <f>SUM(BB138+BF138+BI138+BK138+BN138)</f>
        <v>0</v>
      </c>
      <c r="BB138" s="19">
        <f>SUM(BC138:BE138)</f>
        <v>0</v>
      </c>
      <c r="BC138" s="19">
        <v>0</v>
      </c>
      <c r="BD138" s="19">
        <v>0</v>
      </c>
      <c r="BE138" s="19">
        <v>0</v>
      </c>
      <c r="BF138" s="19">
        <f>SUM(BH138:BH138)</f>
        <v>0</v>
      </c>
      <c r="BG138" s="19">
        <v>0</v>
      </c>
      <c r="BH138" s="19">
        <v>0</v>
      </c>
      <c r="BI138" s="19">
        <v>0</v>
      </c>
      <c r="BJ138" s="19">
        <v>0</v>
      </c>
      <c r="BK138" s="19">
        <f t="shared" si="114"/>
        <v>0</v>
      </c>
      <c r="BL138" s="19">
        <v>0</v>
      </c>
      <c r="BM138" s="19">
        <v>0</v>
      </c>
      <c r="BN138" s="19">
        <f>SUM(BO138:BY138)</f>
        <v>0</v>
      </c>
      <c r="BO138" s="19">
        <v>0</v>
      </c>
      <c r="BP138" s="19">
        <v>0</v>
      </c>
      <c r="BQ138" s="19">
        <v>0</v>
      </c>
      <c r="BR138" s="19">
        <v>0</v>
      </c>
      <c r="BS138" s="19">
        <v>0</v>
      </c>
      <c r="BT138" s="19">
        <v>0</v>
      </c>
      <c r="BU138" s="19">
        <v>0</v>
      </c>
      <c r="BV138" s="19">
        <v>0</v>
      </c>
      <c r="BW138" s="19">
        <v>0</v>
      </c>
      <c r="BX138" s="19">
        <v>0</v>
      </c>
      <c r="BY138" s="19">
        <v>0</v>
      </c>
      <c r="BZ138" s="19">
        <f>SUM(CA138+CS138)</f>
        <v>0</v>
      </c>
      <c r="CA138" s="19">
        <f>SUM(CB138+CE138+CK138)</f>
        <v>0</v>
      </c>
      <c r="CB138" s="19">
        <f t="shared" si="115"/>
        <v>0</v>
      </c>
      <c r="CC138" s="19">
        <v>0</v>
      </c>
      <c r="CD138" s="19"/>
      <c r="CE138" s="19">
        <f>SUM(CF138:CJ138)</f>
        <v>0</v>
      </c>
      <c r="CF138" s="19">
        <v>0</v>
      </c>
      <c r="CG138" s="19">
        <v>0</v>
      </c>
      <c r="CH138" s="19">
        <v>0</v>
      </c>
      <c r="CI138" s="19">
        <v>0</v>
      </c>
      <c r="CJ138" s="19">
        <v>0</v>
      </c>
      <c r="CK138" s="19">
        <f>SUM(CL138:CP138)</f>
        <v>0</v>
      </c>
      <c r="CL138" s="19">
        <v>0</v>
      </c>
      <c r="CM138" s="19">
        <v>0</v>
      </c>
      <c r="CN138" s="19">
        <v>0</v>
      </c>
      <c r="CO138" s="19"/>
      <c r="CP138" s="19"/>
      <c r="CQ138" s="19"/>
      <c r="CR138" s="19"/>
      <c r="CS138" s="19">
        <v>0</v>
      </c>
      <c r="CT138" s="19"/>
      <c r="CU138" s="19"/>
      <c r="CV138" s="19"/>
      <c r="CW138" s="19">
        <f t="shared" si="116"/>
        <v>0</v>
      </c>
      <c r="CX138" s="19">
        <f t="shared" si="117"/>
        <v>0</v>
      </c>
      <c r="CY138" s="19">
        <v>0</v>
      </c>
      <c r="CZ138" s="20">
        <v>0</v>
      </c>
    </row>
    <row r="139" spans="1:105" s="58" customFormat="1" ht="31.5" x14ac:dyDescent="0.25">
      <c r="A139" s="79" t="s">
        <v>232</v>
      </c>
      <c r="B139" s="16" t="s">
        <v>1</v>
      </c>
      <c r="C139" s="17" t="s">
        <v>233</v>
      </c>
      <c r="D139" s="18">
        <f t="shared" ref="D139:AJ139" si="318">SUM(D140)</f>
        <v>9328685</v>
      </c>
      <c r="E139" s="18">
        <f t="shared" si="318"/>
        <v>9120964</v>
      </c>
      <c r="F139" s="18">
        <f t="shared" si="318"/>
        <v>7739839</v>
      </c>
      <c r="G139" s="18">
        <f t="shared" si="318"/>
        <v>4346052</v>
      </c>
      <c r="H139" s="18">
        <f t="shared" si="318"/>
        <v>1028957</v>
      </c>
      <c r="I139" s="18">
        <f t="shared" si="318"/>
        <v>1864219</v>
      </c>
      <c r="J139" s="18">
        <f t="shared" si="318"/>
        <v>20069</v>
      </c>
      <c r="K139" s="18">
        <f t="shared" si="318"/>
        <v>181482</v>
      </c>
      <c r="L139" s="18">
        <f t="shared" si="318"/>
        <v>1224098</v>
      </c>
      <c r="M139" s="18">
        <f t="shared" si="318"/>
        <v>0</v>
      </c>
      <c r="N139" s="18">
        <f t="shared" si="318"/>
        <v>156810</v>
      </c>
      <c r="O139" s="18">
        <f t="shared" si="318"/>
        <v>281760</v>
      </c>
      <c r="P139" s="18">
        <f t="shared" si="318"/>
        <v>0</v>
      </c>
      <c r="Q139" s="18">
        <f t="shared" si="318"/>
        <v>0</v>
      </c>
      <c r="R139" s="18">
        <f t="shared" si="318"/>
        <v>0</v>
      </c>
      <c r="S139" s="18">
        <f t="shared" si="318"/>
        <v>0</v>
      </c>
      <c r="T139" s="18">
        <f t="shared" si="318"/>
        <v>6873</v>
      </c>
      <c r="U139" s="18">
        <f t="shared" si="318"/>
        <v>246334</v>
      </c>
      <c r="V139" s="18">
        <f t="shared" si="318"/>
        <v>17057</v>
      </c>
      <c r="W139" s="18">
        <f t="shared" si="318"/>
        <v>138222</v>
      </c>
      <c r="X139" s="18">
        <f t="shared" si="318"/>
        <v>43852</v>
      </c>
      <c r="Y139" s="18">
        <f t="shared" si="318"/>
        <v>42092</v>
      </c>
      <c r="Z139" s="18">
        <f t="shared" si="318"/>
        <v>5111</v>
      </c>
      <c r="AA139" s="18">
        <f t="shared" si="318"/>
        <v>0</v>
      </c>
      <c r="AB139" s="18">
        <f t="shared" si="318"/>
        <v>0</v>
      </c>
      <c r="AC139" s="18">
        <f t="shared" si="318"/>
        <v>0</v>
      </c>
      <c r="AD139" s="18">
        <f t="shared" si="318"/>
        <v>247404</v>
      </c>
      <c r="AE139" s="18">
        <f t="shared" si="318"/>
        <v>0</v>
      </c>
      <c r="AF139" s="18">
        <f t="shared" si="318"/>
        <v>0</v>
      </c>
      <c r="AG139" s="18">
        <f t="shared" si="318"/>
        <v>7800</v>
      </c>
      <c r="AH139" s="18">
        <f t="shared" si="318"/>
        <v>23451</v>
      </c>
      <c r="AI139" s="18">
        <f t="shared" si="318"/>
        <v>2145</v>
      </c>
      <c r="AJ139" s="18">
        <f t="shared" si="318"/>
        <v>2057</v>
      </c>
      <c r="AK139" s="18">
        <f t="shared" ref="AK139:CZ139" si="319">SUM(AK140)</f>
        <v>0</v>
      </c>
      <c r="AL139" s="18">
        <f t="shared" si="319"/>
        <v>22600</v>
      </c>
      <c r="AM139" s="18">
        <f t="shared" si="319"/>
        <v>1510</v>
      </c>
      <c r="AN139" s="18">
        <f t="shared" si="319"/>
        <v>0</v>
      </c>
      <c r="AO139" s="18">
        <f t="shared" si="319"/>
        <v>0</v>
      </c>
      <c r="AP139" s="18"/>
      <c r="AQ139" s="18">
        <f t="shared" si="319"/>
        <v>0</v>
      </c>
      <c r="AR139" s="18">
        <f t="shared" si="319"/>
        <v>175971</v>
      </c>
      <c r="AS139" s="18">
        <f t="shared" si="319"/>
        <v>0</v>
      </c>
      <c r="AT139" s="18"/>
      <c r="AU139" s="18"/>
      <c r="AV139" s="18">
        <f t="shared" si="319"/>
        <v>0</v>
      </c>
      <c r="AW139" s="18">
        <f t="shared" si="319"/>
        <v>0</v>
      </c>
      <c r="AX139" s="18">
        <f t="shared" si="319"/>
        <v>0</v>
      </c>
      <c r="AY139" s="18"/>
      <c r="AZ139" s="18">
        <f t="shared" si="319"/>
        <v>11870</v>
      </c>
      <c r="BA139" s="18">
        <f t="shared" si="319"/>
        <v>1381125</v>
      </c>
      <c r="BB139" s="18">
        <f t="shared" si="319"/>
        <v>0</v>
      </c>
      <c r="BC139" s="18">
        <f t="shared" si="319"/>
        <v>0</v>
      </c>
      <c r="BD139" s="18">
        <f t="shared" si="319"/>
        <v>0</v>
      </c>
      <c r="BE139" s="18">
        <f t="shared" si="319"/>
        <v>0</v>
      </c>
      <c r="BF139" s="18">
        <f t="shared" si="319"/>
        <v>0</v>
      </c>
      <c r="BG139" s="18">
        <f t="shared" si="319"/>
        <v>0</v>
      </c>
      <c r="BH139" s="18">
        <f t="shared" si="319"/>
        <v>0</v>
      </c>
      <c r="BI139" s="18">
        <f t="shared" si="319"/>
        <v>0</v>
      </c>
      <c r="BJ139" s="18">
        <f t="shared" si="319"/>
        <v>0</v>
      </c>
      <c r="BK139" s="18">
        <f t="shared" si="319"/>
        <v>0</v>
      </c>
      <c r="BL139" s="18">
        <f t="shared" si="319"/>
        <v>0</v>
      </c>
      <c r="BM139" s="18">
        <f t="shared" si="319"/>
        <v>0</v>
      </c>
      <c r="BN139" s="18">
        <f t="shared" si="319"/>
        <v>1381125</v>
      </c>
      <c r="BO139" s="18">
        <f t="shared" si="319"/>
        <v>0</v>
      </c>
      <c r="BP139" s="18">
        <f t="shared" si="319"/>
        <v>0</v>
      </c>
      <c r="BQ139" s="18">
        <f t="shared" si="319"/>
        <v>0</v>
      </c>
      <c r="BR139" s="18">
        <f t="shared" si="319"/>
        <v>0</v>
      </c>
      <c r="BS139" s="18">
        <f t="shared" si="319"/>
        <v>0</v>
      </c>
      <c r="BT139" s="18">
        <f t="shared" si="319"/>
        <v>0</v>
      </c>
      <c r="BU139" s="18">
        <f t="shared" si="319"/>
        <v>0</v>
      </c>
      <c r="BV139" s="18">
        <f t="shared" si="319"/>
        <v>0</v>
      </c>
      <c r="BW139" s="18">
        <f t="shared" si="319"/>
        <v>0</v>
      </c>
      <c r="BX139" s="18">
        <f t="shared" si="319"/>
        <v>0</v>
      </c>
      <c r="BY139" s="18">
        <f t="shared" si="319"/>
        <v>1381125</v>
      </c>
      <c r="BZ139" s="18">
        <f t="shared" si="319"/>
        <v>207721</v>
      </c>
      <c r="CA139" s="18">
        <f t="shared" si="319"/>
        <v>207721</v>
      </c>
      <c r="CB139" s="18">
        <f t="shared" si="319"/>
        <v>190505</v>
      </c>
      <c r="CC139" s="18">
        <f t="shared" si="319"/>
        <v>0</v>
      </c>
      <c r="CD139" s="18">
        <f t="shared" si="319"/>
        <v>190505</v>
      </c>
      <c r="CE139" s="18">
        <f t="shared" si="319"/>
        <v>0</v>
      </c>
      <c r="CF139" s="18">
        <f t="shared" si="319"/>
        <v>0</v>
      </c>
      <c r="CG139" s="18">
        <f t="shared" si="319"/>
        <v>0</v>
      </c>
      <c r="CH139" s="18">
        <f t="shared" si="319"/>
        <v>0</v>
      </c>
      <c r="CI139" s="18">
        <f t="shared" si="319"/>
        <v>0</v>
      </c>
      <c r="CJ139" s="18">
        <f t="shared" si="319"/>
        <v>0</v>
      </c>
      <c r="CK139" s="18">
        <f t="shared" si="319"/>
        <v>17216</v>
      </c>
      <c r="CL139" s="18">
        <f t="shared" si="319"/>
        <v>0</v>
      </c>
      <c r="CM139" s="18">
        <f t="shared" si="319"/>
        <v>17216</v>
      </c>
      <c r="CN139" s="18">
        <f t="shared" si="319"/>
        <v>0</v>
      </c>
      <c r="CO139" s="18"/>
      <c r="CP139" s="18"/>
      <c r="CQ139" s="18"/>
      <c r="CR139" s="18"/>
      <c r="CS139" s="18">
        <f t="shared" si="319"/>
        <v>0</v>
      </c>
      <c r="CT139" s="18"/>
      <c r="CU139" s="18"/>
      <c r="CV139" s="18"/>
      <c r="CW139" s="18">
        <f t="shared" si="319"/>
        <v>0</v>
      </c>
      <c r="CX139" s="18">
        <f t="shared" si="319"/>
        <v>0</v>
      </c>
      <c r="CY139" s="18">
        <f t="shared" si="319"/>
        <v>0</v>
      </c>
      <c r="CZ139" s="46">
        <f t="shared" si="319"/>
        <v>0</v>
      </c>
      <c r="DA139" s="57"/>
    </row>
    <row r="140" spans="1:105" ht="15.75" x14ac:dyDescent="0.25">
      <c r="A140" s="80" t="s">
        <v>1</v>
      </c>
      <c r="B140" s="21" t="s">
        <v>82</v>
      </c>
      <c r="C140" s="22" t="s">
        <v>234</v>
      </c>
      <c r="D140" s="18">
        <f>SUM(E140+BZ140+CW140)</f>
        <v>9328685</v>
      </c>
      <c r="E140" s="19">
        <f>SUM(F140+BA140)</f>
        <v>9120964</v>
      </c>
      <c r="F140" s="19">
        <f>SUM(G140+H140+I140+P140+S140+T140+U140+AD140)</f>
        <v>7739839</v>
      </c>
      <c r="G140" s="23">
        <f>3535771+810281</f>
        <v>4346052</v>
      </c>
      <c r="H140" s="23">
        <f>837118+191839</f>
        <v>1028957</v>
      </c>
      <c r="I140" s="19">
        <f t="shared" si="112"/>
        <v>1864219</v>
      </c>
      <c r="J140" s="23">
        <v>20069</v>
      </c>
      <c r="K140" s="23">
        <v>181482</v>
      </c>
      <c r="L140" s="23">
        <v>1224098</v>
      </c>
      <c r="M140" s="23">
        <v>0</v>
      </c>
      <c r="N140" s="23">
        <v>156810</v>
      </c>
      <c r="O140" s="23">
        <v>281760</v>
      </c>
      <c r="P140" s="19">
        <f t="shared" si="113"/>
        <v>0</v>
      </c>
      <c r="Q140" s="19">
        <v>0</v>
      </c>
      <c r="R140" s="19">
        <v>0</v>
      </c>
      <c r="S140" s="19">
        <v>0</v>
      </c>
      <c r="T140" s="23">
        <v>6873</v>
      </c>
      <c r="U140" s="19">
        <f>SUM(V140:AC140)</f>
        <v>246334</v>
      </c>
      <c r="V140" s="23">
        <v>17057</v>
      </c>
      <c r="W140" s="23">
        <f>133864+4358</f>
        <v>138222</v>
      </c>
      <c r="X140" s="23">
        <v>43852</v>
      </c>
      <c r="Y140" s="23">
        <v>42092</v>
      </c>
      <c r="Z140" s="23">
        <v>5111</v>
      </c>
      <c r="AA140" s="23">
        <v>0</v>
      </c>
      <c r="AB140" s="23">
        <v>0</v>
      </c>
      <c r="AC140" s="23">
        <v>0</v>
      </c>
      <c r="AD140" s="19">
        <f>SUM(AE140:AZ140)</f>
        <v>247404</v>
      </c>
      <c r="AE140" s="19">
        <v>0</v>
      </c>
      <c r="AF140" s="19">
        <v>0</v>
      </c>
      <c r="AG140" s="23">
        <v>7800</v>
      </c>
      <c r="AH140" s="23">
        <v>23451</v>
      </c>
      <c r="AI140" s="23">
        <v>2145</v>
      </c>
      <c r="AJ140" s="23">
        <v>2057</v>
      </c>
      <c r="AK140" s="23">
        <v>0</v>
      </c>
      <c r="AL140" s="23">
        <v>22600</v>
      </c>
      <c r="AM140" s="23">
        <v>1510</v>
      </c>
      <c r="AN140" s="23">
        <v>0</v>
      </c>
      <c r="AO140" s="23">
        <v>0</v>
      </c>
      <c r="AP140" s="23"/>
      <c r="AQ140" s="23">
        <v>0</v>
      </c>
      <c r="AR140" s="23">
        <v>175971</v>
      </c>
      <c r="AS140" s="23">
        <v>0</v>
      </c>
      <c r="AT140" s="23">
        <v>0</v>
      </c>
      <c r="AU140" s="23">
        <v>0</v>
      </c>
      <c r="AV140" s="23">
        <v>0</v>
      </c>
      <c r="AW140" s="23">
        <v>0</v>
      </c>
      <c r="AX140" s="23">
        <v>0</v>
      </c>
      <c r="AY140" s="23">
        <v>0</v>
      </c>
      <c r="AZ140" s="23">
        <v>11870</v>
      </c>
      <c r="BA140" s="19">
        <f>SUM(BB140+BF140+BI140+BK140+BN140)</f>
        <v>1381125</v>
      </c>
      <c r="BB140" s="19">
        <f>SUM(BC140:BE140)</f>
        <v>0</v>
      </c>
      <c r="BC140" s="19">
        <v>0</v>
      </c>
      <c r="BD140" s="19">
        <v>0</v>
      </c>
      <c r="BE140" s="19">
        <v>0</v>
      </c>
      <c r="BF140" s="19">
        <f>SUM(BH140:BH140)</f>
        <v>0</v>
      </c>
      <c r="BG140" s="19">
        <v>0</v>
      </c>
      <c r="BH140" s="19">
        <v>0</v>
      </c>
      <c r="BI140" s="19">
        <v>0</v>
      </c>
      <c r="BJ140" s="19">
        <v>0</v>
      </c>
      <c r="BK140" s="19">
        <f t="shared" si="114"/>
        <v>0</v>
      </c>
      <c r="BL140" s="19">
        <v>0</v>
      </c>
      <c r="BM140" s="19">
        <v>0</v>
      </c>
      <c r="BN140" s="19">
        <f>SUM(BO140:BY140)</f>
        <v>1381125</v>
      </c>
      <c r="BO140" s="19">
        <v>0</v>
      </c>
      <c r="BP140" s="19">
        <v>0</v>
      </c>
      <c r="BQ140" s="19">
        <v>0</v>
      </c>
      <c r="BR140" s="19">
        <v>0</v>
      </c>
      <c r="BS140" s="19">
        <v>0</v>
      </c>
      <c r="BT140" s="19"/>
      <c r="BU140" s="19">
        <v>0</v>
      </c>
      <c r="BV140" s="19">
        <v>0</v>
      </c>
      <c r="BW140" s="19">
        <v>0</v>
      </c>
      <c r="BX140" s="19">
        <v>0</v>
      </c>
      <c r="BY140" s="23">
        <v>1381125</v>
      </c>
      <c r="BZ140" s="19">
        <f>SUM(CA140+CS140)</f>
        <v>207721</v>
      </c>
      <c r="CA140" s="19">
        <f>SUM(CB140+CE140+CK140)</f>
        <v>207721</v>
      </c>
      <c r="CB140" s="19">
        <f t="shared" si="115"/>
        <v>190505</v>
      </c>
      <c r="CC140" s="19">
        <v>0</v>
      </c>
      <c r="CD140" s="23">
        <v>190505</v>
      </c>
      <c r="CE140" s="19">
        <f>SUM(CF140:CJ140)</f>
        <v>0</v>
      </c>
      <c r="CF140" s="19">
        <v>0</v>
      </c>
      <c r="CG140" s="19">
        <v>0</v>
      </c>
      <c r="CH140" s="19">
        <v>0</v>
      </c>
      <c r="CI140" s="19">
        <v>0</v>
      </c>
      <c r="CJ140" s="19">
        <v>0</v>
      </c>
      <c r="CK140" s="19">
        <f>SUM(CL140:CP140)</f>
        <v>17216</v>
      </c>
      <c r="CL140" s="19"/>
      <c r="CM140" s="19">
        <v>17216</v>
      </c>
      <c r="CN140" s="19">
        <v>0</v>
      </c>
      <c r="CO140" s="19"/>
      <c r="CP140" s="19"/>
      <c r="CQ140" s="19"/>
      <c r="CR140" s="19"/>
      <c r="CS140" s="19">
        <v>0</v>
      </c>
      <c r="CT140" s="19"/>
      <c r="CU140" s="19"/>
      <c r="CV140" s="19"/>
      <c r="CW140" s="19">
        <f t="shared" si="116"/>
        <v>0</v>
      </c>
      <c r="CX140" s="19">
        <f t="shared" si="117"/>
        <v>0</v>
      </c>
      <c r="CY140" s="19">
        <v>0</v>
      </c>
      <c r="CZ140" s="20">
        <v>0</v>
      </c>
    </row>
    <row r="141" spans="1:105" s="58" customFormat="1" ht="31.5" x14ac:dyDescent="0.25">
      <c r="A141" s="79" t="s">
        <v>235</v>
      </c>
      <c r="B141" s="16" t="s">
        <v>1</v>
      </c>
      <c r="C141" s="17" t="s">
        <v>236</v>
      </c>
      <c r="D141" s="18">
        <f t="shared" ref="D141:BQ141" si="320">SUM(D142:D144)</f>
        <v>2356909</v>
      </c>
      <c r="E141" s="18">
        <f t="shared" si="320"/>
        <v>2354572</v>
      </c>
      <c r="F141" s="18">
        <f t="shared" si="320"/>
        <v>2304132</v>
      </c>
      <c r="G141" s="18">
        <f t="shared" si="320"/>
        <v>1460090</v>
      </c>
      <c r="H141" s="18">
        <f t="shared" si="320"/>
        <v>348709</v>
      </c>
      <c r="I141" s="18">
        <f t="shared" si="320"/>
        <v>20988</v>
      </c>
      <c r="J141" s="18">
        <f t="shared" si="320"/>
        <v>0</v>
      </c>
      <c r="K141" s="18">
        <f t="shared" si="320"/>
        <v>0</v>
      </c>
      <c r="L141" s="18">
        <f t="shared" si="320"/>
        <v>0</v>
      </c>
      <c r="M141" s="18">
        <f t="shared" si="320"/>
        <v>0</v>
      </c>
      <c r="N141" s="18">
        <f t="shared" si="320"/>
        <v>0</v>
      </c>
      <c r="O141" s="18">
        <f t="shared" si="320"/>
        <v>20988</v>
      </c>
      <c r="P141" s="18">
        <f t="shared" si="320"/>
        <v>0</v>
      </c>
      <c r="Q141" s="18">
        <f t="shared" si="320"/>
        <v>0</v>
      </c>
      <c r="R141" s="18">
        <f t="shared" si="320"/>
        <v>0</v>
      </c>
      <c r="S141" s="18">
        <f t="shared" si="320"/>
        <v>0</v>
      </c>
      <c r="T141" s="18">
        <f t="shared" si="320"/>
        <v>6091</v>
      </c>
      <c r="U141" s="18">
        <f t="shared" si="320"/>
        <v>0</v>
      </c>
      <c r="V141" s="18">
        <f t="shared" si="320"/>
        <v>0</v>
      </c>
      <c r="W141" s="18">
        <f t="shared" si="320"/>
        <v>0</v>
      </c>
      <c r="X141" s="18">
        <f t="shared" si="320"/>
        <v>0</v>
      </c>
      <c r="Y141" s="18">
        <f t="shared" si="320"/>
        <v>0</v>
      </c>
      <c r="Z141" s="18">
        <f t="shared" si="320"/>
        <v>0</v>
      </c>
      <c r="AA141" s="18">
        <f t="shared" si="320"/>
        <v>0</v>
      </c>
      <c r="AB141" s="18">
        <f t="shared" si="320"/>
        <v>0</v>
      </c>
      <c r="AC141" s="18">
        <f t="shared" si="320"/>
        <v>0</v>
      </c>
      <c r="AD141" s="18">
        <f t="shared" si="320"/>
        <v>468254</v>
      </c>
      <c r="AE141" s="18">
        <f t="shared" si="320"/>
        <v>0</v>
      </c>
      <c r="AF141" s="18">
        <f t="shared" si="320"/>
        <v>0</v>
      </c>
      <c r="AG141" s="18">
        <f t="shared" si="320"/>
        <v>0</v>
      </c>
      <c r="AH141" s="18">
        <f t="shared" si="320"/>
        <v>12698</v>
      </c>
      <c r="AI141" s="18">
        <f t="shared" si="320"/>
        <v>20960</v>
      </c>
      <c r="AJ141" s="18">
        <f t="shared" si="320"/>
        <v>0</v>
      </c>
      <c r="AK141" s="18">
        <f t="shared" si="320"/>
        <v>0</v>
      </c>
      <c r="AL141" s="18">
        <f t="shared" si="320"/>
        <v>0</v>
      </c>
      <c r="AM141" s="18">
        <f t="shared" si="320"/>
        <v>128299</v>
      </c>
      <c r="AN141" s="18">
        <f t="shared" si="320"/>
        <v>0</v>
      </c>
      <c r="AO141" s="18">
        <f t="shared" si="320"/>
        <v>0</v>
      </c>
      <c r="AP141" s="18"/>
      <c r="AQ141" s="18">
        <f t="shared" si="320"/>
        <v>0</v>
      </c>
      <c r="AR141" s="18">
        <f t="shared" si="320"/>
        <v>0</v>
      </c>
      <c r="AS141" s="18">
        <f t="shared" si="320"/>
        <v>0</v>
      </c>
      <c r="AT141" s="18"/>
      <c r="AU141" s="18"/>
      <c r="AV141" s="18">
        <f t="shared" si="320"/>
        <v>0</v>
      </c>
      <c r="AW141" s="18">
        <f t="shared" si="320"/>
        <v>0</v>
      </c>
      <c r="AX141" s="18">
        <f t="shared" si="320"/>
        <v>0</v>
      </c>
      <c r="AY141" s="18"/>
      <c r="AZ141" s="18">
        <f t="shared" si="320"/>
        <v>306297</v>
      </c>
      <c r="BA141" s="18">
        <f t="shared" si="320"/>
        <v>50440</v>
      </c>
      <c r="BB141" s="18">
        <f t="shared" si="320"/>
        <v>0</v>
      </c>
      <c r="BC141" s="18">
        <f t="shared" si="320"/>
        <v>0</v>
      </c>
      <c r="BD141" s="18">
        <f t="shared" si="320"/>
        <v>0</v>
      </c>
      <c r="BE141" s="18">
        <f t="shared" si="320"/>
        <v>0</v>
      </c>
      <c r="BF141" s="18">
        <f t="shared" si="320"/>
        <v>0</v>
      </c>
      <c r="BG141" s="18">
        <f t="shared" si="320"/>
        <v>0</v>
      </c>
      <c r="BH141" s="18">
        <f t="shared" si="320"/>
        <v>0</v>
      </c>
      <c r="BI141" s="18">
        <f t="shared" si="320"/>
        <v>0</v>
      </c>
      <c r="BJ141" s="18">
        <f t="shared" ref="BJ141" si="321">SUM(BJ142:BJ144)</f>
        <v>0</v>
      </c>
      <c r="BK141" s="18">
        <f t="shared" si="320"/>
        <v>0</v>
      </c>
      <c r="BL141" s="18">
        <f t="shared" si="320"/>
        <v>0</v>
      </c>
      <c r="BM141" s="18">
        <f t="shared" ref="BM141" si="322">SUM(BM142:BM144)</f>
        <v>0</v>
      </c>
      <c r="BN141" s="18">
        <f t="shared" si="320"/>
        <v>50440</v>
      </c>
      <c r="BO141" s="18">
        <f t="shared" si="320"/>
        <v>0</v>
      </c>
      <c r="BP141" s="18">
        <f t="shared" si="320"/>
        <v>0</v>
      </c>
      <c r="BQ141" s="18">
        <f t="shared" si="320"/>
        <v>50440</v>
      </c>
      <c r="BR141" s="18">
        <f t="shared" ref="BR141:CZ141" si="323">SUM(BR142:BR144)</f>
        <v>0</v>
      </c>
      <c r="BS141" s="18">
        <f t="shared" si="323"/>
        <v>0</v>
      </c>
      <c r="BT141" s="18">
        <f t="shared" si="323"/>
        <v>0</v>
      </c>
      <c r="BU141" s="18">
        <f t="shared" si="323"/>
        <v>0</v>
      </c>
      <c r="BV141" s="18">
        <f t="shared" si="323"/>
        <v>0</v>
      </c>
      <c r="BW141" s="18">
        <f t="shared" si="323"/>
        <v>0</v>
      </c>
      <c r="BX141" s="18">
        <f t="shared" si="323"/>
        <v>0</v>
      </c>
      <c r="BY141" s="18">
        <f t="shared" si="323"/>
        <v>0</v>
      </c>
      <c r="BZ141" s="18">
        <f t="shared" si="323"/>
        <v>2337</v>
      </c>
      <c r="CA141" s="18">
        <f t="shared" si="323"/>
        <v>2337</v>
      </c>
      <c r="CB141" s="18">
        <f t="shared" si="323"/>
        <v>2337</v>
      </c>
      <c r="CC141" s="18">
        <f t="shared" si="323"/>
        <v>0</v>
      </c>
      <c r="CD141" s="18">
        <f t="shared" si="323"/>
        <v>2337</v>
      </c>
      <c r="CE141" s="18">
        <f t="shared" si="323"/>
        <v>0</v>
      </c>
      <c r="CF141" s="18">
        <f t="shared" si="323"/>
        <v>0</v>
      </c>
      <c r="CG141" s="18">
        <f t="shared" ref="CG141:CH141" si="324">SUM(CG142:CG144)</f>
        <v>0</v>
      </c>
      <c r="CH141" s="18">
        <f t="shared" si="324"/>
        <v>0</v>
      </c>
      <c r="CI141" s="18">
        <f t="shared" si="323"/>
        <v>0</v>
      </c>
      <c r="CJ141" s="18">
        <f t="shared" ref="CJ141" si="325">SUM(CJ142:CJ144)</f>
        <v>0</v>
      </c>
      <c r="CK141" s="18">
        <f t="shared" si="323"/>
        <v>0</v>
      </c>
      <c r="CL141" s="18">
        <f t="shared" si="323"/>
        <v>0</v>
      </c>
      <c r="CM141" s="18">
        <f t="shared" ref="CM141" si="326">SUM(CM142:CM144)</f>
        <v>0</v>
      </c>
      <c r="CN141" s="18">
        <f t="shared" si="323"/>
        <v>0</v>
      </c>
      <c r="CO141" s="18"/>
      <c r="CP141" s="18"/>
      <c r="CQ141" s="18"/>
      <c r="CR141" s="18"/>
      <c r="CS141" s="18">
        <f t="shared" si="323"/>
        <v>0</v>
      </c>
      <c r="CT141" s="18"/>
      <c r="CU141" s="18"/>
      <c r="CV141" s="18"/>
      <c r="CW141" s="18">
        <f t="shared" si="323"/>
        <v>0</v>
      </c>
      <c r="CX141" s="18">
        <f t="shared" si="323"/>
        <v>0</v>
      </c>
      <c r="CY141" s="18">
        <f t="shared" si="323"/>
        <v>0</v>
      </c>
      <c r="CZ141" s="46">
        <f t="shared" si="323"/>
        <v>0</v>
      </c>
      <c r="DA141" s="57"/>
    </row>
    <row r="142" spans="1:105" ht="31.5" x14ac:dyDescent="0.25">
      <c r="A142" s="80" t="s">
        <v>1</v>
      </c>
      <c r="B142" s="21" t="s">
        <v>82</v>
      </c>
      <c r="C142" s="22" t="s">
        <v>237</v>
      </c>
      <c r="D142" s="18">
        <f>SUM(E142+BZ142+CW142)</f>
        <v>87673</v>
      </c>
      <c r="E142" s="19">
        <f>SUM(F142+BA142)</f>
        <v>87673</v>
      </c>
      <c r="F142" s="19">
        <f t="shared" ref="F142:F144" si="327">SUM(G142+H142+I142+P142+S142+T142+U142+AD142)</f>
        <v>87673</v>
      </c>
      <c r="G142" s="23">
        <v>0</v>
      </c>
      <c r="H142" s="23">
        <v>0</v>
      </c>
      <c r="I142" s="19">
        <f t="shared" si="112"/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f t="shared" si="113"/>
        <v>0</v>
      </c>
      <c r="Q142" s="19">
        <v>0</v>
      </c>
      <c r="R142" s="19">
        <v>0</v>
      </c>
      <c r="S142" s="19">
        <v>0</v>
      </c>
      <c r="T142" s="19">
        <v>0</v>
      </c>
      <c r="U142" s="19">
        <f t="shared" ref="U142:U144" si="328">SUM(V142:AC142)</f>
        <v>0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0</v>
      </c>
      <c r="AB142" s="19">
        <v>0</v>
      </c>
      <c r="AC142" s="19">
        <v>0</v>
      </c>
      <c r="AD142" s="19">
        <f>SUM(AE142:AZ142)</f>
        <v>87673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23">
        <v>6003</v>
      </c>
      <c r="AN142" s="19">
        <v>0</v>
      </c>
      <c r="AO142" s="19">
        <v>0</v>
      </c>
      <c r="AP142" s="19"/>
      <c r="AQ142" s="19">
        <v>0</v>
      </c>
      <c r="AR142" s="19">
        <v>0</v>
      </c>
      <c r="AS142" s="19">
        <v>0</v>
      </c>
      <c r="AT142" s="19">
        <v>0</v>
      </c>
      <c r="AU142" s="19">
        <v>0</v>
      </c>
      <c r="AV142" s="19">
        <v>0</v>
      </c>
      <c r="AW142" s="19">
        <v>0</v>
      </c>
      <c r="AX142" s="19">
        <v>0</v>
      </c>
      <c r="AY142" s="19">
        <v>0</v>
      </c>
      <c r="AZ142" s="23">
        <v>81670</v>
      </c>
      <c r="BA142" s="19">
        <f>SUM(BB142+BF142+BI142+BK142+BN142)</f>
        <v>0</v>
      </c>
      <c r="BB142" s="19">
        <f>SUM(BC142:BE142)</f>
        <v>0</v>
      </c>
      <c r="BC142" s="19">
        <v>0</v>
      </c>
      <c r="BD142" s="19">
        <v>0</v>
      </c>
      <c r="BE142" s="19">
        <v>0</v>
      </c>
      <c r="BF142" s="19">
        <f>SUM(BH142:BH142)</f>
        <v>0</v>
      </c>
      <c r="BG142" s="19">
        <v>0</v>
      </c>
      <c r="BH142" s="19">
        <v>0</v>
      </c>
      <c r="BI142" s="19">
        <v>0</v>
      </c>
      <c r="BJ142" s="19">
        <v>0</v>
      </c>
      <c r="BK142" s="19">
        <f t="shared" si="114"/>
        <v>0</v>
      </c>
      <c r="BL142" s="19">
        <v>0</v>
      </c>
      <c r="BM142" s="19">
        <v>0</v>
      </c>
      <c r="BN142" s="19">
        <f>SUM(BO142:BY142)</f>
        <v>0</v>
      </c>
      <c r="BO142" s="19">
        <v>0</v>
      </c>
      <c r="BP142" s="19">
        <v>0</v>
      </c>
      <c r="BQ142" s="19">
        <v>0</v>
      </c>
      <c r="BR142" s="19">
        <v>0</v>
      </c>
      <c r="BS142" s="19">
        <v>0</v>
      </c>
      <c r="BT142" s="19">
        <v>0</v>
      </c>
      <c r="BU142" s="19">
        <v>0</v>
      </c>
      <c r="BV142" s="19">
        <v>0</v>
      </c>
      <c r="BW142" s="19">
        <v>0</v>
      </c>
      <c r="BX142" s="19">
        <v>0</v>
      </c>
      <c r="BY142" s="19">
        <v>0</v>
      </c>
      <c r="BZ142" s="19">
        <f>SUM(CA142+CS142)</f>
        <v>0</v>
      </c>
      <c r="CA142" s="19">
        <f>SUM(CB142+CE142+CK142)</f>
        <v>0</v>
      </c>
      <c r="CB142" s="19">
        <f t="shared" si="115"/>
        <v>0</v>
      </c>
      <c r="CC142" s="19">
        <v>0</v>
      </c>
      <c r="CD142" s="19">
        <v>0</v>
      </c>
      <c r="CE142" s="19">
        <f>SUM(CF142:CJ142)</f>
        <v>0</v>
      </c>
      <c r="CF142" s="19">
        <v>0</v>
      </c>
      <c r="CG142" s="19">
        <v>0</v>
      </c>
      <c r="CH142" s="19">
        <v>0</v>
      </c>
      <c r="CI142" s="19">
        <v>0</v>
      </c>
      <c r="CJ142" s="19">
        <v>0</v>
      </c>
      <c r="CK142" s="19">
        <f>SUM(CL142:CP142)</f>
        <v>0</v>
      </c>
      <c r="CL142" s="19">
        <v>0</v>
      </c>
      <c r="CM142" s="19">
        <v>0</v>
      </c>
      <c r="CN142" s="19">
        <v>0</v>
      </c>
      <c r="CO142" s="19"/>
      <c r="CP142" s="19"/>
      <c r="CQ142" s="19"/>
      <c r="CR142" s="19"/>
      <c r="CS142" s="19">
        <v>0</v>
      </c>
      <c r="CT142" s="19"/>
      <c r="CU142" s="19"/>
      <c r="CV142" s="19"/>
      <c r="CW142" s="19">
        <f t="shared" si="116"/>
        <v>0</v>
      </c>
      <c r="CX142" s="19">
        <f t="shared" si="117"/>
        <v>0</v>
      </c>
      <c r="CY142" s="19">
        <v>0</v>
      </c>
      <c r="CZ142" s="20">
        <v>0</v>
      </c>
    </row>
    <row r="143" spans="1:105" ht="20.25" customHeight="1" x14ac:dyDescent="0.25">
      <c r="A143" s="80" t="s">
        <v>1</v>
      </c>
      <c r="B143" s="21" t="s">
        <v>86</v>
      </c>
      <c r="C143" s="22" t="s">
        <v>238</v>
      </c>
      <c r="D143" s="18">
        <f>SUM(E143+BZ143+CW143)</f>
        <v>1013253</v>
      </c>
      <c r="E143" s="19">
        <f>SUM(F143+BA143)</f>
        <v>1010916</v>
      </c>
      <c r="F143" s="19">
        <f t="shared" si="327"/>
        <v>1010916</v>
      </c>
      <c r="G143" s="23">
        <f>629040+144155</f>
        <v>773195</v>
      </c>
      <c r="H143" s="23">
        <f>143987+32997</f>
        <v>176984</v>
      </c>
      <c r="I143" s="19">
        <f>SUM(J143:O143)</f>
        <v>20988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20988</v>
      </c>
      <c r="P143" s="19">
        <f>SUM(Q143:R143)</f>
        <v>0</v>
      </c>
      <c r="Q143" s="19"/>
      <c r="R143" s="19">
        <v>0</v>
      </c>
      <c r="S143" s="19">
        <v>0</v>
      </c>
      <c r="T143" s="19">
        <v>6091</v>
      </c>
      <c r="U143" s="19">
        <f t="shared" si="328"/>
        <v>0</v>
      </c>
      <c r="V143" s="19">
        <v>0</v>
      </c>
      <c r="W143" s="19">
        <v>0</v>
      </c>
      <c r="X143" s="19">
        <v>0</v>
      </c>
      <c r="Y143" s="19">
        <v>0</v>
      </c>
      <c r="Z143" s="19">
        <v>0</v>
      </c>
      <c r="AA143" s="19">
        <v>0</v>
      </c>
      <c r="AB143" s="19">
        <v>0</v>
      </c>
      <c r="AC143" s="19">
        <v>0</v>
      </c>
      <c r="AD143" s="19">
        <f>SUM(AE143:AZ143)</f>
        <v>33658</v>
      </c>
      <c r="AE143" s="19">
        <v>0</v>
      </c>
      <c r="AF143" s="19">
        <v>0</v>
      </c>
      <c r="AG143" s="19">
        <v>0</v>
      </c>
      <c r="AH143" s="19">
        <v>12698</v>
      </c>
      <c r="AI143" s="19">
        <v>20960</v>
      </c>
      <c r="AJ143" s="19">
        <v>0</v>
      </c>
      <c r="AK143" s="19">
        <v>0</v>
      </c>
      <c r="AL143" s="19">
        <v>0</v>
      </c>
      <c r="AM143" s="23">
        <v>0</v>
      </c>
      <c r="AN143" s="19">
        <v>0</v>
      </c>
      <c r="AO143" s="19">
        <v>0</v>
      </c>
      <c r="AP143" s="19"/>
      <c r="AQ143" s="19">
        <v>0</v>
      </c>
      <c r="AR143" s="19">
        <v>0</v>
      </c>
      <c r="AS143" s="19">
        <v>0</v>
      </c>
      <c r="AT143" s="19">
        <v>0</v>
      </c>
      <c r="AU143" s="19">
        <v>0</v>
      </c>
      <c r="AV143" s="19">
        <v>0</v>
      </c>
      <c r="AW143" s="19">
        <v>0</v>
      </c>
      <c r="AX143" s="19">
        <v>0</v>
      </c>
      <c r="AY143" s="19">
        <v>0</v>
      </c>
      <c r="AZ143" s="23">
        <v>0</v>
      </c>
      <c r="BA143" s="19">
        <f>SUM(BB143+BF143+BI143+BK143+BN143)</f>
        <v>0</v>
      </c>
      <c r="BB143" s="19">
        <f>SUM(BC143:BE143)</f>
        <v>0</v>
      </c>
      <c r="BC143" s="19">
        <v>0</v>
      </c>
      <c r="BD143" s="19">
        <v>0</v>
      </c>
      <c r="BE143" s="19">
        <v>0</v>
      </c>
      <c r="BF143" s="19">
        <f>SUM(BH143:BH143)</f>
        <v>0</v>
      </c>
      <c r="BG143" s="19">
        <v>0</v>
      </c>
      <c r="BH143" s="19">
        <v>0</v>
      </c>
      <c r="BI143" s="19">
        <v>0</v>
      </c>
      <c r="BJ143" s="19">
        <v>0</v>
      </c>
      <c r="BK143" s="19">
        <f>SUM(BL143)</f>
        <v>0</v>
      </c>
      <c r="BL143" s="19">
        <v>0</v>
      </c>
      <c r="BM143" s="19">
        <v>0</v>
      </c>
      <c r="BN143" s="19">
        <f>SUM(BO143:BY143)</f>
        <v>0</v>
      </c>
      <c r="BO143" s="19">
        <v>0</v>
      </c>
      <c r="BP143" s="19">
        <v>0</v>
      </c>
      <c r="BQ143" s="19">
        <v>0</v>
      </c>
      <c r="BR143" s="19">
        <v>0</v>
      </c>
      <c r="BS143" s="19">
        <v>0</v>
      </c>
      <c r="BT143" s="19">
        <v>0</v>
      </c>
      <c r="BU143" s="19">
        <v>0</v>
      </c>
      <c r="BV143" s="19">
        <v>0</v>
      </c>
      <c r="BW143" s="19">
        <v>0</v>
      </c>
      <c r="BX143" s="19">
        <v>0</v>
      </c>
      <c r="BY143" s="19">
        <v>0</v>
      </c>
      <c r="BZ143" s="19">
        <f>SUM(CA143+CS143)</f>
        <v>2337</v>
      </c>
      <c r="CA143" s="19">
        <f>SUM(CB143+CE143+CK143)</f>
        <v>2337</v>
      </c>
      <c r="CB143" s="19">
        <f>SUM(CC143:CD143)</f>
        <v>2337</v>
      </c>
      <c r="CC143" s="19">
        <v>0</v>
      </c>
      <c r="CD143" s="19">
        <v>2337</v>
      </c>
      <c r="CE143" s="19">
        <f>SUM(CF143:CJ143)</f>
        <v>0</v>
      </c>
      <c r="CF143" s="19">
        <v>0</v>
      </c>
      <c r="CG143" s="19">
        <v>0</v>
      </c>
      <c r="CH143" s="19">
        <v>0</v>
      </c>
      <c r="CI143" s="19">
        <v>0</v>
      </c>
      <c r="CJ143" s="19">
        <v>0</v>
      </c>
      <c r="CK143" s="19">
        <f>SUM(CL143:CP143)</f>
        <v>0</v>
      </c>
      <c r="CL143" s="19">
        <v>0</v>
      </c>
      <c r="CM143" s="19">
        <v>0</v>
      </c>
      <c r="CN143" s="19">
        <v>0</v>
      </c>
      <c r="CO143" s="19"/>
      <c r="CP143" s="19"/>
      <c r="CQ143" s="19"/>
      <c r="CR143" s="19"/>
      <c r="CS143" s="19">
        <v>0</v>
      </c>
      <c r="CT143" s="19"/>
      <c r="CU143" s="19"/>
      <c r="CV143" s="19"/>
      <c r="CW143" s="19">
        <f>SUM(CX143)</f>
        <v>0</v>
      </c>
      <c r="CX143" s="19">
        <f>SUM(CY143:CZ143)</f>
        <v>0</v>
      </c>
      <c r="CY143" s="19">
        <v>0</v>
      </c>
      <c r="CZ143" s="20">
        <v>0</v>
      </c>
    </row>
    <row r="144" spans="1:105" ht="31.5" x14ac:dyDescent="0.25">
      <c r="A144" s="80" t="s">
        <v>1</v>
      </c>
      <c r="B144" s="21" t="s">
        <v>86</v>
      </c>
      <c r="C144" s="22" t="s">
        <v>239</v>
      </c>
      <c r="D144" s="18">
        <f>SUM(E144+BZ144+CW144)</f>
        <v>1255983</v>
      </c>
      <c r="E144" s="19">
        <f>SUM(F144+BA144)</f>
        <v>1255983</v>
      </c>
      <c r="F144" s="19">
        <f t="shared" si="327"/>
        <v>1205543</v>
      </c>
      <c r="G144" s="23">
        <f>558830+128065</f>
        <v>686895</v>
      </c>
      <c r="H144" s="23">
        <f>139708+32017</f>
        <v>171725</v>
      </c>
      <c r="I144" s="19">
        <f t="shared" si="112"/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f t="shared" si="113"/>
        <v>0</v>
      </c>
      <c r="Q144" s="19">
        <v>0</v>
      </c>
      <c r="R144" s="19">
        <v>0</v>
      </c>
      <c r="S144" s="19">
        <v>0</v>
      </c>
      <c r="T144" s="19">
        <v>0</v>
      </c>
      <c r="U144" s="19">
        <f t="shared" si="328"/>
        <v>0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0</v>
      </c>
      <c r="AB144" s="19">
        <v>0</v>
      </c>
      <c r="AC144" s="19">
        <v>0</v>
      </c>
      <c r="AD144" s="19">
        <f>SUM(AE144:AZ144)</f>
        <v>346923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23">
        <v>122296</v>
      </c>
      <c r="AN144" s="19">
        <v>0</v>
      </c>
      <c r="AO144" s="19">
        <v>0</v>
      </c>
      <c r="AP144" s="19"/>
      <c r="AQ144" s="19">
        <v>0</v>
      </c>
      <c r="AR144" s="19">
        <v>0</v>
      </c>
      <c r="AS144" s="19">
        <v>0</v>
      </c>
      <c r="AT144" s="19">
        <v>0</v>
      </c>
      <c r="AU144" s="19">
        <v>0</v>
      </c>
      <c r="AV144" s="19">
        <v>0</v>
      </c>
      <c r="AW144" s="19">
        <v>0</v>
      </c>
      <c r="AX144" s="19">
        <v>0</v>
      </c>
      <c r="AY144" s="19">
        <v>0</v>
      </c>
      <c r="AZ144" s="23">
        <v>224627</v>
      </c>
      <c r="BA144" s="19">
        <f>SUM(BB144+BF144+BI144+BK144+BN144)</f>
        <v>50440</v>
      </c>
      <c r="BB144" s="19">
        <f>SUM(BC144:BE144)</f>
        <v>0</v>
      </c>
      <c r="BC144" s="19">
        <v>0</v>
      </c>
      <c r="BD144" s="19">
        <v>0</v>
      </c>
      <c r="BE144" s="19">
        <v>0</v>
      </c>
      <c r="BF144" s="19">
        <f>SUM(BH144:BH144)</f>
        <v>0</v>
      </c>
      <c r="BG144" s="19">
        <v>0</v>
      </c>
      <c r="BH144" s="19">
        <v>0</v>
      </c>
      <c r="BI144" s="19">
        <v>0</v>
      </c>
      <c r="BJ144" s="19">
        <v>0</v>
      </c>
      <c r="BK144" s="19">
        <f t="shared" si="114"/>
        <v>0</v>
      </c>
      <c r="BL144" s="19">
        <v>0</v>
      </c>
      <c r="BM144" s="19">
        <v>0</v>
      </c>
      <c r="BN144" s="19">
        <f>SUM(BO144:BY144)</f>
        <v>50440</v>
      </c>
      <c r="BO144" s="19">
        <v>0</v>
      </c>
      <c r="BP144" s="19">
        <v>0</v>
      </c>
      <c r="BQ144" s="19">
        <v>50440</v>
      </c>
      <c r="BR144" s="19">
        <v>0</v>
      </c>
      <c r="BS144" s="19">
        <v>0</v>
      </c>
      <c r="BT144" s="19">
        <v>0</v>
      </c>
      <c r="BU144" s="19">
        <v>0</v>
      </c>
      <c r="BV144" s="19">
        <v>0</v>
      </c>
      <c r="BW144" s="19">
        <v>0</v>
      </c>
      <c r="BX144" s="19">
        <v>0</v>
      </c>
      <c r="BY144" s="19">
        <v>0</v>
      </c>
      <c r="BZ144" s="19">
        <f>SUM(CA144+CS144)</f>
        <v>0</v>
      </c>
      <c r="CA144" s="19">
        <f>SUM(CB144+CE144+CK144)</f>
        <v>0</v>
      </c>
      <c r="CB144" s="19">
        <f t="shared" si="115"/>
        <v>0</v>
      </c>
      <c r="CC144" s="19">
        <v>0</v>
      </c>
      <c r="CD144" s="19">
        <v>0</v>
      </c>
      <c r="CE144" s="19">
        <f>SUM(CF144:CJ144)</f>
        <v>0</v>
      </c>
      <c r="CF144" s="19">
        <v>0</v>
      </c>
      <c r="CG144" s="19">
        <v>0</v>
      </c>
      <c r="CH144" s="19">
        <v>0</v>
      </c>
      <c r="CI144" s="19">
        <v>0</v>
      </c>
      <c r="CJ144" s="19">
        <v>0</v>
      </c>
      <c r="CK144" s="19">
        <f>SUM(CL144:CP144)</f>
        <v>0</v>
      </c>
      <c r="CL144" s="19">
        <v>0</v>
      </c>
      <c r="CM144" s="19">
        <v>0</v>
      </c>
      <c r="CN144" s="19">
        <v>0</v>
      </c>
      <c r="CO144" s="19"/>
      <c r="CP144" s="19"/>
      <c r="CQ144" s="19"/>
      <c r="CR144" s="19"/>
      <c r="CS144" s="19">
        <v>0</v>
      </c>
      <c r="CT144" s="19"/>
      <c r="CU144" s="19"/>
      <c r="CV144" s="19"/>
      <c r="CW144" s="19">
        <f t="shared" si="116"/>
        <v>0</v>
      </c>
      <c r="CX144" s="19">
        <f t="shared" si="117"/>
        <v>0</v>
      </c>
      <c r="CY144" s="19">
        <v>0</v>
      </c>
      <c r="CZ144" s="20">
        <v>0</v>
      </c>
    </row>
    <row r="145" spans="1:105" s="58" customFormat="1" ht="31.5" x14ac:dyDescent="0.25">
      <c r="A145" s="81" t="s">
        <v>240</v>
      </c>
      <c r="B145" s="25" t="s">
        <v>1</v>
      </c>
      <c r="C145" s="26" t="s">
        <v>241</v>
      </c>
      <c r="D145" s="27">
        <f>SUM(D146+D150+D153)</f>
        <v>33059039</v>
      </c>
      <c r="E145" s="27">
        <f t="shared" ref="E145:BT145" si="329">SUM(E146+E150+E153)</f>
        <v>31355034</v>
      </c>
      <c r="F145" s="27">
        <f t="shared" si="329"/>
        <v>30847530</v>
      </c>
      <c r="G145" s="27">
        <f t="shared" si="329"/>
        <v>21707689</v>
      </c>
      <c r="H145" s="27">
        <f t="shared" si="329"/>
        <v>5114150</v>
      </c>
      <c r="I145" s="27">
        <f t="shared" si="329"/>
        <v>973132</v>
      </c>
      <c r="J145" s="27">
        <f t="shared" si="329"/>
        <v>20116</v>
      </c>
      <c r="K145" s="27">
        <f t="shared" si="329"/>
        <v>150000</v>
      </c>
      <c r="L145" s="27">
        <f t="shared" si="329"/>
        <v>0</v>
      </c>
      <c r="M145" s="27">
        <f t="shared" si="329"/>
        <v>0</v>
      </c>
      <c r="N145" s="27">
        <f t="shared" si="329"/>
        <v>542243</v>
      </c>
      <c r="O145" s="27">
        <f t="shared" si="329"/>
        <v>260773</v>
      </c>
      <c r="P145" s="27">
        <f t="shared" si="329"/>
        <v>0</v>
      </c>
      <c r="Q145" s="27">
        <f t="shared" si="329"/>
        <v>0</v>
      </c>
      <c r="R145" s="27">
        <f t="shared" si="329"/>
        <v>0</v>
      </c>
      <c r="S145" s="27">
        <f t="shared" si="329"/>
        <v>0</v>
      </c>
      <c r="T145" s="27">
        <f t="shared" si="329"/>
        <v>74161</v>
      </c>
      <c r="U145" s="27">
        <f t="shared" si="329"/>
        <v>705365</v>
      </c>
      <c r="V145" s="27">
        <f t="shared" si="329"/>
        <v>10773</v>
      </c>
      <c r="W145" s="27">
        <f t="shared" si="329"/>
        <v>362858</v>
      </c>
      <c r="X145" s="27">
        <f t="shared" si="329"/>
        <v>223583</v>
      </c>
      <c r="Y145" s="27">
        <f t="shared" si="329"/>
        <v>96293</v>
      </c>
      <c r="Z145" s="27">
        <f t="shared" si="329"/>
        <v>7960</v>
      </c>
      <c r="AA145" s="27">
        <f t="shared" si="329"/>
        <v>0</v>
      </c>
      <c r="AB145" s="27">
        <f t="shared" si="329"/>
        <v>0</v>
      </c>
      <c r="AC145" s="27">
        <f t="shared" si="329"/>
        <v>3898</v>
      </c>
      <c r="AD145" s="27">
        <f t="shared" si="329"/>
        <v>2273033</v>
      </c>
      <c r="AE145" s="27">
        <f t="shared" si="329"/>
        <v>0</v>
      </c>
      <c r="AF145" s="27">
        <f t="shared" si="329"/>
        <v>0</v>
      </c>
      <c r="AG145" s="27">
        <f t="shared" si="329"/>
        <v>3666</v>
      </c>
      <c r="AH145" s="27">
        <f t="shared" si="329"/>
        <v>5070</v>
      </c>
      <c r="AI145" s="27">
        <f t="shared" si="329"/>
        <v>0</v>
      </c>
      <c r="AJ145" s="27">
        <f t="shared" si="329"/>
        <v>0</v>
      </c>
      <c r="AK145" s="27">
        <f t="shared" si="329"/>
        <v>0</v>
      </c>
      <c r="AL145" s="27">
        <f t="shared" si="329"/>
        <v>749</v>
      </c>
      <c r="AM145" s="27">
        <f t="shared" si="329"/>
        <v>7758</v>
      </c>
      <c r="AN145" s="27">
        <f t="shared" si="329"/>
        <v>0</v>
      </c>
      <c r="AO145" s="27">
        <f t="shared" si="329"/>
        <v>0</v>
      </c>
      <c r="AP145" s="27"/>
      <c r="AQ145" s="27">
        <f t="shared" si="329"/>
        <v>0</v>
      </c>
      <c r="AR145" s="27">
        <f t="shared" si="329"/>
        <v>283470</v>
      </c>
      <c r="AS145" s="27">
        <f t="shared" si="329"/>
        <v>38000</v>
      </c>
      <c r="AT145" s="27"/>
      <c r="AU145" s="27"/>
      <c r="AV145" s="27">
        <f t="shared" si="329"/>
        <v>0</v>
      </c>
      <c r="AW145" s="27">
        <f t="shared" si="329"/>
        <v>0</v>
      </c>
      <c r="AX145" s="27">
        <f t="shared" si="329"/>
        <v>95233</v>
      </c>
      <c r="AY145" s="27"/>
      <c r="AZ145" s="27">
        <f t="shared" si="329"/>
        <v>1839087</v>
      </c>
      <c r="BA145" s="27">
        <f t="shared" si="329"/>
        <v>507504</v>
      </c>
      <c r="BB145" s="27">
        <f t="shared" si="329"/>
        <v>0</v>
      </c>
      <c r="BC145" s="27">
        <f t="shared" si="329"/>
        <v>0</v>
      </c>
      <c r="BD145" s="27">
        <f t="shared" si="329"/>
        <v>0</v>
      </c>
      <c r="BE145" s="27">
        <f t="shared" si="329"/>
        <v>0</v>
      </c>
      <c r="BF145" s="27">
        <f t="shared" si="329"/>
        <v>0</v>
      </c>
      <c r="BG145" s="27">
        <f t="shared" si="329"/>
        <v>0</v>
      </c>
      <c r="BH145" s="27">
        <f t="shared" si="329"/>
        <v>0</v>
      </c>
      <c r="BI145" s="27">
        <f t="shared" si="329"/>
        <v>0</v>
      </c>
      <c r="BJ145" s="27">
        <f t="shared" ref="BJ145" si="330">SUM(BJ146+BJ150+BJ153)</f>
        <v>0</v>
      </c>
      <c r="BK145" s="27">
        <f t="shared" si="329"/>
        <v>0</v>
      </c>
      <c r="BL145" s="27">
        <f t="shared" si="329"/>
        <v>0</v>
      </c>
      <c r="BM145" s="27">
        <f t="shared" ref="BM145" si="331">SUM(BM146+BM150+BM153)</f>
        <v>0</v>
      </c>
      <c r="BN145" s="27">
        <f t="shared" si="329"/>
        <v>507504</v>
      </c>
      <c r="BO145" s="27">
        <f t="shared" si="329"/>
        <v>0</v>
      </c>
      <c r="BP145" s="27">
        <f t="shared" si="329"/>
        <v>0</v>
      </c>
      <c r="BQ145" s="27">
        <f t="shared" si="329"/>
        <v>507504</v>
      </c>
      <c r="BR145" s="27">
        <f t="shared" si="329"/>
        <v>0</v>
      </c>
      <c r="BS145" s="27">
        <f t="shared" si="329"/>
        <v>0</v>
      </c>
      <c r="BT145" s="27">
        <f t="shared" si="329"/>
        <v>0</v>
      </c>
      <c r="BU145" s="27">
        <f t="shared" ref="BU145:CZ145" si="332">SUM(BU146+BU150+BU153)</f>
        <v>0</v>
      </c>
      <c r="BV145" s="27">
        <f t="shared" si="332"/>
        <v>0</v>
      </c>
      <c r="BW145" s="27">
        <f t="shared" si="332"/>
        <v>0</v>
      </c>
      <c r="BX145" s="27">
        <f t="shared" si="332"/>
        <v>0</v>
      </c>
      <c r="BY145" s="27">
        <f t="shared" si="332"/>
        <v>0</v>
      </c>
      <c r="BZ145" s="27">
        <f t="shared" si="332"/>
        <v>1704005</v>
      </c>
      <c r="CA145" s="27">
        <f t="shared" si="332"/>
        <v>1704005</v>
      </c>
      <c r="CB145" s="27">
        <f t="shared" si="332"/>
        <v>1704005</v>
      </c>
      <c r="CC145" s="27">
        <f t="shared" si="332"/>
        <v>0</v>
      </c>
      <c r="CD145" s="27">
        <f t="shared" si="332"/>
        <v>1704005</v>
      </c>
      <c r="CE145" s="27">
        <f t="shared" si="332"/>
        <v>0</v>
      </c>
      <c r="CF145" s="27">
        <f t="shared" si="332"/>
        <v>0</v>
      </c>
      <c r="CG145" s="27">
        <f t="shared" ref="CG145:CH145" si="333">SUM(CG146+CG150+CG153)</f>
        <v>0</v>
      </c>
      <c r="CH145" s="27">
        <f t="shared" si="333"/>
        <v>0</v>
      </c>
      <c r="CI145" s="27">
        <f t="shared" si="332"/>
        <v>0</v>
      </c>
      <c r="CJ145" s="27">
        <f t="shared" ref="CJ145" si="334">SUM(CJ146+CJ150+CJ153)</f>
        <v>0</v>
      </c>
      <c r="CK145" s="27">
        <f t="shared" si="332"/>
        <v>0</v>
      </c>
      <c r="CL145" s="27">
        <f t="shared" si="332"/>
        <v>0</v>
      </c>
      <c r="CM145" s="27">
        <f t="shared" ref="CM145" si="335">SUM(CM146+CM150+CM153)</f>
        <v>0</v>
      </c>
      <c r="CN145" s="27">
        <f t="shared" si="332"/>
        <v>0</v>
      </c>
      <c r="CO145" s="27"/>
      <c r="CP145" s="27"/>
      <c r="CQ145" s="27"/>
      <c r="CR145" s="27"/>
      <c r="CS145" s="27">
        <f t="shared" si="332"/>
        <v>0</v>
      </c>
      <c r="CT145" s="27"/>
      <c r="CU145" s="27"/>
      <c r="CV145" s="27"/>
      <c r="CW145" s="27">
        <f t="shared" si="332"/>
        <v>0</v>
      </c>
      <c r="CX145" s="27">
        <f t="shared" si="332"/>
        <v>0</v>
      </c>
      <c r="CY145" s="27">
        <f t="shared" si="332"/>
        <v>0</v>
      </c>
      <c r="CZ145" s="60">
        <f t="shared" si="332"/>
        <v>0</v>
      </c>
      <c r="DA145" s="57"/>
    </row>
    <row r="146" spans="1:105" s="58" customFormat="1" ht="31.5" x14ac:dyDescent="0.25">
      <c r="A146" s="79" t="s">
        <v>242</v>
      </c>
      <c r="B146" s="16" t="s">
        <v>1</v>
      </c>
      <c r="C146" s="17" t="s">
        <v>243</v>
      </c>
      <c r="D146" s="18">
        <f>SUM(D147:D149)</f>
        <v>17917245</v>
      </c>
      <c r="E146" s="18">
        <f t="shared" ref="E146:BT146" si="336">SUM(E147:E149)</f>
        <v>16917949</v>
      </c>
      <c r="F146" s="18">
        <f t="shared" si="336"/>
        <v>16917949</v>
      </c>
      <c r="G146" s="18">
        <f t="shared" si="336"/>
        <v>13124783</v>
      </c>
      <c r="H146" s="18">
        <f t="shared" si="336"/>
        <v>3088788</v>
      </c>
      <c r="I146" s="18">
        <f t="shared" si="336"/>
        <v>66716</v>
      </c>
      <c r="J146" s="18">
        <f t="shared" si="336"/>
        <v>0</v>
      </c>
      <c r="K146" s="18">
        <f t="shared" si="336"/>
        <v>0</v>
      </c>
      <c r="L146" s="18">
        <f t="shared" si="336"/>
        <v>0</v>
      </c>
      <c r="M146" s="18">
        <f t="shared" si="336"/>
        <v>0</v>
      </c>
      <c r="N146" s="18">
        <f t="shared" si="336"/>
        <v>50021</v>
      </c>
      <c r="O146" s="18">
        <f t="shared" si="336"/>
        <v>16695</v>
      </c>
      <c r="P146" s="18">
        <f t="shared" si="336"/>
        <v>0</v>
      </c>
      <c r="Q146" s="18">
        <f t="shared" si="336"/>
        <v>0</v>
      </c>
      <c r="R146" s="18">
        <f t="shared" si="336"/>
        <v>0</v>
      </c>
      <c r="S146" s="18">
        <f t="shared" si="336"/>
        <v>0</v>
      </c>
      <c r="T146" s="18">
        <f t="shared" si="336"/>
        <v>32125</v>
      </c>
      <c r="U146" s="18">
        <f t="shared" si="336"/>
        <v>321995</v>
      </c>
      <c r="V146" s="18">
        <f t="shared" si="336"/>
        <v>0</v>
      </c>
      <c r="W146" s="18">
        <f t="shared" si="336"/>
        <v>196022</v>
      </c>
      <c r="X146" s="18">
        <f t="shared" si="336"/>
        <v>89589</v>
      </c>
      <c r="Y146" s="18">
        <f t="shared" si="336"/>
        <v>24526</v>
      </c>
      <c r="Z146" s="18">
        <f t="shared" si="336"/>
        <v>7960</v>
      </c>
      <c r="AA146" s="18">
        <f t="shared" si="336"/>
        <v>0</v>
      </c>
      <c r="AB146" s="18">
        <f t="shared" si="336"/>
        <v>0</v>
      </c>
      <c r="AC146" s="18">
        <f t="shared" si="336"/>
        <v>3898</v>
      </c>
      <c r="AD146" s="18">
        <f t="shared" si="336"/>
        <v>283542</v>
      </c>
      <c r="AE146" s="18">
        <f t="shared" si="336"/>
        <v>0</v>
      </c>
      <c r="AF146" s="18">
        <f t="shared" si="336"/>
        <v>0</v>
      </c>
      <c r="AG146" s="18">
        <f t="shared" si="336"/>
        <v>3095</v>
      </c>
      <c r="AH146" s="18">
        <f t="shared" si="336"/>
        <v>3636</v>
      </c>
      <c r="AI146" s="18">
        <f t="shared" si="336"/>
        <v>0</v>
      </c>
      <c r="AJ146" s="18">
        <f t="shared" si="336"/>
        <v>0</v>
      </c>
      <c r="AK146" s="18">
        <f t="shared" si="336"/>
        <v>0</v>
      </c>
      <c r="AL146" s="18">
        <f t="shared" si="336"/>
        <v>0</v>
      </c>
      <c r="AM146" s="18">
        <f t="shared" si="336"/>
        <v>3000</v>
      </c>
      <c r="AN146" s="18">
        <f t="shared" si="336"/>
        <v>0</v>
      </c>
      <c r="AO146" s="18">
        <f t="shared" si="336"/>
        <v>0</v>
      </c>
      <c r="AP146" s="18"/>
      <c r="AQ146" s="18">
        <f t="shared" si="336"/>
        <v>0</v>
      </c>
      <c r="AR146" s="18">
        <f t="shared" si="336"/>
        <v>178578</v>
      </c>
      <c r="AS146" s="18">
        <f t="shared" si="336"/>
        <v>0</v>
      </c>
      <c r="AT146" s="18"/>
      <c r="AU146" s="18"/>
      <c r="AV146" s="18">
        <f t="shared" si="336"/>
        <v>0</v>
      </c>
      <c r="AW146" s="18">
        <f t="shared" si="336"/>
        <v>0</v>
      </c>
      <c r="AX146" s="18">
        <f t="shared" si="336"/>
        <v>95233</v>
      </c>
      <c r="AY146" s="18"/>
      <c r="AZ146" s="18">
        <f t="shared" si="336"/>
        <v>0</v>
      </c>
      <c r="BA146" s="18">
        <f t="shared" si="336"/>
        <v>0</v>
      </c>
      <c r="BB146" s="18">
        <f t="shared" si="336"/>
        <v>0</v>
      </c>
      <c r="BC146" s="18">
        <f t="shared" si="336"/>
        <v>0</v>
      </c>
      <c r="BD146" s="18">
        <f t="shared" si="336"/>
        <v>0</v>
      </c>
      <c r="BE146" s="18">
        <f t="shared" si="336"/>
        <v>0</v>
      </c>
      <c r="BF146" s="18">
        <f t="shared" si="336"/>
        <v>0</v>
      </c>
      <c r="BG146" s="18">
        <f t="shared" si="336"/>
        <v>0</v>
      </c>
      <c r="BH146" s="18">
        <f t="shared" si="336"/>
        <v>0</v>
      </c>
      <c r="BI146" s="18">
        <f t="shared" si="336"/>
        <v>0</v>
      </c>
      <c r="BJ146" s="18">
        <f t="shared" ref="BJ146" si="337">SUM(BJ147:BJ149)</f>
        <v>0</v>
      </c>
      <c r="BK146" s="18">
        <f t="shared" si="336"/>
        <v>0</v>
      </c>
      <c r="BL146" s="18">
        <f t="shared" si="336"/>
        <v>0</v>
      </c>
      <c r="BM146" s="18">
        <f t="shared" ref="BM146" si="338">SUM(BM147:BM149)</f>
        <v>0</v>
      </c>
      <c r="BN146" s="18">
        <f t="shared" si="336"/>
        <v>0</v>
      </c>
      <c r="BO146" s="18">
        <f t="shared" si="336"/>
        <v>0</v>
      </c>
      <c r="BP146" s="18">
        <f t="shared" si="336"/>
        <v>0</v>
      </c>
      <c r="BQ146" s="18">
        <f t="shared" si="336"/>
        <v>0</v>
      </c>
      <c r="BR146" s="18">
        <f t="shared" si="336"/>
        <v>0</v>
      </c>
      <c r="BS146" s="18">
        <f t="shared" si="336"/>
        <v>0</v>
      </c>
      <c r="BT146" s="18">
        <f t="shared" si="336"/>
        <v>0</v>
      </c>
      <c r="BU146" s="18">
        <f t="shared" ref="BU146:CZ146" si="339">SUM(BU147:BU149)</f>
        <v>0</v>
      </c>
      <c r="BV146" s="18">
        <f t="shared" si="339"/>
        <v>0</v>
      </c>
      <c r="BW146" s="18">
        <f t="shared" si="339"/>
        <v>0</v>
      </c>
      <c r="BX146" s="18">
        <f t="shared" si="339"/>
        <v>0</v>
      </c>
      <c r="BY146" s="18">
        <f t="shared" si="339"/>
        <v>0</v>
      </c>
      <c r="BZ146" s="18">
        <f t="shared" si="339"/>
        <v>999296</v>
      </c>
      <c r="CA146" s="18">
        <f t="shared" si="339"/>
        <v>999296</v>
      </c>
      <c r="CB146" s="18">
        <f t="shared" si="339"/>
        <v>999296</v>
      </c>
      <c r="CC146" s="18">
        <f t="shared" si="339"/>
        <v>0</v>
      </c>
      <c r="CD146" s="18">
        <f t="shared" si="339"/>
        <v>999296</v>
      </c>
      <c r="CE146" s="18">
        <f t="shared" si="339"/>
        <v>0</v>
      </c>
      <c r="CF146" s="18">
        <f t="shared" si="339"/>
        <v>0</v>
      </c>
      <c r="CG146" s="18">
        <f t="shared" ref="CG146:CH146" si="340">SUM(CG147:CG149)</f>
        <v>0</v>
      </c>
      <c r="CH146" s="18">
        <f t="shared" si="340"/>
        <v>0</v>
      </c>
      <c r="CI146" s="18">
        <f t="shared" si="339"/>
        <v>0</v>
      </c>
      <c r="CJ146" s="18">
        <f t="shared" ref="CJ146" si="341">SUM(CJ147:CJ149)</f>
        <v>0</v>
      </c>
      <c r="CK146" s="18">
        <f t="shared" si="339"/>
        <v>0</v>
      </c>
      <c r="CL146" s="18">
        <f t="shared" si="339"/>
        <v>0</v>
      </c>
      <c r="CM146" s="18">
        <f t="shared" ref="CM146" si="342">SUM(CM147:CM149)</f>
        <v>0</v>
      </c>
      <c r="CN146" s="18">
        <f t="shared" si="339"/>
        <v>0</v>
      </c>
      <c r="CO146" s="18"/>
      <c r="CP146" s="18"/>
      <c r="CQ146" s="18"/>
      <c r="CR146" s="18"/>
      <c r="CS146" s="18">
        <f t="shared" si="339"/>
        <v>0</v>
      </c>
      <c r="CT146" s="18"/>
      <c r="CU146" s="18"/>
      <c r="CV146" s="18"/>
      <c r="CW146" s="18">
        <f t="shared" si="339"/>
        <v>0</v>
      </c>
      <c r="CX146" s="18">
        <f t="shared" si="339"/>
        <v>0</v>
      </c>
      <c r="CY146" s="18">
        <f t="shared" si="339"/>
        <v>0</v>
      </c>
      <c r="CZ146" s="46">
        <f t="shared" si="339"/>
        <v>0</v>
      </c>
      <c r="DA146" s="57"/>
    </row>
    <row r="147" spans="1:105" ht="31.5" x14ac:dyDescent="0.25">
      <c r="A147" s="80" t="s">
        <v>1</v>
      </c>
      <c r="B147" s="21" t="s">
        <v>96</v>
      </c>
      <c r="C147" s="22" t="s">
        <v>556</v>
      </c>
      <c r="D147" s="18">
        <f>SUM(E147+BZ147+CW147)</f>
        <v>11453391</v>
      </c>
      <c r="E147" s="19">
        <f>SUM(F147+BA147)</f>
        <v>10568205</v>
      </c>
      <c r="F147" s="19">
        <f t="shared" ref="F147:F149" si="343">SUM(G147+H147+I147+P147+S147+T147+U147+AD147)</f>
        <v>10568205</v>
      </c>
      <c r="G147" s="23">
        <v>8091577</v>
      </c>
      <c r="H147" s="23">
        <v>1876860</v>
      </c>
      <c r="I147" s="19">
        <f t="shared" si="112"/>
        <v>61716</v>
      </c>
      <c r="J147" s="23">
        <v>0</v>
      </c>
      <c r="K147" s="23"/>
      <c r="L147" s="23">
        <v>0</v>
      </c>
      <c r="M147" s="23">
        <v>0</v>
      </c>
      <c r="N147" s="23">
        <v>50021</v>
      </c>
      <c r="O147" s="23">
        <v>11695</v>
      </c>
      <c r="P147" s="19">
        <f t="shared" si="113"/>
        <v>0</v>
      </c>
      <c r="Q147" s="19">
        <v>0</v>
      </c>
      <c r="R147" s="19">
        <v>0</v>
      </c>
      <c r="S147" s="19">
        <v>0</v>
      </c>
      <c r="T147" s="23">
        <v>22800</v>
      </c>
      <c r="U147" s="19">
        <f t="shared" ref="U147:U149" si="344">SUM(V147:AC147)</f>
        <v>294247</v>
      </c>
      <c r="V147" s="23">
        <v>0</v>
      </c>
      <c r="W147" s="23">
        <v>196022</v>
      </c>
      <c r="X147" s="23">
        <v>68475</v>
      </c>
      <c r="Y147" s="23">
        <v>22295</v>
      </c>
      <c r="Z147" s="23">
        <v>7455</v>
      </c>
      <c r="AA147" s="23">
        <v>0</v>
      </c>
      <c r="AB147" s="23">
        <v>0</v>
      </c>
      <c r="AC147" s="23">
        <v>0</v>
      </c>
      <c r="AD147" s="19">
        <f>SUM(AE147:AZ147)</f>
        <v>221005</v>
      </c>
      <c r="AE147" s="19">
        <v>0</v>
      </c>
      <c r="AF147" s="19">
        <v>0</v>
      </c>
      <c r="AG147" s="23">
        <v>3095</v>
      </c>
      <c r="AH147" s="23">
        <v>3636</v>
      </c>
      <c r="AI147" s="23">
        <v>0</v>
      </c>
      <c r="AJ147" s="23">
        <v>0</v>
      </c>
      <c r="AK147" s="23">
        <v>0</v>
      </c>
      <c r="AL147" s="23">
        <v>0</v>
      </c>
      <c r="AM147" s="23">
        <v>3000</v>
      </c>
      <c r="AN147" s="23">
        <v>0</v>
      </c>
      <c r="AO147" s="23">
        <v>0</v>
      </c>
      <c r="AP147" s="23"/>
      <c r="AQ147" s="23">
        <v>0</v>
      </c>
      <c r="AR147" s="23">
        <v>138074</v>
      </c>
      <c r="AS147" s="23">
        <v>0</v>
      </c>
      <c r="AT147" s="23">
        <v>0</v>
      </c>
      <c r="AU147" s="23">
        <v>0</v>
      </c>
      <c r="AV147" s="23">
        <v>0</v>
      </c>
      <c r="AW147" s="23">
        <v>0</v>
      </c>
      <c r="AX147" s="23">
        <v>73200</v>
      </c>
      <c r="AY147" s="23">
        <v>0</v>
      </c>
      <c r="AZ147" s="23">
        <v>0</v>
      </c>
      <c r="BA147" s="19">
        <f>SUM(BB147+BF147+BI147+BK147+BN147)</f>
        <v>0</v>
      </c>
      <c r="BB147" s="19">
        <f>SUM(BC147:BE147)</f>
        <v>0</v>
      </c>
      <c r="BC147" s="19">
        <v>0</v>
      </c>
      <c r="BD147" s="19">
        <v>0</v>
      </c>
      <c r="BE147" s="19">
        <v>0</v>
      </c>
      <c r="BF147" s="19">
        <f>SUM(BH147:BH147)</f>
        <v>0</v>
      </c>
      <c r="BG147" s="19">
        <v>0</v>
      </c>
      <c r="BH147" s="19">
        <v>0</v>
      </c>
      <c r="BI147" s="19">
        <v>0</v>
      </c>
      <c r="BJ147" s="19">
        <v>0</v>
      </c>
      <c r="BK147" s="19">
        <f t="shared" si="114"/>
        <v>0</v>
      </c>
      <c r="BL147" s="19">
        <v>0</v>
      </c>
      <c r="BM147" s="19">
        <v>0</v>
      </c>
      <c r="BN147" s="19">
        <f>SUM(BO147:BY147)</f>
        <v>0</v>
      </c>
      <c r="BO147" s="19">
        <v>0</v>
      </c>
      <c r="BP147" s="19">
        <v>0</v>
      </c>
      <c r="BQ147" s="19">
        <v>0</v>
      </c>
      <c r="BR147" s="19">
        <v>0</v>
      </c>
      <c r="BS147" s="19">
        <v>0</v>
      </c>
      <c r="BT147" s="19">
        <v>0</v>
      </c>
      <c r="BU147" s="19">
        <v>0</v>
      </c>
      <c r="BV147" s="19">
        <v>0</v>
      </c>
      <c r="BW147" s="19">
        <v>0</v>
      </c>
      <c r="BX147" s="19">
        <v>0</v>
      </c>
      <c r="BY147" s="19">
        <v>0</v>
      </c>
      <c r="BZ147" s="19">
        <f>SUM(CA147+CS147)</f>
        <v>885186</v>
      </c>
      <c r="CA147" s="19">
        <f>SUM(CB147+CE147+CK147)</f>
        <v>885186</v>
      </c>
      <c r="CB147" s="19">
        <f t="shared" si="115"/>
        <v>885186</v>
      </c>
      <c r="CC147" s="19">
        <v>0</v>
      </c>
      <c r="CD147" s="23">
        <v>885186</v>
      </c>
      <c r="CE147" s="19">
        <f t="shared" ref="CE147:CE149" si="345">SUM(CF147:CJ147)</f>
        <v>0</v>
      </c>
      <c r="CF147" s="19">
        <v>0</v>
      </c>
      <c r="CG147" s="19">
        <v>0</v>
      </c>
      <c r="CH147" s="19">
        <v>0</v>
      </c>
      <c r="CI147" s="19">
        <v>0</v>
      </c>
      <c r="CJ147" s="19">
        <v>0</v>
      </c>
      <c r="CK147" s="19">
        <f>SUM(CL147:CP147)</f>
        <v>0</v>
      </c>
      <c r="CL147" s="19">
        <v>0</v>
      </c>
      <c r="CM147" s="19">
        <v>0</v>
      </c>
      <c r="CN147" s="19">
        <v>0</v>
      </c>
      <c r="CO147" s="19"/>
      <c r="CP147" s="19"/>
      <c r="CQ147" s="19"/>
      <c r="CR147" s="19"/>
      <c r="CS147" s="19">
        <v>0</v>
      </c>
      <c r="CT147" s="19"/>
      <c r="CU147" s="19"/>
      <c r="CV147" s="19"/>
      <c r="CW147" s="19">
        <f t="shared" si="116"/>
        <v>0</v>
      </c>
      <c r="CX147" s="19">
        <f t="shared" si="117"/>
        <v>0</v>
      </c>
      <c r="CY147" s="19">
        <v>0</v>
      </c>
      <c r="CZ147" s="20">
        <v>0</v>
      </c>
    </row>
    <row r="148" spans="1:105" ht="15.75" x14ac:dyDescent="0.25">
      <c r="A148" s="80" t="s">
        <v>1</v>
      </c>
      <c r="B148" s="21" t="s">
        <v>96</v>
      </c>
      <c r="C148" s="22" t="s">
        <v>540</v>
      </c>
      <c r="D148" s="18">
        <f>SUM(E148+BZ148+CW148)</f>
        <v>1232259</v>
      </c>
      <c r="E148" s="19">
        <f>SUM(F148+BA148)</f>
        <v>1232259</v>
      </c>
      <c r="F148" s="19">
        <f t="shared" si="343"/>
        <v>1232259</v>
      </c>
      <c r="G148" s="23">
        <v>913618</v>
      </c>
      <c r="H148" s="23">
        <v>214031</v>
      </c>
      <c r="I148" s="19">
        <f t="shared" si="112"/>
        <v>5000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5000</v>
      </c>
      <c r="P148" s="19">
        <f t="shared" si="113"/>
        <v>0</v>
      </c>
      <c r="Q148" s="19">
        <v>0</v>
      </c>
      <c r="R148" s="19">
        <v>0</v>
      </c>
      <c r="S148" s="19">
        <v>0</v>
      </c>
      <c r="T148" s="23">
        <v>9325</v>
      </c>
      <c r="U148" s="19">
        <f t="shared" si="344"/>
        <v>27748</v>
      </c>
      <c r="V148" s="23">
        <v>0</v>
      </c>
      <c r="W148" s="23">
        <v>0</v>
      </c>
      <c r="X148" s="23">
        <v>21114</v>
      </c>
      <c r="Y148" s="23">
        <v>2231</v>
      </c>
      <c r="Z148" s="23">
        <v>505</v>
      </c>
      <c r="AA148" s="23">
        <v>0</v>
      </c>
      <c r="AB148" s="23">
        <v>0</v>
      </c>
      <c r="AC148" s="23">
        <v>3898</v>
      </c>
      <c r="AD148" s="19">
        <f>SUM(AE148:AZ148)</f>
        <v>62537</v>
      </c>
      <c r="AE148" s="19">
        <v>0</v>
      </c>
      <c r="AF148" s="19">
        <v>0</v>
      </c>
      <c r="AG148" s="23">
        <v>0</v>
      </c>
      <c r="AH148" s="23">
        <v>0</v>
      </c>
      <c r="AI148" s="23">
        <v>0</v>
      </c>
      <c r="AJ148" s="23">
        <v>0</v>
      </c>
      <c r="AK148" s="23">
        <v>0</v>
      </c>
      <c r="AL148" s="23">
        <v>0</v>
      </c>
      <c r="AM148" s="23">
        <v>0</v>
      </c>
      <c r="AN148" s="23">
        <v>0</v>
      </c>
      <c r="AO148" s="23">
        <v>0</v>
      </c>
      <c r="AP148" s="23"/>
      <c r="AQ148" s="23">
        <v>0</v>
      </c>
      <c r="AR148" s="23">
        <v>40504</v>
      </c>
      <c r="AS148" s="23">
        <v>0</v>
      </c>
      <c r="AT148" s="23">
        <v>0</v>
      </c>
      <c r="AU148" s="23">
        <v>0</v>
      </c>
      <c r="AV148" s="23">
        <v>0</v>
      </c>
      <c r="AW148" s="23">
        <v>0</v>
      </c>
      <c r="AX148" s="23">
        <v>22033</v>
      </c>
      <c r="AY148" s="23">
        <v>0</v>
      </c>
      <c r="AZ148" s="23">
        <v>0</v>
      </c>
      <c r="BA148" s="19">
        <f>SUM(BB148+BF148+BI148+BK148+BN148)</f>
        <v>0</v>
      </c>
      <c r="BB148" s="19">
        <f>SUM(BC148:BE148)</f>
        <v>0</v>
      </c>
      <c r="BC148" s="19">
        <v>0</v>
      </c>
      <c r="BD148" s="19">
        <v>0</v>
      </c>
      <c r="BE148" s="19">
        <v>0</v>
      </c>
      <c r="BF148" s="19">
        <f>SUM(BH148:BH148)</f>
        <v>0</v>
      </c>
      <c r="BG148" s="19">
        <v>0</v>
      </c>
      <c r="BH148" s="19">
        <v>0</v>
      </c>
      <c r="BI148" s="19">
        <v>0</v>
      </c>
      <c r="BJ148" s="19">
        <v>0</v>
      </c>
      <c r="BK148" s="19">
        <f t="shared" si="114"/>
        <v>0</v>
      </c>
      <c r="BL148" s="19">
        <v>0</v>
      </c>
      <c r="BM148" s="19">
        <v>0</v>
      </c>
      <c r="BN148" s="19">
        <f>SUM(BO148:BY148)</f>
        <v>0</v>
      </c>
      <c r="BO148" s="19">
        <v>0</v>
      </c>
      <c r="BP148" s="19">
        <v>0</v>
      </c>
      <c r="BQ148" s="19">
        <v>0</v>
      </c>
      <c r="BR148" s="19">
        <v>0</v>
      </c>
      <c r="BS148" s="19">
        <v>0</v>
      </c>
      <c r="BT148" s="19">
        <v>0</v>
      </c>
      <c r="BU148" s="19">
        <v>0</v>
      </c>
      <c r="BV148" s="19">
        <v>0</v>
      </c>
      <c r="BW148" s="19">
        <v>0</v>
      </c>
      <c r="BX148" s="19">
        <v>0</v>
      </c>
      <c r="BY148" s="19">
        <v>0</v>
      </c>
      <c r="BZ148" s="19">
        <f>SUM(CA148+CS148)</f>
        <v>0</v>
      </c>
      <c r="CA148" s="19">
        <f>SUM(CB148+CE148+CK148)</f>
        <v>0</v>
      </c>
      <c r="CB148" s="19">
        <f t="shared" si="115"/>
        <v>0</v>
      </c>
      <c r="CC148" s="19">
        <v>0</v>
      </c>
      <c r="CD148" s="23">
        <v>0</v>
      </c>
      <c r="CE148" s="19">
        <f t="shared" si="345"/>
        <v>0</v>
      </c>
      <c r="CF148" s="19">
        <v>0</v>
      </c>
      <c r="CG148" s="19">
        <v>0</v>
      </c>
      <c r="CH148" s="19">
        <v>0</v>
      </c>
      <c r="CI148" s="19">
        <v>0</v>
      </c>
      <c r="CJ148" s="19">
        <v>0</v>
      </c>
      <c r="CK148" s="19">
        <f>SUM(CL148:CP148)</f>
        <v>0</v>
      </c>
      <c r="CL148" s="19">
        <v>0</v>
      </c>
      <c r="CM148" s="19">
        <v>0</v>
      </c>
      <c r="CN148" s="19">
        <v>0</v>
      </c>
      <c r="CO148" s="19"/>
      <c r="CP148" s="19"/>
      <c r="CQ148" s="19"/>
      <c r="CR148" s="19"/>
      <c r="CS148" s="19">
        <v>0</v>
      </c>
      <c r="CT148" s="19"/>
      <c r="CU148" s="19"/>
      <c r="CV148" s="19"/>
      <c r="CW148" s="19">
        <f t="shared" si="116"/>
        <v>0</v>
      </c>
      <c r="CX148" s="19">
        <f t="shared" si="117"/>
        <v>0</v>
      </c>
      <c r="CY148" s="19">
        <v>0</v>
      </c>
      <c r="CZ148" s="20">
        <v>0</v>
      </c>
    </row>
    <row r="149" spans="1:105" ht="31.5" x14ac:dyDescent="0.25">
      <c r="A149" s="80" t="s">
        <v>1</v>
      </c>
      <c r="B149" s="21" t="s">
        <v>96</v>
      </c>
      <c r="C149" s="22" t="s">
        <v>364</v>
      </c>
      <c r="D149" s="18">
        <f>SUM(E149+BZ149+CW149)</f>
        <v>5231595</v>
      </c>
      <c r="E149" s="19">
        <f>SUM(F149+BA149)</f>
        <v>5117485</v>
      </c>
      <c r="F149" s="19">
        <f t="shared" si="343"/>
        <v>5117485</v>
      </c>
      <c r="G149" s="23">
        <v>4119588</v>
      </c>
      <c r="H149" s="23">
        <v>997897</v>
      </c>
      <c r="I149" s="19">
        <f t="shared" si="112"/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19">
        <f t="shared" si="113"/>
        <v>0</v>
      </c>
      <c r="Q149" s="19">
        <v>0</v>
      </c>
      <c r="R149" s="19">
        <v>0</v>
      </c>
      <c r="S149" s="19">
        <v>0</v>
      </c>
      <c r="T149" s="19">
        <v>0</v>
      </c>
      <c r="U149" s="19">
        <f t="shared" si="344"/>
        <v>0</v>
      </c>
      <c r="V149" s="23"/>
      <c r="W149" s="23"/>
      <c r="X149" s="23"/>
      <c r="Y149" s="23"/>
      <c r="Z149" s="23"/>
      <c r="AA149" s="23"/>
      <c r="AB149" s="23"/>
      <c r="AC149" s="23"/>
      <c r="AD149" s="19">
        <f>SUM(AE149:AZ149)</f>
        <v>0</v>
      </c>
      <c r="AE149" s="19">
        <v>0</v>
      </c>
      <c r="AF149" s="19">
        <v>0</v>
      </c>
      <c r="AG149" s="23">
        <v>0</v>
      </c>
      <c r="AH149" s="23">
        <v>0</v>
      </c>
      <c r="AI149" s="23">
        <v>0</v>
      </c>
      <c r="AJ149" s="23">
        <v>0</v>
      </c>
      <c r="AK149" s="23">
        <v>0</v>
      </c>
      <c r="AL149" s="23">
        <v>0</v>
      </c>
      <c r="AM149" s="23">
        <v>0</v>
      </c>
      <c r="AN149" s="23">
        <v>0</v>
      </c>
      <c r="AO149" s="23">
        <v>0</v>
      </c>
      <c r="AP149" s="23"/>
      <c r="AQ149" s="23">
        <v>0</v>
      </c>
      <c r="AR149" s="23">
        <v>0</v>
      </c>
      <c r="AS149" s="23">
        <v>0</v>
      </c>
      <c r="AT149" s="23">
        <v>0</v>
      </c>
      <c r="AU149" s="23">
        <v>0</v>
      </c>
      <c r="AV149" s="23">
        <v>0</v>
      </c>
      <c r="AW149" s="23">
        <v>0</v>
      </c>
      <c r="AX149" s="23">
        <v>0</v>
      </c>
      <c r="AY149" s="23">
        <v>0</v>
      </c>
      <c r="AZ149" s="23">
        <v>0</v>
      </c>
      <c r="BA149" s="19">
        <f>SUM(BB149+BF149+BI149+BK149+BN149)</f>
        <v>0</v>
      </c>
      <c r="BB149" s="19">
        <f>SUM(BC149:BE149)</f>
        <v>0</v>
      </c>
      <c r="BC149" s="19">
        <v>0</v>
      </c>
      <c r="BD149" s="19">
        <v>0</v>
      </c>
      <c r="BE149" s="19">
        <v>0</v>
      </c>
      <c r="BF149" s="19">
        <f>SUM(BH149:BH149)</f>
        <v>0</v>
      </c>
      <c r="BG149" s="19">
        <v>0</v>
      </c>
      <c r="BH149" s="19">
        <v>0</v>
      </c>
      <c r="BI149" s="19">
        <v>0</v>
      </c>
      <c r="BJ149" s="19">
        <v>0</v>
      </c>
      <c r="BK149" s="19">
        <f t="shared" si="114"/>
        <v>0</v>
      </c>
      <c r="BL149" s="19">
        <v>0</v>
      </c>
      <c r="BM149" s="19">
        <v>0</v>
      </c>
      <c r="BN149" s="19">
        <f>SUM(BO149:BY149)</f>
        <v>0</v>
      </c>
      <c r="BO149" s="19">
        <v>0</v>
      </c>
      <c r="BP149" s="19">
        <v>0</v>
      </c>
      <c r="BQ149" s="19">
        <v>0</v>
      </c>
      <c r="BR149" s="19">
        <v>0</v>
      </c>
      <c r="BS149" s="19">
        <v>0</v>
      </c>
      <c r="BT149" s="19">
        <v>0</v>
      </c>
      <c r="BU149" s="19">
        <v>0</v>
      </c>
      <c r="BV149" s="19">
        <v>0</v>
      </c>
      <c r="BW149" s="19">
        <v>0</v>
      </c>
      <c r="BX149" s="19">
        <v>0</v>
      </c>
      <c r="BY149" s="19">
        <v>0</v>
      </c>
      <c r="BZ149" s="19">
        <f>SUM(CA149+CS149)</f>
        <v>114110</v>
      </c>
      <c r="CA149" s="19">
        <f>SUM(CB149+CE149+CK149)</f>
        <v>114110</v>
      </c>
      <c r="CB149" s="19">
        <f t="shared" si="115"/>
        <v>114110</v>
      </c>
      <c r="CC149" s="19">
        <v>0</v>
      </c>
      <c r="CD149" s="19">
        <v>114110</v>
      </c>
      <c r="CE149" s="19">
        <f t="shared" si="345"/>
        <v>0</v>
      </c>
      <c r="CF149" s="19">
        <v>0</v>
      </c>
      <c r="CG149" s="19">
        <v>0</v>
      </c>
      <c r="CH149" s="19">
        <v>0</v>
      </c>
      <c r="CI149" s="19">
        <v>0</v>
      </c>
      <c r="CJ149" s="19">
        <v>0</v>
      </c>
      <c r="CK149" s="19">
        <f>SUM(CL149:CP149)</f>
        <v>0</v>
      </c>
      <c r="CL149" s="19">
        <v>0</v>
      </c>
      <c r="CM149" s="19">
        <v>0</v>
      </c>
      <c r="CN149" s="19">
        <v>0</v>
      </c>
      <c r="CO149" s="19"/>
      <c r="CP149" s="19"/>
      <c r="CQ149" s="19"/>
      <c r="CR149" s="19"/>
      <c r="CS149" s="19">
        <v>0</v>
      </c>
      <c r="CT149" s="19"/>
      <c r="CU149" s="19"/>
      <c r="CV149" s="19"/>
      <c r="CW149" s="19">
        <f t="shared" si="116"/>
        <v>0</v>
      </c>
      <c r="CX149" s="19">
        <f t="shared" si="117"/>
        <v>0</v>
      </c>
      <c r="CY149" s="19">
        <v>0</v>
      </c>
      <c r="CZ149" s="20">
        <v>0</v>
      </c>
    </row>
    <row r="150" spans="1:105" s="58" customFormat="1" ht="15.75" x14ac:dyDescent="0.25">
      <c r="A150" s="79" t="s">
        <v>244</v>
      </c>
      <c r="B150" s="16" t="s">
        <v>1</v>
      </c>
      <c r="C150" s="17" t="s">
        <v>245</v>
      </c>
      <c r="D150" s="18">
        <f>SUM(D151:D152)</f>
        <v>629478</v>
      </c>
      <c r="E150" s="18">
        <f t="shared" ref="E150:BT150" si="346">SUM(E151:E152)</f>
        <v>629478</v>
      </c>
      <c r="F150" s="18">
        <f t="shared" si="346"/>
        <v>629478</v>
      </c>
      <c r="G150" s="18">
        <f t="shared" si="346"/>
        <v>0</v>
      </c>
      <c r="H150" s="18">
        <f t="shared" si="346"/>
        <v>0</v>
      </c>
      <c r="I150" s="18">
        <f t="shared" si="346"/>
        <v>0</v>
      </c>
      <c r="J150" s="18">
        <f t="shared" si="346"/>
        <v>0</v>
      </c>
      <c r="K150" s="18">
        <f t="shared" si="346"/>
        <v>0</v>
      </c>
      <c r="L150" s="18">
        <f t="shared" si="346"/>
        <v>0</v>
      </c>
      <c r="M150" s="18">
        <f t="shared" si="346"/>
        <v>0</v>
      </c>
      <c r="N150" s="18">
        <f t="shared" si="346"/>
        <v>0</v>
      </c>
      <c r="O150" s="18">
        <f t="shared" si="346"/>
        <v>0</v>
      </c>
      <c r="P150" s="18">
        <f t="shared" si="346"/>
        <v>0</v>
      </c>
      <c r="Q150" s="18">
        <f t="shared" si="346"/>
        <v>0</v>
      </c>
      <c r="R150" s="18">
        <f t="shared" si="346"/>
        <v>0</v>
      </c>
      <c r="S150" s="18">
        <f t="shared" si="346"/>
        <v>0</v>
      </c>
      <c r="T150" s="18">
        <f t="shared" si="346"/>
        <v>0</v>
      </c>
      <c r="U150" s="18">
        <f t="shared" si="346"/>
        <v>0</v>
      </c>
      <c r="V150" s="18">
        <f t="shared" si="346"/>
        <v>0</v>
      </c>
      <c r="W150" s="18">
        <f t="shared" si="346"/>
        <v>0</v>
      </c>
      <c r="X150" s="18">
        <f t="shared" si="346"/>
        <v>0</v>
      </c>
      <c r="Y150" s="18">
        <f t="shared" si="346"/>
        <v>0</v>
      </c>
      <c r="Z150" s="18">
        <f t="shared" si="346"/>
        <v>0</v>
      </c>
      <c r="AA150" s="18">
        <f t="shared" si="346"/>
        <v>0</v>
      </c>
      <c r="AB150" s="18">
        <f t="shared" si="346"/>
        <v>0</v>
      </c>
      <c r="AC150" s="18">
        <f t="shared" si="346"/>
        <v>0</v>
      </c>
      <c r="AD150" s="18">
        <f t="shared" si="346"/>
        <v>629478</v>
      </c>
      <c r="AE150" s="18">
        <f t="shared" si="346"/>
        <v>0</v>
      </c>
      <c r="AF150" s="18">
        <f t="shared" si="346"/>
        <v>0</v>
      </c>
      <c r="AG150" s="18">
        <f t="shared" si="346"/>
        <v>0</v>
      </c>
      <c r="AH150" s="18">
        <f t="shared" si="346"/>
        <v>0</v>
      </c>
      <c r="AI150" s="18">
        <f t="shared" si="346"/>
        <v>0</v>
      </c>
      <c r="AJ150" s="18">
        <f t="shared" si="346"/>
        <v>0</v>
      </c>
      <c r="AK150" s="18">
        <f t="shared" si="346"/>
        <v>0</v>
      </c>
      <c r="AL150" s="18">
        <f t="shared" si="346"/>
        <v>0</v>
      </c>
      <c r="AM150" s="18">
        <f t="shared" si="346"/>
        <v>0</v>
      </c>
      <c r="AN150" s="18">
        <f t="shared" si="346"/>
        <v>0</v>
      </c>
      <c r="AO150" s="18">
        <f t="shared" si="346"/>
        <v>0</v>
      </c>
      <c r="AP150" s="18"/>
      <c r="AQ150" s="18">
        <f t="shared" si="346"/>
        <v>0</v>
      </c>
      <c r="AR150" s="18">
        <f t="shared" si="346"/>
        <v>0</v>
      </c>
      <c r="AS150" s="18">
        <f t="shared" si="346"/>
        <v>0</v>
      </c>
      <c r="AT150" s="18"/>
      <c r="AU150" s="18"/>
      <c r="AV150" s="18">
        <f t="shared" si="346"/>
        <v>0</v>
      </c>
      <c r="AW150" s="18">
        <f t="shared" si="346"/>
        <v>0</v>
      </c>
      <c r="AX150" s="18">
        <f t="shared" si="346"/>
        <v>0</v>
      </c>
      <c r="AY150" s="18"/>
      <c r="AZ150" s="18">
        <f t="shared" si="346"/>
        <v>629478</v>
      </c>
      <c r="BA150" s="18">
        <f t="shared" si="346"/>
        <v>0</v>
      </c>
      <c r="BB150" s="18">
        <f t="shared" si="346"/>
        <v>0</v>
      </c>
      <c r="BC150" s="18">
        <f t="shared" si="346"/>
        <v>0</v>
      </c>
      <c r="BD150" s="18">
        <f t="shared" si="346"/>
        <v>0</v>
      </c>
      <c r="BE150" s="18">
        <f t="shared" si="346"/>
        <v>0</v>
      </c>
      <c r="BF150" s="18">
        <f t="shared" si="346"/>
        <v>0</v>
      </c>
      <c r="BG150" s="18">
        <f t="shared" si="346"/>
        <v>0</v>
      </c>
      <c r="BH150" s="18">
        <f t="shared" si="346"/>
        <v>0</v>
      </c>
      <c r="BI150" s="18">
        <f t="shared" si="346"/>
        <v>0</v>
      </c>
      <c r="BJ150" s="18">
        <f t="shared" ref="BJ150" si="347">SUM(BJ151:BJ152)</f>
        <v>0</v>
      </c>
      <c r="BK150" s="18">
        <f t="shared" si="346"/>
        <v>0</v>
      </c>
      <c r="BL150" s="18">
        <f t="shared" si="346"/>
        <v>0</v>
      </c>
      <c r="BM150" s="18">
        <f t="shared" ref="BM150" si="348">SUM(BM151:BM152)</f>
        <v>0</v>
      </c>
      <c r="BN150" s="18">
        <f t="shared" si="346"/>
        <v>0</v>
      </c>
      <c r="BO150" s="18">
        <f t="shared" si="346"/>
        <v>0</v>
      </c>
      <c r="BP150" s="18">
        <f t="shared" si="346"/>
        <v>0</v>
      </c>
      <c r="BQ150" s="18">
        <f t="shared" si="346"/>
        <v>0</v>
      </c>
      <c r="BR150" s="18">
        <f t="shared" si="346"/>
        <v>0</v>
      </c>
      <c r="BS150" s="18">
        <f t="shared" si="346"/>
        <v>0</v>
      </c>
      <c r="BT150" s="18">
        <f t="shared" si="346"/>
        <v>0</v>
      </c>
      <c r="BU150" s="18">
        <f t="shared" ref="BU150:CZ150" si="349">SUM(BU151:BU152)</f>
        <v>0</v>
      </c>
      <c r="BV150" s="18">
        <f t="shared" si="349"/>
        <v>0</v>
      </c>
      <c r="BW150" s="18">
        <f t="shared" si="349"/>
        <v>0</v>
      </c>
      <c r="BX150" s="18">
        <f t="shared" si="349"/>
        <v>0</v>
      </c>
      <c r="BY150" s="18">
        <f t="shared" si="349"/>
        <v>0</v>
      </c>
      <c r="BZ150" s="18">
        <f t="shared" si="349"/>
        <v>0</v>
      </c>
      <c r="CA150" s="18">
        <f t="shared" si="349"/>
        <v>0</v>
      </c>
      <c r="CB150" s="18">
        <f t="shared" si="349"/>
        <v>0</v>
      </c>
      <c r="CC150" s="18">
        <f t="shared" si="349"/>
        <v>0</v>
      </c>
      <c r="CD150" s="18">
        <f t="shared" si="349"/>
        <v>0</v>
      </c>
      <c r="CE150" s="18">
        <f t="shared" si="349"/>
        <v>0</v>
      </c>
      <c r="CF150" s="18">
        <f t="shared" si="349"/>
        <v>0</v>
      </c>
      <c r="CG150" s="18">
        <f t="shared" ref="CG150:CH150" si="350">SUM(CG151:CG152)</f>
        <v>0</v>
      </c>
      <c r="CH150" s="18">
        <f t="shared" si="350"/>
        <v>0</v>
      </c>
      <c r="CI150" s="18">
        <f t="shared" si="349"/>
        <v>0</v>
      </c>
      <c r="CJ150" s="18">
        <f t="shared" ref="CJ150" si="351">SUM(CJ151:CJ152)</f>
        <v>0</v>
      </c>
      <c r="CK150" s="18">
        <f t="shared" si="349"/>
        <v>0</v>
      </c>
      <c r="CL150" s="18">
        <f t="shared" si="349"/>
        <v>0</v>
      </c>
      <c r="CM150" s="18">
        <f t="shared" ref="CM150" si="352">SUM(CM151:CM152)</f>
        <v>0</v>
      </c>
      <c r="CN150" s="18">
        <f t="shared" si="349"/>
        <v>0</v>
      </c>
      <c r="CO150" s="18"/>
      <c r="CP150" s="18"/>
      <c r="CQ150" s="18"/>
      <c r="CR150" s="18"/>
      <c r="CS150" s="18">
        <f t="shared" si="349"/>
        <v>0</v>
      </c>
      <c r="CT150" s="18"/>
      <c r="CU150" s="18"/>
      <c r="CV150" s="18"/>
      <c r="CW150" s="18">
        <f t="shared" si="349"/>
        <v>0</v>
      </c>
      <c r="CX150" s="18">
        <f t="shared" si="349"/>
        <v>0</v>
      </c>
      <c r="CY150" s="18">
        <f t="shared" si="349"/>
        <v>0</v>
      </c>
      <c r="CZ150" s="46">
        <f t="shared" si="349"/>
        <v>0</v>
      </c>
      <c r="DA150" s="57"/>
    </row>
    <row r="151" spans="1:105" ht="15.75" x14ac:dyDescent="0.25">
      <c r="A151" s="80" t="s">
        <v>1</v>
      </c>
      <c r="B151" s="21" t="s">
        <v>86</v>
      </c>
      <c r="C151" s="22" t="s">
        <v>246</v>
      </c>
      <c r="D151" s="18">
        <f>SUM(E151+BZ151+CW151)</f>
        <v>420196</v>
      </c>
      <c r="E151" s="19">
        <f>SUM(F151+BA151)</f>
        <v>420196</v>
      </c>
      <c r="F151" s="19">
        <f t="shared" ref="F151:F152" si="353">SUM(G151+H151+I151+P151+S151+T151+U151+AD151)</f>
        <v>420196</v>
      </c>
      <c r="G151" s="19">
        <v>0</v>
      </c>
      <c r="H151" s="19">
        <v>0</v>
      </c>
      <c r="I151" s="19">
        <f t="shared" ref="I151:I227" si="354">SUM(J151:O151)</f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f t="shared" ref="P151:P227" si="355">SUM(Q151:R151)</f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f t="shared" ref="U151:U152" si="356">SUM(V151:AC151)</f>
        <v>0</v>
      </c>
      <c r="V151" s="19">
        <v>0</v>
      </c>
      <c r="W151" s="19">
        <v>0</v>
      </c>
      <c r="X151" s="19">
        <v>0</v>
      </c>
      <c r="Y151" s="19">
        <v>0</v>
      </c>
      <c r="Z151" s="19">
        <v>0</v>
      </c>
      <c r="AA151" s="19">
        <v>0</v>
      </c>
      <c r="AB151" s="19">
        <v>0</v>
      </c>
      <c r="AC151" s="19">
        <v>0</v>
      </c>
      <c r="AD151" s="19">
        <f>SUM(AE151:AZ151)</f>
        <v>420196</v>
      </c>
      <c r="AE151" s="19">
        <v>0</v>
      </c>
      <c r="AF151" s="19">
        <v>0</v>
      </c>
      <c r="AG151" s="19">
        <v>0</v>
      </c>
      <c r="AH151" s="19">
        <v>0</v>
      </c>
      <c r="AI151" s="19">
        <v>0</v>
      </c>
      <c r="AJ151" s="19">
        <v>0</v>
      </c>
      <c r="AK151" s="19">
        <v>0</v>
      </c>
      <c r="AL151" s="19">
        <v>0</v>
      </c>
      <c r="AM151" s="19">
        <v>0</v>
      </c>
      <c r="AN151" s="19">
        <v>0</v>
      </c>
      <c r="AO151" s="19">
        <v>0</v>
      </c>
      <c r="AP151" s="19"/>
      <c r="AQ151" s="19">
        <v>0</v>
      </c>
      <c r="AR151" s="19">
        <v>0</v>
      </c>
      <c r="AS151" s="19">
        <v>0</v>
      </c>
      <c r="AT151" s="19">
        <v>0</v>
      </c>
      <c r="AU151" s="19">
        <v>0</v>
      </c>
      <c r="AV151" s="19">
        <v>0</v>
      </c>
      <c r="AW151" s="19">
        <v>0</v>
      </c>
      <c r="AX151" s="19">
        <v>0</v>
      </c>
      <c r="AY151" s="19">
        <v>0</v>
      </c>
      <c r="AZ151" s="23">
        <v>420196</v>
      </c>
      <c r="BA151" s="19">
        <f>SUM(BB151+BF151+BI151+BK151+BN151)</f>
        <v>0</v>
      </c>
      <c r="BB151" s="19">
        <f>SUM(BC151:BE151)</f>
        <v>0</v>
      </c>
      <c r="BC151" s="19">
        <v>0</v>
      </c>
      <c r="BD151" s="19">
        <v>0</v>
      </c>
      <c r="BE151" s="19">
        <v>0</v>
      </c>
      <c r="BF151" s="19">
        <f>SUM(BH151:BH151)</f>
        <v>0</v>
      </c>
      <c r="BG151" s="19">
        <v>0</v>
      </c>
      <c r="BH151" s="19">
        <v>0</v>
      </c>
      <c r="BI151" s="19">
        <v>0</v>
      </c>
      <c r="BJ151" s="19">
        <v>0</v>
      </c>
      <c r="BK151" s="19">
        <f t="shared" ref="BK151:BK227" si="357">SUM(BL151)</f>
        <v>0</v>
      </c>
      <c r="BL151" s="19">
        <v>0</v>
      </c>
      <c r="BM151" s="19">
        <v>0</v>
      </c>
      <c r="BN151" s="19">
        <f>SUM(BO151:BY151)</f>
        <v>0</v>
      </c>
      <c r="BO151" s="19">
        <v>0</v>
      </c>
      <c r="BP151" s="19">
        <v>0</v>
      </c>
      <c r="BQ151" s="19">
        <v>0</v>
      </c>
      <c r="BR151" s="19">
        <v>0</v>
      </c>
      <c r="BS151" s="19">
        <v>0</v>
      </c>
      <c r="BT151" s="19">
        <v>0</v>
      </c>
      <c r="BU151" s="19">
        <v>0</v>
      </c>
      <c r="BV151" s="19">
        <v>0</v>
      </c>
      <c r="BW151" s="19">
        <v>0</v>
      </c>
      <c r="BX151" s="19">
        <v>0</v>
      </c>
      <c r="BY151" s="19">
        <v>0</v>
      </c>
      <c r="BZ151" s="19">
        <f>SUM(CA151+CS151)</f>
        <v>0</v>
      </c>
      <c r="CA151" s="19">
        <f>SUM(CB151+CE151+CK151)</f>
        <v>0</v>
      </c>
      <c r="CB151" s="19">
        <f t="shared" ref="CB151:CB227" si="358">SUM(CC151:CD151)</f>
        <v>0</v>
      </c>
      <c r="CC151" s="19">
        <v>0</v>
      </c>
      <c r="CD151" s="19">
        <v>0</v>
      </c>
      <c r="CE151" s="19">
        <f t="shared" ref="CE151:CE152" si="359">SUM(CF151:CJ151)</f>
        <v>0</v>
      </c>
      <c r="CF151" s="19">
        <v>0</v>
      </c>
      <c r="CG151" s="19">
        <v>0</v>
      </c>
      <c r="CH151" s="19">
        <v>0</v>
      </c>
      <c r="CI151" s="19">
        <v>0</v>
      </c>
      <c r="CJ151" s="19">
        <v>0</v>
      </c>
      <c r="CK151" s="19">
        <f>SUM(CL151:CP151)</f>
        <v>0</v>
      </c>
      <c r="CL151" s="19">
        <v>0</v>
      </c>
      <c r="CM151" s="19">
        <v>0</v>
      </c>
      <c r="CN151" s="19">
        <v>0</v>
      </c>
      <c r="CO151" s="19"/>
      <c r="CP151" s="19"/>
      <c r="CQ151" s="19"/>
      <c r="CR151" s="19"/>
      <c r="CS151" s="19">
        <v>0</v>
      </c>
      <c r="CT151" s="19"/>
      <c r="CU151" s="19"/>
      <c r="CV151" s="19"/>
      <c r="CW151" s="19">
        <f t="shared" ref="CW151:CW227" si="360">SUM(CX151)</f>
        <v>0</v>
      </c>
      <c r="CX151" s="19">
        <f t="shared" ref="CX151:CX227" si="361">SUM(CY151:CZ151)</f>
        <v>0</v>
      </c>
      <c r="CY151" s="19">
        <v>0</v>
      </c>
      <c r="CZ151" s="20">
        <v>0</v>
      </c>
    </row>
    <row r="152" spans="1:105" ht="15.75" x14ac:dyDescent="0.25">
      <c r="A152" s="80" t="s">
        <v>1</v>
      </c>
      <c r="B152" s="21" t="s">
        <v>94</v>
      </c>
      <c r="C152" s="22" t="s">
        <v>247</v>
      </c>
      <c r="D152" s="18">
        <f>SUM(E152+BZ152+CW152)</f>
        <v>209282</v>
      </c>
      <c r="E152" s="19">
        <f>SUM(F152+BA152)</f>
        <v>209282</v>
      </c>
      <c r="F152" s="19">
        <f t="shared" si="353"/>
        <v>209282</v>
      </c>
      <c r="G152" s="19">
        <v>0</v>
      </c>
      <c r="H152" s="19">
        <v>0</v>
      </c>
      <c r="I152" s="19">
        <f t="shared" si="354"/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f t="shared" si="355"/>
        <v>0</v>
      </c>
      <c r="Q152" s="19">
        <v>0</v>
      </c>
      <c r="R152" s="19">
        <v>0</v>
      </c>
      <c r="S152" s="19">
        <v>0</v>
      </c>
      <c r="T152" s="19">
        <v>0</v>
      </c>
      <c r="U152" s="19">
        <f t="shared" si="356"/>
        <v>0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0</v>
      </c>
      <c r="AB152" s="19">
        <v>0</v>
      </c>
      <c r="AC152" s="19">
        <v>0</v>
      </c>
      <c r="AD152" s="19">
        <f>SUM(AE152:AZ152)</f>
        <v>209282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/>
      <c r="AQ152" s="19">
        <v>0</v>
      </c>
      <c r="AR152" s="19">
        <v>0</v>
      </c>
      <c r="AS152" s="19">
        <v>0</v>
      </c>
      <c r="AT152" s="19">
        <v>0</v>
      </c>
      <c r="AU152" s="19">
        <v>0</v>
      </c>
      <c r="AV152" s="19">
        <v>0</v>
      </c>
      <c r="AW152" s="19">
        <v>0</v>
      </c>
      <c r="AX152" s="19">
        <v>0</v>
      </c>
      <c r="AY152" s="19">
        <v>0</v>
      </c>
      <c r="AZ152" s="23">
        <v>209282</v>
      </c>
      <c r="BA152" s="19">
        <f>SUM(BB152+BF152+BI152+BK152+BN152)</f>
        <v>0</v>
      </c>
      <c r="BB152" s="19">
        <f>SUM(BC152:BE152)</f>
        <v>0</v>
      </c>
      <c r="BC152" s="19">
        <v>0</v>
      </c>
      <c r="BD152" s="19">
        <v>0</v>
      </c>
      <c r="BE152" s="19">
        <v>0</v>
      </c>
      <c r="BF152" s="19">
        <f>SUM(BH152:BH152)</f>
        <v>0</v>
      </c>
      <c r="BG152" s="19">
        <v>0</v>
      </c>
      <c r="BH152" s="19">
        <v>0</v>
      </c>
      <c r="BI152" s="19">
        <v>0</v>
      </c>
      <c r="BJ152" s="19">
        <v>0</v>
      </c>
      <c r="BK152" s="19">
        <f t="shared" si="357"/>
        <v>0</v>
      </c>
      <c r="BL152" s="19">
        <v>0</v>
      </c>
      <c r="BM152" s="19">
        <v>0</v>
      </c>
      <c r="BN152" s="19">
        <f>SUM(BO152:BY152)</f>
        <v>0</v>
      </c>
      <c r="BO152" s="19">
        <v>0</v>
      </c>
      <c r="BP152" s="19">
        <v>0</v>
      </c>
      <c r="BQ152" s="19">
        <v>0</v>
      </c>
      <c r="BR152" s="19">
        <v>0</v>
      </c>
      <c r="BS152" s="19">
        <v>0</v>
      </c>
      <c r="BT152" s="19">
        <v>0</v>
      </c>
      <c r="BU152" s="19">
        <v>0</v>
      </c>
      <c r="BV152" s="19">
        <v>0</v>
      </c>
      <c r="BW152" s="19">
        <v>0</v>
      </c>
      <c r="BX152" s="19">
        <v>0</v>
      </c>
      <c r="BY152" s="19">
        <v>0</v>
      </c>
      <c r="BZ152" s="19">
        <f>SUM(CA152+CS152)</f>
        <v>0</v>
      </c>
      <c r="CA152" s="19">
        <f>SUM(CB152+CE152+CK152)</f>
        <v>0</v>
      </c>
      <c r="CB152" s="19">
        <f t="shared" si="358"/>
        <v>0</v>
      </c>
      <c r="CC152" s="19">
        <v>0</v>
      </c>
      <c r="CD152" s="19">
        <v>0</v>
      </c>
      <c r="CE152" s="19">
        <f t="shared" si="359"/>
        <v>0</v>
      </c>
      <c r="CF152" s="19">
        <v>0</v>
      </c>
      <c r="CG152" s="19">
        <v>0</v>
      </c>
      <c r="CH152" s="19">
        <v>0</v>
      </c>
      <c r="CI152" s="19">
        <v>0</v>
      </c>
      <c r="CJ152" s="19">
        <v>0</v>
      </c>
      <c r="CK152" s="19">
        <f>SUM(CL152:CP152)</f>
        <v>0</v>
      </c>
      <c r="CL152" s="19">
        <v>0</v>
      </c>
      <c r="CM152" s="19">
        <v>0</v>
      </c>
      <c r="CN152" s="19">
        <v>0</v>
      </c>
      <c r="CO152" s="19"/>
      <c r="CP152" s="19"/>
      <c r="CQ152" s="19"/>
      <c r="CR152" s="19"/>
      <c r="CS152" s="19">
        <v>0</v>
      </c>
      <c r="CT152" s="19"/>
      <c r="CU152" s="19"/>
      <c r="CV152" s="19"/>
      <c r="CW152" s="19">
        <f t="shared" si="360"/>
        <v>0</v>
      </c>
      <c r="CX152" s="19">
        <f t="shared" si="361"/>
        <v>0</v>
      </c>
      <c r="CY152" s="19">
        <v>0</v>
      </c>
      <c r="CZ152" s="20">
        <v>0</v>
      </c>
    </row>
    <row r="153" spans="1:105" s="58" customFormat="1" ht="31.5" x14ac:dyDescent="0.25">
      <c r="A153" s="79" t="s">
        <v>248</v>
      </c>
      <c r="B153" s="16" t="s">
        <v>1</v>
      </c>
      <c r="C153" s="17" t="s">
        <v>589</v>
      </c>
      <c r="D153" s="18">
        <f t="shared" ref="D153:AS153" si="362">SUM(D154:D158)</f>
        <v>14512316</v>
      </c>
      <c r="E153" s="18">
        <f t="shared" si="362"/>
        <v>13807607</v>
      </c>
      <c r="F153" s="18">
        <f t="shared" si="362"/>
        <v>13300103</v>
      </c>
      <c r="G153" s="18">
        <f t="shared" si="362"/>
        <v>8582906</v>
      </c>
      <c r="H153" s="18">
        <f t="shared" si="362"/>
        <v>2025362</v>
      </c>
      <c r="I153" s="18">
        <f t="shared" si="362"/>
        <v>906416</v>
      </c>
      <c r="J153" s="18">
        <f t="shared" si="362"/>
        <v>20116</v>
      </c>
      <c r="K153" s="18">
        <f t="shared" si="362"/>
        <v>150000</v>
      </c>
      <c r="L153" s="18">
        <f t="shared" si="362"/>
        <v>0</v>
      </c>
      <c r="M153" s="18">
        <f t="shared" si="362"/>
        <v>0</v>
      </c>
      <c r="N153" s="18">
        <f t="shared" si="362"/>
        <v>492222</v>
      </c>
      <c r="O153" s="18">
        <f t="shared" si="362"/>
        <v>244078</v>
      </c>
      <c r="P153" s="18">
        <f t="shared" si="362"/>
        <v>0</v>
      </c>
      <c r="Q153" s="18">
        <f t="shared" si="362"/>
        <v>0</v>
      </c>
      <c r="R153" s="18">
        <f t="shared" si="362"/>
        <v>0</v>
      </c>
      <c r="S153" s="18">
        <f t="shared" si="362"/>
        <v>0</v>
      </c>
      <c r="T153" s="18">
        <f t="shared" si="362"/>
        <v>42036</v>
      </c>
      <c r="U153" s="18">
        <f t="shared" si="362"/>
        <v>383370</v>
      </c>
      <c r="V153" s="18">
        <f t="shared" si="362"/>
        <v>10773</v>
      </c>
      <c r="W153" s="18">
        <f t="shared" si="362"/>
        <v>166836</v>
      </c>
      <c r="X153" s="18">
        <f t="shared" si="362"/>
        <v>133994</v>
      </c>
      <c r="Y153" s="18">
        <f t="shared" si="362"/>
        <v>71767</v>
      </c>
      <c r="Z153" s="18">
        <f t="shared" si="362"/>
        <v>0</v>
      </c>
      <c r="AA153" s="18">
        <f t="shared" si="362"/>
        <v>0</v>
      </c>
      <c r="AB153" s="18">
        <f t="shared" si="362"/>
        <v>0</v>
      </c>
      <c r="AC153" s="18">
        <f t="shared" si="362"/>
        <v>0</v>
      </c>
      <c r="AD153" s="18">
        <f t="shared" si="362"/>
        <v>1360013</v>
      </c>
      <c r="AE153" s="18">
        <f t="shared" si="362"/>
        <v>0</v>
      </c>
      <c r="AF153" s="18">
        <f t="shared" si="362"/>
        <v>0</v>
      </c>
      <c r="AG153" s="18">
        <f t="shared" si="362"/>
        <v>571</v>
      </c>
      <c r="AH153" s="18">
        <f t="shared" si="362"/>
        <v>1434</v>
      </c>
      <c r="AI153" s="18">
        <f t="shared" si="362"/>
        <v>0</v>
      </c>
      <c r="AJ153" s="18">
        <f t="shared" si="362"/>
        <v>0</v>
      </c>
      <c r="AK153" s="18">
        <f t="shared" si="362"/>
        <v>0</v>
      </c>
      <c r="AL153" s="18">
        <f t="shared" si="362"/>
        <v>749</v>
      </c>
      <c r="AM153" s="18">
        <f t="shared" si="362"/>
        <v>4758</v>
      </c>
      <c r="AN153" s="18">
        <f t="shared" si="362"/>
        <v>0</v>
      </c>
      <c r="AO153" s="18">
        <f t="shared" si="362"/>
        <v>0</v>
      </c>
      <c r="AP153" s="18"/>
      <c r="AQ153" s="18">
        <f t="shared" si="362"/>
        <v>0</v>
      </c>
      <c r="AR153" s="18">
        <f t="shared" si="362"/>
        <v>104892</v>
      </c>
      <c r="AS153" s="18">
        <f t="shared" si="362"/>
        <v>38000</v>
      </c>
      <c r="AT153" s="18"/>
      <c r="AU153" s="18"/>
      <c r="AV153" s="18">
        <f>SUM(AV154:AV158)</f>
        <v>0</v>
      </c>
      <c r="AW153" s="18">
        <f>SUM(AW154:AW158)</f>
        <v>0</v>
      </c>
      <c r="AX153" s="18">
        <f>SUM(AX154:AX158)</f>
        <v>0</v>
      </c>
      <c r="AY153" s="18"/>
      <c r="AZ153" s="18">
        <f t="shared" ref="AZ153:CN153" si="363">SUM(AZ154:AZ158)</f>
        <v>1209609</v>
      </c>
      <c r="BA153" s="18">
        <f t="shared" si="363"/>
        <v>507504</v>
      </c>
      <c r="BB153" s="18">
        <f t="shared" si="363"/>
        <v>0</v>
      </c>
      <c r="BC153" s="18">
        <f t="shared" si="363"/>
        <v>0</v>
      </c>
      <c r="BD153" s="18">
        <f t="shared" si="363"/>
        <v>0</v>
      </c>
      <c r="BE153" s="18">
        <f t="shared" si="363"/>
        <v>0</v>
      </c>
      <c r="BF153" s="18">
        <f t="shared" si="363"/>
        <v>0</v>
      </c>
      <c r="BG153" s="18">
        <f t="shared" si="363"/>
        <v>0</v>
      </c>
      <c r="BH153" s="18">
        <f t="shared" si="363"/>
        <v>0</v>
      </c>
      <c r="BI153" s="18">
        <f t="shared" si="363"/>
        <v>0</v>
      </c>
      <c r="BJ153" s="18">
        <f t="shared" ref="BJ153" si="364">SUM(BJ154:BJ158)</f>
        <v>0</v>
      </c>
      <c r="BK153" s="18">
        <f t="shared" si="363"/>
        <v>0</v>
      </c>
      <c r="BL153" s="18">
        <f t="shared" si="363"/>
        <v>0</v>
      </c>
      <c r="BM153" s="18">
        <f t="shared" si="363"/>
        <v>0</v>
      </c>
      <c r="BN153" s="18">
        <f t="shared" si="363"/>
        <v>507504</v>
      </c>
      <c r="BO153" s="18">
        <f t="shared" si="363"/>
        <v>0</v>
      </c>
      <c r="BP153" s="18">
        <f t="shared" si="363"/>
        <v>0</v>
      </c>
      <c r="BQ153" s="18">
        <f t="shared" si="363"/>
        <v>507504</v>
      </c>
      <c r="BR153" s="18">
        <f t="shared" si="363"/>
        <v>0</v>
      </c>
      <c r="BS153" s="18">
        <f t="shared" si="363"/>
        <v>0</v>
      </c>
      <c r="BT153" s="18">
        <f t="shared" si="363"/>
        <v>0</v>
      </c>
      <c r="BU153" s="18">
        <f t="shared" si="363"/>
        <v>0</v>
      </c>
      <c r="BV153" s="18">
        <f t="shared" si="363"/>
        <v>0</v>
      </c>
      <c r="BW153" s="18">
        <f t="shared" si="363"/>
        <v>0</v>
      </c>
      <c r="BX153" s="18">
        <f t="shared" si="363"/>
        <v>0</v>
      </c>
      <c r="BY153" s="18">
        <f t="shared" si="363"/>
        <v>0</v>
      </c>
      <c r="BZ153" s="18">
        <f t="shared" si="363"/>
        <v>704709</v>
      </c>
      <c r="CA153" s="18">
        <f t="shared" si="363"/>
        <v>704709</v>
      </c>
      <c r="CB153" s="18">
        <f t="shared" si="363"/>
        <v>704709</v>
      </c>
      <c r="CC153" s="18">
        <f t="shared" si="363"/>
        <v>0</v>
      </c>
      <c r="CD153" s="18">
        <f t="shared" si="363"/>
        <v>704709</v>
      </c>
      <c r="CE153" s="18">
        <f t="shared" si="363"/>
        <v>0</v>
      </c>
      <c r="CF153" s="18">
        <f t="shared" si="363"/>
        <v>0</v>
      </c>
      <c r="CG153" s="18">
        <f t="shared" si="363"/>
        <v>0</v>
      </c>
      <c r="CH153" s="18">
        <f t="shared" si="363"/>
        <v>0</v>
      </c>
      <c r="CI153" s="18">
        <f t="shared" si="363"/>
        <v>0</v>
      </c>
      <c r="CJ153" s="18">
        <f t="shared" si="363"/>
        <v>0</v>
      </c>
      <c r="CK153" s="18">
        <f t="shared" si="363"/>
        <v>0</v>
      </c>
      <c r="CL153" s="18">
        <f t="shared" si="363"/>
        <v>0</v>
      </c>
      <c r="CM153" s="18">
        <f t="shared" si="363"/>
        <v>0</v>
      </c>
      <c r="CN153" s="18">
        <f t="shared" si="363"/>
        <v>0</v>
      </c>
      <c r="CO153" s="18"/>
      <c r="CP153" s="18"/>
      <c r="CQ153" s="18"/>
      <c r="CR153" s="18"/>
      <c r="CS153" s="18">
        <f>SUM(CS154:CS158)</f>
        <v>0</v>
      </c>
      <c r="CT153" s="18"/>
      <c r="CU153" s="18"/>
      <c r="CV153" s="18"/>
      <c r="CW153" s="18">
        <f>SUM(CW154:CW158)</f>
        <v>0</v>
      </c>
      <c r="CX153" s="18">
        <f>SUM(CX154:CX158)</f>
        <v>0</v>
      </c>
      <c r="CY153" s="18">
        <f>SUM(CY154:CY158)</f>
        <v>0</v>
      </c>
      <c r="CZ153" s="46">
        <f>SUM(CZ154:CZ158)</f>
        <v>0</v>
      </c>
      <c r="DA153" s="57"/>
    </row>
    <row r="154" spans="1:105" ht="15.75" x14ac:dyDescent="0.25">
      <c r="A154" s="80" t="s">
        <v>1</v>
      </c>
      <c r="B154" s="21" t="s">
        <v>82</v>
      </c>
      <c r="C154" s="22" t="s">
        <v>557</v>
      </c>
      <c r="D154" s="18">
        <f>SUM(E154+BZ154+CW154)</f>
        <v>4648976</v>
      </c>
      <c r="E154" s="19">
        <f>SUM(F154+BA154)</f>
        <v>4631091</v>
      </c>
      <c r="F154" s="19">
        <f t="shared" ref="F154:F158" si="365">SUM(G154+H154+I154+P154+S154+T154+U154+AD154)</f>
        <v>4123587</v>
      </c>
      <c r="G154" s="23">
        <f>2447737+560940</f>
        <v>3008677</v>
      </c>
      <c r="H154" s="23">
        <f>587129+134550</f>
        <v>721679</v>
      </c>
      <c r="I154" s="19">
        <f t="shared" si="354"/>
        <v>150927</v>
      </c>
      <c r="J154" s="23">
        <v>0</v>
      </c>
      <c r="K154" s="23">
        <v>0</v>
      </c>
      <c r="L154" s="23">
        <v>0</v>
      </c>
      <c r="M154" s="23">
        <v>0</v>
      </c>
      <c r="N154" s="23">
        <f>32757+113519</f>
        <v>146276</v>
      </c>
      <c r="O154" s="23">
        <v>4651</v>
      </c>
      <c r="P154" s="19">
        <f t="shared" si="355"/>
        <v>0</v>
      </c>
      <c r="Q154" s="23"/>
      <c r="R154" s="23"/>
      <c r="S154" s="23"/>
      <c r="T154" s="23">
        <v>14299</v>
      </c>
      <c r="U154" s="19">
        <f t="shared" ref="U154:U158" si="366">SUM(V154:AC154)</f>
        <v>139524</v>
      </c>
      <c r="V154" s="23">
        <f>5773+5000</f>
        <v>10773</v>
      </c>
      <c r="W154" s="23">
        <f>73201+228</f>
        <v>73429</v>
      </c>
      <c r="X154" s="23">
        <f>24794+8740</f>
        <v>33534</v>
      </c>
      <c r="Y154" s="23">
        <f>5931+15857</f>
        <v>21788</v>
      </c>
      <c r="Z154" s="23">
        <v>0</v>
      </c>
      <c r="AA154" s="23">
        <v>0</v>
      </c>
      <c r="AB154" s="23">
        <v>0</v>
      </c>
      <c r="AC154" s="23">
        <v>0</v>
      </c>
      <c r="AD154" s="19">
        <f>SUM(AE154:AZ154)</f>
        <v>88481</v>
      </c>
      <c r="AE154" s="19">
        <v>0</v>
      </c>
      <c r="AF154" s="19">
        <v>0</v>
      </c>
      <c r="AG154" s="23">
        <v>0</v>
      </c>
      <c r="AH154" s="23">
        <v>0</v>
      </c>
      <c r="AI154" s="23">
        <v>0</v>
      </c>
      <c r="AJ154" s="23">
        <v>0</v>
      </c>
      <c r="AK154" s="23">
        <v>0</v>
      </c>
      <c r="AL154" s="23">
        <v>0</v>
      </c>
      <c r="AM154" s="23">
        <v>1200</v>
      </c>
      <c r="AN154" s="23">
        <v>0</v>
      </c>
      <c r="AO154" s="23">
        <v>0</v>
      </c>
      <c r="AP154" s="23"/>
      <c r="AQ154" s="23">
        <v>0</v>
      </c>
      <c r="AR154" s="23">
        <v>47019</v>
      </c>
      <c r="AS154" s="23">
        <f>14000+24000</f>
        <v>38000</v>
      </c>
      <c r="AT154" s="23">
        <v>0</v>
      </c>
      <c r="AU154" s="23">
        <v>0</v>
      </c>
      <c r="AV154" s="23">
        <v>0</v>
      </c>
      <c r="AW154" s="23">
        <v>0</v>
      </c>
      <c r="AX154" s="23">
        <v>0</v>
      </c>
      <c r="AY154" s="23">
        <v>0</v>
      </c>
      <c r="AZ154" s="23">
        <f>2262</f>
        <v>2262</v>
      </c>
      <c r="BA154" s="19">
        <f>SUM(BB154+BF154+BI154+BK154+BN154)</f>
        <v>507504</v>
      </c>
      <c r="BB154" s="19">
        <f t="shared" ref="BB154:BB158" si="367">SUM(BC154:BE154)</f>
        <v>0</v>
      </c>
      <c r="BC154" s="19">
        <v>0</v>
      </c>
      <c r="BD154" s="19">
        <v>0</v>
      </c>
      <c r="BE154" s="19">
        <v>0</v>
      </c>
      <c r="BF154" s="19">
        <f t="shared" ref="BF154:BF158" si="368">SUM(BH154:BH154)</f>
        <v>0</v>
      </c>
      <c r="BG154" s="19">
        <v>0</v>
      </c>
      <c r="BH154" s="19">
        <v>0</v>
      </c>
      <c r="BI154" s="19">
        <v>0</v>
      </c>
      <c r="BJ154" s="19">
        <v>0</v>
      </c>
      <c r="BK154" s="19">
        <f t="shared" si="357"/>
        <v>0</v>
      </c>
      <c r="BL154" s="19">
        <v>0</v>
      </c>
      <c r="BM154" s="19">
        <v>0</v>
      </c>
      <c r="BN154" s="19">
        <f t="shared" ref="BN154:BN158" si="369">SUM(BO154:BY154)</f>
        <v>507504</v>
      </c>
      <c r="BO154" s="19">
        <v>0</v>
      </c>
      <c r="BP154" s="19">
        <v>0</v>
      </c>
      <c r="BQ154" s="23">
        <v>507504</v>
      </c>
      <c r="BR154" s="19">
        <v>0</v>
      </c>
      <c r="BS154" s="19">
        <v>0</v>
      </c>
      <c r="BT154" s="19">
        <v>0</v>
      </c>
      <c r="BU154" s="19">
        <v>0</v>
      </c>
      <c r="BV154" s="19">
        <v>0</v>
      </c>
      <c r="BW154" s="19">
        <v>0</v>
      </c>
      <c r="BX154" s="19">
        <v>0</v>
      </c>
      <c r="BY154" s="19">
        <v>0</v>
      </c>
      <c r="BZ154" s="19">
        <f>SUM(CA154+CS154)</f>
        <v>17885</v>
      </c>
      <c r="CA154" s="19">
        <f>SUM(CB154+CE154+CK154)</f>
        <v>17885</v>
      </c>
      <c r="CB154" s="19">
        <f t="shared" si="358"/>
        <v>17885</v>
      </c>
      <c r="CC154" s="19">
        <v>0</v>
      </c>
      <c r="CD154" s="23">
        <v>17885</v>
      </c>
      <c r="CE154" s="19">
        <f t="shared" ref="CE154:CE158" si="370">SUM(CF154:CJ154)</f>
        <v>0</v>
      </c>
      <c r="CF154" s="19">
        <v>0</v>
      </c>
      <c r="CG154" s="19">
        <v>0</v>
      </c>
      <c r="CH154" s="19">
        <v>0</v>
      </c>
      <c r="CI154" s="19">
        <v>0</v>
      </c>
      <c r="CJ154" s="19">
        <v>0</v>
      </c>
      <c r="CK154" s="19">
        <f t="shared" ref="CK154:CK158" si="371">SUM(CL154:CP154)</f>
        <v>0</v>
      </c>
      <c r="CL154" s="19">
        <v>0</v>
      </c>
      <c r="CM154" s="19">
        <v>0</v>
      </c>
      <c r="CN154" s="19">
        <v>0</v>
      </c>
      <c r="CO154" s="19"/>
      <c r="CP154" s="19"/>
      <c r="CQ154" s="19"/>
      <c r="CR154" s="19"/>
      <c r="CS154" s="19">
        <v>0</v>
      </c>
      <c r="CT154" s="19"/>
      <c r="CU154" s="19"/>
      <c r="CV154" s="19"/>
      <c r="CW154" s="19">
        <f t="shared" si="360"/>
        <v>0</v>
      </c>
      <c r="CX154" s="19">
        <f t="shared" si="361"/>
        <v>0</v>
      </c>
      <c r="CY154" s="19">
        <v>0</v>
      </c>
      <c r="CZ154" s="20">
        <v>0</v>
      </c>
    </row>
    <row r="155" spans="1:105" ht="15.75" x14ac:dyDescent="0.25">
      <c r="A155" s="80" t="s">
        <v>1</v>
      </c>
      <c r="B155" s="21" t="s">
        <v>94</v>
      </c>
      <c r="C155" s="22" t="s">
        <v>249</v>
      </c>
      <c r="D155" s="18">
        <f>SUM(E155+BZ155+CW155)</f>
        <v>5747299</v>
      </c>
      <c r="E155" s="19">
        <f>SUM(F155+BA155)</f>
        <v>5077864</v>
      </c>
      <c r="F155" s="19">
        <f t="shared" si="365"/>
        <v>5077864</v>
      </c>
      <c r="G155" s="23">
        <f>2537654+581546</f>
        <v>3119200</v>
      </c>
      <c r="H155" s="23">
        <f>591619+135579</f>
        <v>727198</v>
      </c>
      <c r="I155" s="19">
        <f>SUM(J155:O155)</f>
        <v>731578</v>
      </c>
      <c r="J155" s="23">
        <v>11414</v>
      </c>
      <c r="K155" s="23">
        <v>150000</v>
      </c>
      <c r="L155" s="23">
        <v>0</v>
      </c>
      <c r="M155" s="23">
        <v>0</v>
      </c>
      <c r="N155" s="23">
        <v>345946</v>
      </c>
      <c r="O155" s="23">
        <v>224218</v>
      </c>
      <c r="P155" s="19">
        <f>SUM(Q155:R155)</f>
        <v>0</v>
      </c>
      <c r="Q155" s="23"/>
      <c r="R155" s="23"/>
      <c r="S155" s="23"/>
      <c r="T155" s="23">
        <v>22428</v>
      </c>
      <c r="U155" s="19">
        <f t="shared" si="366"/>
        <v>243846</v>
      </c>
      <c r="V155" s="23">
        <v>0</v>
      </c>
      <c r="W155" s="23">
        <v>93407</v>
      </c>
      <c r="X155" s="23">
        <v>100460</v>
      </c>
      <c r="Y155" s="23">
        <v>49979</v>
      </c>
      <c r="Z155" s="23">
        <v>0</v>
      </c>
      <c r="AA155" s="23">
        <v>0</v>
      </c>
      <c r="AB155" s="23">
        <v>0</v>
      </c>
      <c r="AC155" s="23">
        <v>0</v>
      </c>
      <c r="AD155" s="19">
        <f>SUM(AE155:AZ155)</f>
        <v>233614</v>
      </c>
      <c r="AE155" s="19">
        <v>0</v>
      </c>
      <c r="AF155" s="19">
        <v>0</v>
      </c>
      <c r="AG155" s="23">
        <v>0</v>
      </c>
      <c r="AH155" s="23">
        <v>1434</v>
      </c>
      <c r="AI155" s="23">
        <v>0</v>
      </c>
      <c r="AJ155" s="23">
        <v>0</v>
      </c>
      <c r="AK155" s="23">
        <v>0</v>
      </c>
      <c r="AL155" s="23">
        <v>749</v>
      </c>
      <c r="AM155" s="23">
        <v>3558</v>
      </c>
      <c r="AN155" s="23">
        <v>0</v>
      </c>
      <c r="AO155" s="23">
        <v>0</v>
      </c>
      <c r="AP155" s="23"/>
      <c r="AQ155" s="23">
        <v>0</v>
      </c>
      <c r="AR155" s="23">
        <v>57873</v>
      </c>
      <c r="AS155" s="23">
        <v>0</v>
      </c>
      <c r="AT155" s="23">
        <v>0</v>
      </c>
      <c r="AU155" s="23">
        <v>0</v>
      </c>
      <c r="AV155" s="23">
        <v>0</v>
      </c>
      <c r="AW155" s="23">
        <v>0</v>
      </c>
      <c r="AX155" s="23">
        <v>0</v>
      </c>
      <c r="AY155" s="23">
        <v>0</v>
      </c>
      <c r="AZ155" s="23">
        <v>170000</v>
      </c>
      <c r="BA155" s="19">
        <f>SUM(BB155+BF155+BI155+BK155+BN155)</f>
        <v>0</v>
      </c>
      <c r="BB155" s="19">
        <f t="shared" si="367"/>
        <v>0</v>
      </c>
      <c r="BC155" s="19">
        <v>0</v>
      </c>
      <c r="BD155" s="19">
        <v>0</v>
      </c>
      <c r="BE155" s="19">
        <v>0</v>
      </c>
      <c r="BF155" s="19">
        <f t="shared" si="368"/>
        <v>0</v>
      </c>
      <c r="BG155" s="19">
        <v>0</v>
      </c>
      <c r="BH155" s="19">
        <v>0</v>
      </c>
      <c r="BI155" s="19">
        <v>0</v>
      </c>
      <c r="BJ155" s="19">
        <v>0</v>
      </c>
      <c r="BK155" s="19">
        <f>SUM(BL155)</f>
        <v>0</v>
      </c>
      <c r="BL155" s="19">
        <v>0</v>
      </c>
      <c r="BM155" s="19">
        <v>0</v>
      </c>
      <c r="BN155" s="19">
        <f t="shared" si="369"/>
        <v>0</v>
      </c>
      <c r="BO155" s="19">
        <v>0</v>
      </c>
      <c r="BP155" s="19">
        <v>0</v>
      </c>
      <c r="BQ155" s="19">
        <v>0</v>
      </c>
      <c r="BR155" s="19">
        <v>0</v>
      </c>
      <c r="BS155" s="19">
        <v>0</v>
      </c>
      <c r="BT155" s="19">
        <v>0</v>
      </c>
      <c r="BU155" s="19">
        <v>0</v>
      </c>
      <c r="BV155" s="19">
        <v>0</v>
      </c>
      <c r="BW155" s="19">
        <v>0</v>
      </c>
      <c r="BX155" s="19">
        <v>0</v>
      </c>
      <c r="BY155" s="19">
        <v>0</v>
      </c>
      <c r="BZ155" s="19">
        <f>SUM(CA155+CS155)</f>
        <v>669435</v>
      </c>
      <c r="CA155" s="19">
        <f>SUM(CB155+CE155+CK155)</f>
        <v>669435</v>
      </c>
      <c r="CB155" s="19">
        <f>SUM(CC155:CD155)</f>
        <v>669435</v>
      </c>
      <c r="CC155" s="19">
        <v>0</v>
      </c>
      <c r="CD155" s="23">
        <v>669435</v>
      </c>
      <c r="CE155" s="19">
        <f t="shared" si="370"/>
        <v>0</v>
      </c>
      <c r="CF155" s="19">
        <v>0</v>
      </c>
      <c r="CG155" s="19">
        <v>0</v>
      </c>
      <c r="CH155" s="19">
        <v>0</v>
      </c>
      <c r="CI155" s="19">
        <v>0</v>
      </c>
      <c r="CJ155" s="19">
        <v>0</v>
      </c>
      <c r="CK155" s="19">
        <f t="shared" si="371"/>
        <v>0</v>
      </c>
      <c r="CL155" s="19">
        <v>0</v>
      </c>
      <c r="CM155" s="19">
        <v>0</v>
      </c>
      <c r="CN155" s="19">
        <v>0</v>
      </c>
      <c r="CO155" s="19"/>
      <c r="CP155" s="19"/>
      <c r="CQ155" s="19"/>
      <c r="CR155" s="19"/>
      <c r="CS155" s="19">
        <v>0</v>
      </c>
      <c r="CT155" s="19"/>
      <c r="CU155" s="19"/>
      <c r="CV155" s="19"/>
      <c r="CW155" s="19">
        <f>SUM(CX155)</f>
        <v>0</v>
      </c>
      <c r="CX155" s="19">
        <f>SUM(CY155:CZ155)</f>
        <v>0</v>
      </c>
      <c r="CY155" s="19">
        <v>0</v>
      </c>
      <c r="CZ155" s="20">
        <v>0</v>
      </c>
    </row>
    <row r="156" spans="1:105" ht="15.75" x14ac:dyDescent="0.25">
      <c r="A156" s="80" t="s">
        <v>1</v>
      </c>
      <c r="B156" s="21" t="s">
        <v>94</v>
      </c>
      <c r="C156" s="22" t="s">
        <v>250</v>
      </c>
      <c r="D156" s="18">
        <f>SUM(E156+BZ156+CW156)</f>
        <v>3094833</v>
      </c>
      <c r="E156" s="19">
        <f>SUM(F156+BA156)</f>
        <v>3094833</v>
      </c>
      <c r="F156" s="19">
        <f t="shared" si="365"/>
        <v>3094833</v>
      </c>
      <c r="G156" s="23">
        <v>2244413</v>
      </c>
      <c r="H156" s="23">
        <v>523830</v>
      </c>
      <c r="I156" s="19">
        <f t="shared" si="354"/>
        <v>13633</v>
      </c>
      <c r="J156" s="23">
        <v>8702</v>
      </c>
      <c r="K156" s="23">
        <v>0</v>
      </c>
      <c r="L156" s="23">
        <v>0</v>
      </c>
      <c r="M156" s="23">
        <v>0</v>
      </c>
      <c r="N156" s="23">
        <v>0</v>
      </c>
      <c r="O156" s="23">
        <v>4931</v>
      </c>
      <c r="P156" s="19">
        <f t="shared" si="355"/>
        <v>0</v>
      </c>
      <c r="Q156" s="23"/>
      <c r="R156" s="23"/>
      <c r="S156" s="23"/>
      <c r="T156" s="23">
        <v>5309</v>
      </c>
      <c r="U156" s="19">
        <f t="shared" si="366"/>
        <v>0</v>
      </c>
      <c r="V156" s="23">
        <v>0</v>
      </c>
      <c r="W156" s="23">
        <v>0</v>
      </c>
      <c r="X156" s="23">
        <v>0</v>
      </c>
      <c r="Y156" s="23">
        <v>0</v>
      </c>
      <c r="Z156" s="23">
        <v>0</v>
      </c>
      <c r="AA156" s="23">
        <v>0</v>
      </c>
      <c r="AB156" s="23">
        <v>0</v>
      </c>
      <c r="AC156" s="23">
        <v>0</v>
      </c>
      <c r="AD156" s="19">
        <f>SUM(AE156:AZ156)</f>
        <v>307648</v>
      </c>
      <c r="AE156" s="19">
        <v>0</v>
      </c>
      <c r="AF156" s="19">
        <v>0</v>
      </c>
      <c r="AG156" s="23">
        <v>571</v>
      </c>
      <c r="AH156" s="23">
        <v>0</v>
      </c>
      <c r="AI156" s="23">
        <v>0</v>
      </c>
      <c r="AJ156" s="23">
        <v>0</v>
      </c>
      <c r="AK156" s="23">
        <v>0</v>
      </c>
      <c r="AL156" s="23">
        <v>0</v>
      </c>
      <c r="AM156" s="23">
        <v>0</v>
      </c>
      <c r="AN156" s="23">
        <v>0</v>
      </c>
      <c r="AO156" s="23">
        <v>0</v>
      </c>
      <c r="AP156" s="23"/>
      <c r="AQ156" s="23">
        <v>0</v>
      </c>
      <c r="AR156" s="23">
        <v>0</v>
      </c>
      <c r="AS156" s="23">
        <v>0</v>
      </c>
      <c r="AT156" s="23">
        <v>0</v>
      </c>
      <c r="AU156" s="23">
        <v>0</v>
      </c>
      <c r="AV156" s="23">
        <v>0</v>
      </c>
      <c r="AW156" s="23">
        <v>0</v>
      </c>
      <c r="AX156" s="23">
        <v>0</v>
      </c>
      <c r="AY156" s="23">
        <v>0</v>
      </c>
      <c r="AZ156" s="23">
        <v>307077</v>
      </c>
      <c r="BA156" s="19">
        <f>SUM(BB156+BF156+BI156+BK156+BN156)</f>
        <v>0</v>
      </c>
      <c r="BB156" s="19">
        <f t="shared" si="367"/>
        <v>0</v>
      </c>
      <c r="BC156" s="19">
        <v>0</v>
      </c>
      <c r="BD156" s="19">
        <v>0</v>
      </c>
      <c r="BE156" s="19">
        <v>0</v>
      </c>
      <c r="BF156" s="19">
        <f t="shared" si="368"/>
        <v>0</v>
      </c>
      <c r="BG156" s="19">
        <v>0</v>
      </c>
      <c r="BH156" s="19">
        <v>0</v>
      </c>
      <c r="BI156" s="19">
        <v>0</v>
      </c>
      <c r="BJ156" s="19">
        <v>0</v>
      </c>
      <c r="BK156" s="19">
        <f t="shared" si="357"/>
        <v>0</v>
      </c>
      <c r="BL156" s="19">
        <v>0</v>
      </c>
      <c r="BM156" s="19">
        <v>0</v>
      </c>
      <c r="BN156" s="19">
        <f t="shared" si="369"/>
        <v>0</v>
      </c>
      <c r="BO156" s="19">
        <v>0</v>
      </c>
      <c r="BP156" s="19">
        <v>0</v>
      </c>
      <c r="BQ156" s="19">
        <v>0</v>
      </c>
      <c r="BR156" s="19">
        <v>0</v>
      </c>
      <c r="BS156" s="19">
        <v>0</v>
      </c>
      <c r="BT156" s="19">
        <v>0</v>
      </c>
      <c r="BU156" s="19">
        <v>0</v>
      </c>
      <c r="BV156" s="19">
        <v>0</v>
      </c>
      <c r="BW156" s="19">
        <v>0</v>
      </c>
      <c r="BX156" s="19">
        <v>0</v>
      </c>
      <c r="BY156" s="19">
        <v>0</v>
      </c>
      <c r="BZ156" s="19">
        <f>SUM(CA156+CS156)</f>
        <v>0</v>
      </c>
      <c r="CA156" s="19">
        <f>SUM(CB156+CE156+CK156)</f>
        <v>0</v>
      </c>
      <c r="CB156" s="19">
        <f t="shared" si="358"/>
        <v>0</v>
      </c>
      <c r="CC156" s="19">
        <v>0</v>
      </c>
      <c r="CD156" s="23">
        <v>0</v>
      </c>
      <c r="CE156" s="19">
        <f t="shared" si="370"/>
        <v>0</v>
      </c>
      <c r="CF156" s="19">
        <v>0</v>
      </c>
      <c r="CG156" s="19">
        <v>0</v>
      </c>
      <c r="CH156" s="19">
        <v>0</v>
      </c>
      <c r="CI156" s="19">
        <v>0</v>
      </c>
      <c r="CJ156" s="19">
        <v>0</v>
      </c>
      <c r="CK156" s="19">
        <f t="shared" si="371"/>
        <v>0</v>
      </c>
      <c r="CL156" s="19">
        <v>0</v>
      </c>
      <c r="CM156" s="19">
        <v>0</v>
      </c>
      <c r="CN156" s="19">
        <v>0</v>
      </c>
      <c r="CO156" s="19"/>
      <c r="CP156" s="19"/>
      <c r="CQ156" s="19"/>
      <c r="CR156" s="19"/>
      <c r="CS156" s="19">
        <v>0</v>
      </c>
      <c r="CT156" s="19"/>
      <c r="CU156" s="19"/>
      <c r="CV156" s="19"/>
      <c r="CW156" s="19">
        <f t="shared" si="360"/>
        <v>0</v>
      </c>
      <c r="CX156" s="19">
        <f t="shared" si="361"/>
        <v>0</v>
      </c>
      <c r="CY156" s="19">
        <v>0</v>
      </c>
      <c r="CZ156" s="20">
        <v>0</v>
      </c>
    </row>
    <row r="157" spans="1:105" ht="31.5" x14ac:dyDescent="0.25">
      <c r="A157" s="80" t="s">
        <v>1</v>
      </c>
      <c r="B157" s="21" t="s">
        <v>96</v>
      </c>
      <c r="C157" s="22" t="s">
        <v>491</v>
      </c>
      <c r="D157" s="18">
        <f>SUM(E157+BZ157+CW157)</f>
        <v>290938</v>
      </c>
      <c r="E157" s="19">
        <f>SUM(F157+BA157)</f>
        <v>273549</v>
      </c>
      <c r="F157" s="19">
        <f t="shared" si="365"/>
        <v>273549</v>
      </c>
      <c r="G157" s="23">
        <v>210616</v>
      </c>
      <c r="H157" s="23">
        <v>52655</v>
      </c>
      <c r="I157" s="19">
        <f>SUM(J157:O157)</f>
        <v>10278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10278</v>
      </c>
      <c r="P157" s="19">
        <f>SUM(Q157:R157)</f>
        <v>0</v>
      </c>
      <c r="Q157" s="23">
        <v>0</v>
      </c>
      <c r="R157" s="23">
        <v>0</v>
      </c>
      <c r="S157" s="23">
        <v>0</v>
      </c>
      <c r="T157" s="23">
        <v>0</v>
      </c>
      <c r="U157" s="19">
        <f t="shared" si="366"/>
        <v>0</v>
      </c>
      <c r="V157" s="23">
        <v>0</v>
      </c>
      <c r="W157" s="23">
        <v>0</v>
      </c>
      <c r="X157" s="23">
        <v>0</v>
      </c>
      <c r="Y157" s="23">
        <v>0</v>
      </c>
      <c r="Z157" s="23">
        <v>0</v>
      </c>
      <c r="AA157" s="23">
        <v>0</v>
      </c>
      <c r="AB157" s="23">
        <v>0</v>
      </c>
      <c r="AC157" s="23">
        <v>0</v>
      </c>
      <c r="AD157" s="19">
        <f>SUM(AE157:AZ157)</f>
        <v>0</v>
      </c>
      <c r="AE157" s="19">
        <v>0</v>
      </c>
      <c r="AF157" s="19">
        <v>0</v>
      </c>
      <c r="AG157" s="23">
        <v>0</v>
      </c>
      <c r="AH157" s="23">
        <v>0</v>
      </c>
      <c r="AI157" s="23">
        <v>0</v>
      </c>
      <c r="AJ157" s="23">
        <v>0</v>
      </c>
      <c r="AK157" s="23">
        <v>0</v>
      </c>
      <c r="AL157" s="23">
        <v>0</v>
      </c>
      <c r="AM157" s="23">
        <v>0</v>
      </c>
      <c r="AN157" s="23">
        <v>0</v>
      </c>
      <c r="AO157" s="23">
        <v>0</v>
      </c>
      <c r="AP157" s="23"/>
      <c r="AQ157" s="23">
        <v>0</v>
      </c>
      <c r="AR157" s="23">
        <v>0</v>
      </c>
      <c r="AS157" s="23">
        <v>0</v>
      </c>
      <c r="AT157" s="23">
        <v>0</v>
      </c>
      <c r="AU157" s="23">
        <v>0</v>
      </c>
      <c r="AV157" s="23">
        <v>0</v>
      </c>
      <c r="AW157" s="23">
        <v>0</v>
      </c>
      <c r="AX157" s="23">
        <v>0</v>
      </c>
      <c r="AY157" s="23">
        <v>0</v>
      </c>
      <c r="AZ157" s="23">
        <v>0</v>
      </c>
      <c r="BA157" s="19">
        <f>SUM(BB157+BF157+BI157+BK157+BN157)</f>
        <v>0</v>
      </c>
      <c r="BB157" s="19">
        <f>SUM(BC157:BE157)</f>
        <v>0</v>
      </c>
      <c r="BC157" s="19">
        <v>0</v>
      </c>
      <c r="BD157" s="19">
        <v>0</v>
      </c>
      <c r="BE157" s="19">
        <v>0</v>
      </c>
      <c r="BF157" s="19">
        <f t="shared" si="368"/>
        <v>0</v>
      </c>
      <c r="BG157" s="19">
        <v>0</v>
      </c>
      <c r="BH157" s="19">
        <v>0</v>
      </c>
      <c r="BI157" s="19">
        <v>0</v>
      </c>
      <c r="BJ157" s="19">
        <v>0</v>
      </c>
      <c r="BK157" s="19">
        <f>SUM(BL157)</f>
        <v>0</v>
      </c>
      <c r="BL157" s="19">
        <v>0</v>
      </c>
      <c r="BM157" s="19">
        <v>0</v>
      </c>
      <c r="BN157" s="19">
        <f t="shared" si="369"/>
        <v>0</v>
      </c>
      <c r="BO157" s="19">
        <v>0</v>
      </c>
      <c r="BP157" s="19">
        <v>0</v>
      </c>
      <c r="BQ157" s="19">
        <v>0</v>
      </c>
      <c r="BR157" s="19">
        <v>0</v>
      </c>
      <c r="BS157" s="19">
        <v>0</v>
      </c>
      <c r="BT157" s="19">
        <v>0</v>
      </c>
      <c r="BU157" s="19">
        <v>0</v>
      </c>
      <c r="BV157" s="19">
        <v>0</v>
      </c>
      <c r="BW157" s="19">
        <v>0</v>
      </c>
      <c r="BX157" s="19">
        <v>0</v>
      </c>
      <c r="BY157" s="19">
        <v>0</v>
      </c>
      <c r="BZ157" s="19">
        <f>SUM(CA157+CS157)</f>
        <v>17389</v>
      </c>
      <c r="CA157" s="19">
        <f>SUM(CB157+CE157+CK157)</f>
        <v>17389</v>
      </c>
      <c r="CB157" s="19">
        <f>SUM(CC157:CD157)</f>
        <v>17389</v>
      </c>
      <c r="CC157" s="19">
        <v>0</v>
      </c>
      <c r="CD157" s="23">
        <v>17389</v>
      </c>
      <c r="CE157" s="19">
        <f t="shared" si="370"/>
        <v>0</v>
      </c>
      <c r="CF157" s="19">
        <v>0</v>
      </c>
      <c r="CG157" s="19">
        <v>0</v>
      </c>
      <c r="CH157" s="19">
        <v>0</v>
      </c>
      <c r="CI157" s="19">
        <v>0</v>
      </c>
      <c r="CJ157" s="19">
        <v>0</v>
      </c>
      <c r="CK157" s="19">
        <f t="shared" si="371"/>
        <v>0</v>
      </c>
      <c r="CL157" s="19">
        <v>0</v>
      </c>
      <c r="CM157" s="19">
        <v>0</v>
      </c>
      <c r="CN157" s="19">
        <v>0</v>
      </c>
      <c r="CO157" s="19"/>
      <c r="CP157" s="19"/>
      <c r="CQ157" s="19"/>
      <c r="CR157" s="19"/>
      <c r="CS157" s="19">
        <v>0</v>
      </c>
      <c r="CT157" s="19"/>
      <c r="CU157" s="19"/>
      <c r="CV157" s="19"/>
      <c r="CW157" s="19">
        <f>SUM(CX157)</f>
        <v>0</v>
      </c>
      <c r="CX157" s="19">
        <f>SUM(CY157:CZ157)</f>
        <v>0</v>
      </c>
      <c r="CY157" s="19">
        <v>0</v>
      </c>
      <c r="CZ157" s="20">
        <v>0</v>
      </c>
    </row>
    <row r="158" spans="1:105" ht="31.5" x14ac:dyDescent="0.25">
      <c r="A158" s="80" t="s">
        <v>1</v>
      </c>
      <c r="B158" s="21" t="s">
        <v>96</v>
      </c>
      <c r="C158" s="22" t="s">
        <v>539</v>
      </c>
      <c r="D158" s="18">
        <f>SUM(E158+BZ158+CW158)</f>
        <v>730270</v>
      </c>
      <c r="E158" s="19">
        <f>SUM(F158+BA158)</f>
        <v>730270</v>
      </c>
      <c r="F158" s="19">
        <f t="shared" si="365"/>
        <v>730270</v>
      </c>
      <c r="G158" s="23">
        <v>0</v>
      </c>
      <c r="H158" s="23">
        <v>0</v>
      </c>
      <c r="I158" s="19">
        <f t="shared" ref="I158" si="372">SUM(J158:O158)</f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19">
        <f t="shared" ref="P158" si="373">SUM(Q158:R158)</f>
        <v>0</v>
      </c>
      <c r="Q158" s="23">
        <v>0</v>
      </c>
      <c r="R158" s="23">
        <v>0</v>
      </c>
      <c r="S158" s="23">
        <v>0</v>
      </c>
      <c r="T158" s="23">
        <v>0</v>
      </c>
      <c r="U158" s="19">
        <f t="shared" si="366"/>
        <v>0</v>
      </c>
      <c r="V158" s="23">
        <v>0</v>
      </c>
      <c r="W158" s="23">
        <v>0</v>
      </c>
      <c r="X158" s="23">
        <v>0</v>
      </c>
      <c r="Y158" s="23">
        <v>0</v>
      </c>
      <c r="Z158" s="23">
        <v>0</v>
      </c>
      <c r="AA158" s="23">
        <v>0</v>
      </c>
      <c r="AB158" s="23">
        <v>0</v>
      </c>
      <c r="AC158" s="23">
        <v>0</v>
      </c>
      <c r="AD158" s="19">
        <f>SUM(AE158:AZ158)</f>
        <v>730270</v>
      </c>
      <c r="AE158" s="19">
        <v>0</v>
      </c>
      <c r="AF158" s="19">
        <v>0</v>
      </c>
      <c r="AG158" s="23">
        <v>0</v>
      </c>
      <c r="AH158" s="23">
        <v>0</v>
      </c>
      <c r="AI158" s="23">
        <v>0</v>
      </c>
      <c r="AJ158" s="23">
        <v>0</v>
      </c>
      <c r="AK158" s="23">
        <v>0</v>
      </c>
      <c r="AL158" s="23">
        <v>0</v>
      </c>
      <c r="AM158" s="23">
        <v>0</v>
      </c>
      <c r="AN158" s="23">
        <v>0</v>
      </c>
      <c r="AO158" s="23">
        <v>0</v>
      </c>
      <c r="AP158" s="23"/>
      <c r="AQ158" s="23">
        <v>0</v>
      </c>
      <c r="AR158" s="23">
        <v>0</v>
      </c>
      <c r="AS158" s="23">
        <v>0</v>
      </c>
      <c r="AT158" s="23">
        <v>0</v>
      </c>
      <c r="AU158" s="23">
        <v>0</v>
      </c>
      <c r="AV158" s="23">
        <v>0</v>
      </c>
      <c r="AW158" s="23">
        <v>0</v>
      </c>
      <c r="AX158" s="23">
        <v>0</v>
      </c>
      <c r="AY158" s="23">
        <v>0</v>
      </c>
      <c r="AZ158" s="23">
        <v>730270</v>
      </c>
      <c r="BA158" s="19">
        <f>SUM(BB158+BF158+BI158+BK158+BN158)</f>
        <v>0</v>
      </c>
      <c r="BB158" s="19">
        <f t="shared" si="367"/>
        <v>0</v>
      </c>
      <c r="BC158" s="19">
        <v>0</v>
      </c>
      <c r="BD158" s="19">
        <v>0</v>
      </c>
      <c r="BE158" s="19">
        <v>0</v>
      </c>
      <c r="BF158" s="19">
        <f t="shared" si="368"/>
        <v>0</v>
      </c>
      <c r="BG158" s="19">
        <v>0</v>
      </c>
      <c r="BH158" s="19">
        <v>0</v>
      </c>
      <c r="BI158" s="19">
        <v>0</v>
      </c>
      <c r="BJ158" s="19">
        <v>0</v>
      </c>
      <c r="BK158" s="19">
        <f t="shared" ref="BK158" si="374">SUM(BL158)</f>
        <v>0</v>
      </c>
      <c r="BL158" s="19">
        <v>0</v>
      </c>
      <c r="BM158" s="19">
        <v>0</v>
      </c>
      <c r="BN158" s="19">
        <f t="shared" si="369"/>
        <v>0</v>
      </c>
      <c r="BO158" s="19">
        <v>0</v>
      </c>
      <c r="BP158" s="19">
        <v>0</v>
      </c>
      <c r="BQ158" s="19">
        <v>0</v>
      </c>
      <c r="BR158" s="19">
        <v>0</v>
      </c>
      <c r="BS158" s="19">
        <v>0</v>
      </c>
      <c r="BT158" s="19">
        <v>0</v>
      </c>
      <c r="BU158" s="19">
        <v>0</v>
      </c>
      <c r="BV158" s="19">
        <v>0</v>
      </c>
      <c r="BW158" s="19">
        <v>0</v>
      </c>
      <c r="BX158" s="19">
        <v>0</v>
      </c>
      <c r="BY158" s="19">
        <v>0</v>
      </c>
      <c r="BZ158" s="19">
        <f>SUM(CA158+CS158)</f>
        <v>0</v>
      </c>
      <c r="CA158" s="19">
        <f>SUM(CB158+CE158+CK158)</f>
        <v>0</v>
      </c>
      <c r="CB158" s="19">
        <f t="shared" ref="CB158" si="375">SUM(CC158:CD158)</f>
        <v>0</v>
      </c>
      <c r="CC158" s="19">
        <v>0</v>
      </c>
      <c r="CD158" s="23">
        <v>0</v>
      </c>
      <c r="CE158" s="19">
        <f t="shared" si="370"/>
        <v>0</v>
      </c>
      <c r="CF158" s="19">
        <v>0</v>
      </c>
      <c r="CG158" s="19">
        <v>0</v>
      </c>
      <c r="CH158" s="19">
        <v>0</v>
      </c>
      <c r="CI158" s="19">
        <v>0</v>
      </c>
      <c r="CJ158" s="19">
        <v>0</v>
      </c>
      <c r="CK158" s="19">
        <f t="shared" si="371"/>
        <v>0</v>
      </c>
      <c r="CL158" s="19">
        <v>0</v>
      </c>
      <c r="CM158" s="19">
        <v>0</v>
      </c>
      <c r="CN158" s="19">
        <v>0</v>
      </c>
      <c r="CO158" s="19"/>
      <c r="CP158" s="19"/>
      <c r="CQ158" s="19"/>
      <c r="CR158" s="19"/>
      <c r="CS158" s="19">
        <v>0</v>
      </c>
      <c r="CT158" s="19"/>
      <c r="CU158" s="19"/>
      <c r="CV158" s="19"/>
      <c r="CW158" s="19">
        <f t="shared" ref="CW158" si="376">SUM(CX158)</f>
        <v>0</v>
      </c>
      <c r="CX158" s="19">
        <f t="shared" ref="CX158" si="377">SUM(CY158:CZ158)</f>
        <v>0</v>
      </c>
      <c r="CY158" s="19">
        <v>0</v>
      </c>
      <c r="CZ158" s="20">
        <v>0</v>
      </c>
    </row>
    <row r="159" spans="1:105" s="58" customFormat="1" ht="31.5" x14ac:dyDescent="0.25">
      <c r="A159" s="81" t="s">
        <v>634</v>
      </c>
      <c r="B159" s="25" t="s">
        <v>1</v>
      </c>
      <c r="C159" s="26" t="s">
        <v>251</v>
      </c>
      <c r="D159" s="27">
        <f t="shared" ref="D159:F159" si="378">SUM(D160+D163+D166)</f>
        <v>49208433</v>
      </c>
      <c r="E159" s="27">
        <f t="shared" si="378"/>
        <v>45909187</v>
      </c>
      <c r="F159" s="27">
        <f t="shared" si="378"/>
        <v>45909187</v>
      </c>
      <c r="G159" s="27">
        <f>SUM(G160+G163+G166)</f>
        <v>28183481</v>
      </c>
      <c r="H159" s="27">
        <f t="shared" ref="H159:BT159" si="379">SUM(H160+H163+H166)</f>
        <v>6776312</v>
      </c>
      <c r="I159" s="27">
        <f t="shared" si="379"/>
        <v>570029</v>
      </c>
      <c r="J159" s="27">
        <f t="shared" si="379"/>
        <v>0</v>
      </c>
      <c r="K159" s="27">
        <f t="shared" si="379"/>
        <v>0</v>
      </c>
      <c r="L159" s="27">
        <f t="shared" si="379"/>
        <v>0</v>
      </c>
      <c r="M159" s="27">
        <f t="shared" si="379"/>
        <v>0</v>
      </c>
      <c r="N159" s="27">
        <f t="shared" si="379"/>
        <v>554492</v>
      </c>
      <c r="O159" s="27">
        <f t="shared" si="379"/>
        <v>15537</v>
      </c>
      <c r="P159" s="27">
        <f t="shared" si="379"/>
        <v>37796</v>
      </c>
      <c r="Q159" s="27">
        <f t="shared" si="379"/>
        <v>0</v>
      </c>
      <c r="R159" s="27">
        <f t="shared" si="379"/>
        <v>37796</v>
      </c>
      <c r="S159" s="27">
        <f t="shared" si="379"/>
        <v>0</v>
      </c>
      <c r="T159" s="27">
        <f t="shared" si="379"/>
        <v>146698</v>
      </c>
      <c r="U159" s="27">
        <f t="shared" si="379"/>
        <v>264380</v>
      </c>
      <c r="V159" s="27">
        <f t="shared" si="379"/>
        <v>183561</v>
      </c>
      <c r="W159" s="27">
        <f t="shared" si="379"/>
        <v>1993</v>
      </c>
      <c r="X159" s="27">
        <f t="shared" si="379"/>
        <v>78642</v>
      </c>
      <c r="Y159" s="27">
        <f t="shared" si="379"/>
        <v>184</v>
      </c>
      <c r="Z159" s="27">
        <f t="shared" si="379"/>
        <v>0</v>
      </c>
      <c r="AA159" s="27">
        <f t="shared" si="379"/>
        <v>0</v>
      </c>
      <c r="AB159" s="27">
        <f t="shared" si="379"/>
        <v>0</v>
      </c>
      <c r="AC159" s="27">
        <f t="shared" si="379"/>
        <v>0</v>
      </c>
      <c r="AD159" s="27">
        <f t="shared" si="379"/>
        <v>9930491</v>
      </c>
      <c r="AE159" s="27">
        <f t="shared" si="379"/>
        <v>0</v>
      </c>
      <c r="AF159" s="27">
        <f t="shared" si="379"/>
        <v>0</v>
      </c>
      <c r="AG159" s="27">
        <f t="shared" si="379"/>
        <v>0</v>
      </c>
      <c r="AH159" s="27">
        <f t="shared" si="379"/>
        <v>0</v>
      </c>
      <c r="AI159" s="27">
        <f t="shared" si="379"/>
        <v>0</v>
      </c>
      <c r="AJ159" s="27">
        <f t="shared" si="379"/>
        <v>0</v>
      </c>
      <c r="AK159" s="27">
        <f t="shared" si="379"/>
        <v>0</v>
      </c>
      <c r="AL159" s="27">
        <f t="shared" si="379"/>
        <v>416</v>
      </c>
      <c r="AM159" s="27">
        <f t="shared" si="379"/>
        <v>2676017</v>
      </c>
      <c r="AN159" s="27">
        <f t="shared" si="379"/>
        <v>0</v>
      </c>
      <c r="AO159" s="27">
        <f t="shared" si="379"/>
        <v>0</v>
      </c>
      <c r="AP159" s="27"/>
      <c r="AQ159" s="27">
        <f t="shared" si="379"/>
        <v>0</v>
      </c>
      <c r="AR159" s="27">
        <f t="shared" si="379"/>
        <v>45182</v>
      </c>
      <c r="AS159" s="27">
        <f t="shared" si="379"/>
        <v>0</v>
      </c>
      <c r="AT159" s="27">
        <f t="shared" si="379"/>
        <v>0</v>
      </c>
      <c r="AU159" s="27">
        <f t="shared" si="379"/>
        <v>0</v>
      </c>
      <c r="AV159" s="27">
        <f t="shared" si="379"/>
        <v>0</v>
      </c>
      <c r="AW159" s="27">
        <f t="shared" si="379"/>
        <v>0</v>
      </c>
      <c r="AX159" s="27">
        <f t="shared" si="379"/>
        <v>0</v>
      </c>
      <c r="AY159" s="27">
        <f t="shared" si="379"/>
        <v>0</v>
      </c>
      <c r="AZ159" s="27">
        <f t="shared" si="379"/>
        <v>7208876</v>
      </c>
      <c r="BA159" s="27">
        <f t="shared" si="379"/>
        <v>0</v>
      </c>
      <c r="BB159" s="27">
        <f t="shared" si="379"/>
        <v>0</v>
      </c>
      <c r="BC159" s="27">
        <f t="shared" si="379"/>
        <v>0</v>
      </c>
      <c r="BD159" s="27">
        <f t="shared" si="379"/>
        <v>0</v>
      </c>
      <c r="BE159" s="27">
        <f t="shared" si="379"/>
        <v>0</v>
      </c>
      <c r="BF159" s="27">
        <f t="shared" si="379"/>
        <v>0</v>
      </c>
      <c r="BG159" s="27">
        <f t="shared" si="379"/>
        <v>0</v>
      </c>
      <c r="BH159" s="27">
        <f t="shared" si="379"/>
        <v>0</v>
      </c>
      <c r="BI159" s="27">
        <f t="shared" si="379"/>
        <v>0</v>
      </c>
      <c r="BJ159" s="27">
        <f t="shared" ref="BJ159" si="380">SUM(BJ160+BJ163+BJ166)</f>
        <v>0</v>
      </c>
      <c r="BK159" s="27">
        <f t="shared" si="379"/>
        <v>0</v>
      </c>
      <c r="BL159" s="27">
        <f t="shared" si="379"/>
        <v>0</v>
      </c>
      <c r="BM159" s="27">
        <f t="shared" si="379"/>
        <v>0</v>
      </c>
      <c r="BN159" s="27">
        <f t="shared" si="379"/>
        <v>0</v>
      </c>
      <c r="BO159" s="27">
        <f t="shared" si="379"/>
        <v>0</v>
      </c>
      <c r="BP159" s="27">
        <f t="shared" si="379"/>
        <v>0</v>
      </c>
      <c r="BQ159" s="27">
        <f t="shared" si="379"/>
        <v>0</v>
      </c>
      <c r="BR159" s="27">
        <f t="shared" si="379"/>
        <v>0</v>
      </c>
      <c r="BS159" s="27">
        <f t="shared" si="379"/>
        <v>0</v>
      </c>
      <c r="BT159" s="27">
        <f t="shared" si="379"/>
        <v>0</v>
      </c>
      <c r="BU159" s="27">
        <f t="shared" ref="BU159:CZ159" si="381">SUM(BU160+BU163+BU166)</f>
        <v>0</v>
      </c>
      <c r="BV159" s="27">
        <f t="shared" si="381"/>
        <v>0</v>
      </c>
      <c r="BW159" s="27">
        <f t="shared" si="381"/>
        <v>0</v>
      </c>
      <c r="BX159" s="27">
        <f t="shared" si="381"/>
        <v>0</v>
      </c>
      <c r="BY159" s="27">
        <f t="shared" si="381"/>
        <v>0</v>
      </c>
      <c r="BZ159" s="27">
        <f t="shared" si="381"/>
        <v>3299246</v>
      </c>
      <c r="CA159" s="27">
        <f t="shared" si="381"/>
        <v>3299246</v>
      </c>
      <c r="CB159" s="27">
        <f t="shared" si="381"/>
        <v>2463978</v>
      </c>
      <c r="CC159" s="27">
        <f t="shared" si="381"/>
        <v>0</v>
      </c>
      <c r="CD159" s="27">
        <f t="shared" si="381"/>
        <v>2463978</v>
      </c>
      <c r="CE159" s="27">
        <f t="shared" si="381"/>
        <v>688321</v>
      </c>
      <c r="CF159" s="27">
        <f t="shared" si="381"/>
        <v>0</v>
      </c>
      <c r="CG159" s="27">
        <f t="shared" si="381"/>
        <v>0</v>
      </c>
      <c r="CH159" s="27">
        <f t="shared" si="381"/>
        <v>688321</v>
      </c>
      <c r="CI159" s="27">
        <f t="shared" si="381"/>
        <v>0</v>
      </c>
      <c r="CJ159" s="27">
        <f t="shared" si="381"/>
        <v>0</v>
      </c>
      <c r="CK159" s="27">
        <f t="shared" si="381"/>
        <v>146947</v>
      </c>
      <c r="CL159" s="27">
        <f t="shared" si="381"/>
        <v>0</v>
      </c>
      <c r="CM159" s="27">
        <f t="shared" si="381"/>
        <v>146947</v>
      </c>
      <c r="CN159" s="27">
        <f t="shared" si="381"/>
        <v>0</v>
      </c>
      <c r="CO159" s="27">
        <f t="shared" si="381"/>
        <v>0</v>
      </c>
      <c r="CP159" s="27">
        <f t="shared" si="381"/>
        <v>0</v>
      </c>
      <c r="CQ159" s="27"/>
      <c r="CR159" s="27"/>
      <c r="CS159" s="27">
        <f t="shared" si="381"/>
        <v>0</v>
      </c>
      <c r="CT159" s="27"/>
      <c r="CU159" s="27"/>
      <c r="CV159" s="27"/>
      <c r="CW159" s="27">
        <f t="shared" si="381"/>
        <v>0</v>
      </c>
      <c r="CX159" s="27">
        <f t="shared" si="381"/>
        <v>0</v>
      </c>
      <c r="CY159" s="27">
        <f t="shared" si="381"/>
        <v>0</v>
      </c>
      <c r="CZ159" s="60">
        <f t="shared" si="381"/>
        <v>0</v>
      </c>
      <c r="DA159" s="57"/>
    </row>
    <row r="160" spans="1:105" ht="15.75" x14ac:dyDescent="0.25">
      <c r="A160" s="79" t="s">
        <v>252</v>
      </c>
      <c r="B160" s="16" t="s">
        <v>1</v>
      </c>
      <c r="C160" s="17" t="s">
        <v>253</v>
      </c>
      <c r="D160" s="18">
        <f t="shared" ref="D160:AS160" si="382">SUM(D161:D162)</f>
        <v>37943509</v>
      </c>
      <c r="E160" s="19">
        <f t="shared" si="382"/>
        <v>35574797</v>
      </c>
      <c r="F160" s="19">
        <f t="shared" si="382"/>
        <v>35574797</v>
      </c>
      <c r="G160" s="19">
        <f t="shared" si="382"/>
        <v>22052896</v>
      </c>
      <c r="H160" s="19">
        <f t="shared" si="382"/>
        <v>5319449</v>
      </c>
      <c r="I160" s="19">
        <f t="shared" si="382"/>
        <v>538537</v>
      </c>
      <c r="J160" s="19">
        <f t="shared" si="382"/>
        <v>0</v>
      </c>
      <c r="K160" s="19">
        <f t="shared" si="382"/>
        <v>0</v>
      </c>
      <c r="L160" s="19">
        <f t="shared" si="382"/>
        <v>0</v>
      </c>
      <c r="M160" s="19">
        <f t="shared" si="382"/>
        <v>0</v>
      </c>
      <c r="N160" s="19">
        <f t="shared" si="382"/>
        <v>523000</v>
      </c>
      <c r="O160" s="19">
        <f t="shared" si="382"/>
        <v>15537</v>
      </c>
      <c r="P160" s="19">
        <f t="shared" si="382"/>
        <v>37796</v>
      </c>
      <c r="Q160" s="19">
        <f t="shared" si="382"/>
        <v>0</v>
      </c>
      <c r="R160" s="19">
        <f t="shared" si="382"/>
        <v>37796</v>
      </c>
      <c r="S160" s="19">
        <f t="shared" si="382"/>
        <v>0</v>
      </c>
      <c r="T160" s="19">
        <f t="shared" si="382"/>
        <v>116878</v>
      </c>
      <c r="U160" s="19">
        <f t="shared" si="382"/>
        <v>255183</v>
      </c>
      <c r="V160" s="19">
        <f t="shared" si="382"/>
        <v>178200</v>
      </c>
      <c r="W160" s="19">
        <f t="shared" si="382"/>
        <v>0</v>
      </c>
      <c r="X160" s="19">
        <f t="shared" si="382"/>
        <v>76983</v>
      </c>
      <c r="Y160" s="19">
        <f t="shared" si="382"/>
        <v>0</v>
      </c>
      <c r="Z160" s="19">
        <f t="shared" si="382"/>
        <v>0</v>
      </c>
      <c r="AA160" s="19">
        <f t="shared" si="382"/>
        <v>0</v>
      </c>
      <c r="AB160" s="19">
        <f t="shared" si="382"/>
        <v>0</v>
      </c>
      <c r="AC160" s="19">
        <f t="shared" si="382"/>
        <v>0</v>
      </c>
      <c r="AD160" s="19">
        <f t="shared" si="382"/>
        <v>7254058</v>
      </c>
      <c r="AE160" s="19">
        <f t="shared" si="382"/>
        <v>0</v>
      </c>
      <c r="AF160" s="19">
        <f t="shared" si="382"/>
        <v>0</v>
      </c>
      <c r="AG160" s="19">
        <f t="shared" si="382"/>
        <v>0</v>
      </c>
      <c r="AH160" s="19">
        <f t="shared" si="382"/>
        <v>0</v>
      </c>
      <c r="AI160" s="19">
        <f t="shared" si="382"/>
        <v>0</v>
      </c>
      <c r="AJ160" s="19">
        <f t="shared" si="382"/>
        <v>0</v>
      </c>
      <c r="AK160" s="19">
        <f t="shared" si="382"/>
        <v>0</v>
      </c>
      <c r="AL160" s="19">
        <f t="shared" si="382"/>
        <v>0</v>
      </c>
      <c r="AM160" s="19">
        <f t="shared" si="382"/>
        <v>0</v>
      </c>
      <c r="AN160" s="19">
        <f t="shared" si="382"/>
        <v>0</v>
      </c>
      <c r="AO160" s="19">
        <f t="shared" si="382"/>
        <v>0</v>
      </c>
      <c r="AP160" s="19"/>
      <c r="AQ160" s="19">
        <f t="shared" si="382"/>
        <v>0</v>
      </c>
      <c r="AR160" s="19">
        <f t="shared" si="382"/>
        <v>45182</v>
      </c>
      <c r="AS160" s="19">
        <f t="shared" si="382"/>
        <v>0</v>
      </c>
      <c r="AT160" s="19"/>
      <c r="AU160" s="19"/>
      <c r="AV160" s="19">
        <f>SUM(AV161:AV162)</f>
        <v>0</v>
      </c>
      <c r="AW160" s="19">
        <f>SUM(AW161:AW162)</f>
        <v>0</v>
      </c>
      <c r="AX160" s="19">
        <f>SUM(AX161:AX162)</f>
        <v>0</v>
      </c>
      <c r="AY160" s="19"/>
      <c r="AZ160" s="19">
        <f t="shared" ref="AZ160:CN160" si="383">SUM(AZ161:AZ162)</f>
        <v>7208876</v>
      </c>
      <c r="BA160" s="19">
        <f t="shared" si="383"/>
        <v>0</v>
      </c>
      <c r="BB160" s="19">
        <f t="shared" si="383"/>
        <v>0</v>
      </c>
      <c r="BC160" s="19">
        <f t="shared" si="383"/>
        <v>0</v>
      </c>
      <c r="BD160" s="19">
        <f t="shared" si="383"/>
        <v>0</v>
      </c>
      <c r="BE160" s="19">
        <f t="shared" si="383"/>
        <v>0</v>
      </c>
      <c r="BF160" s="19">
        <f t="shared" si="383"/>
        <v>0</v>
      </c>
      <c r="BG160" s="19">
        <f t="shared" si="383"/>
        <v>0</v>
      </c>
      <c r="BH160" s="19">
        <f t="shared" si="383"/>
        <v>0</v>
      </c>
      <c r="BI160" s="19">
        <f t="shared" si="383"/>
        <v>0</v>
      </c>
      <c r="BJ160" s="19">
        <f t="shared" ref="BJ160" si="384">SUM(BJ161:BJ162)</f>
        <v>0</v>
      </c>
      <c r="BK160" s="19">
        <f t="shared" si="383"/>
        <v>0</v>
      </c>
      <c r="BL160" s="19">
        <f t="shared" si="383"/>
        <v>0</v>
      </c>
      <c r="BM160" s="19">
        <f t="shared" si="383"/>
        <v>0</v>
      </c>
      <c r="BN160" s="19">
        <f t="shared" si="383"/>
        <v>0</v>
      </c>
      <c r="BO160" s="19">
        <f t="shared" si="383"/>
        <v>0</v>
      </c>
      <c r="BP160" s="19">
        <f t="shared" si="383"/>
        <v>0</v>
      </c>
      <c r="BQ160" s="19">
        <f t="shared" si="383"/>
        <v>0</v>
      </c>
      <c r="BR160" s="19">
        <f t="shared" si="383"/>
        <v>0</v>
      </c>
      <c r="BS160" s="19">
        <f t="shared" si="383"/>
        <v>0</v>
      </c>
      <c r="BT160" s="19">
        <f t="shared" si="383"/>
        <v>0</v>
      </c>
      <c r="BU160" s="19">
        <f t="shared" si="383"/>
        <v>0</v>
      </c>
      <c r="BV160" s="19">
        <f t="shared" si="383"/>
        <v>0</v>
      </c>
      <c r="BW160" s="19">
        <f t="shared" si="383"/>
        <v>0</v>
      </c>
      <c r="BX160" s="19">
        <f t="shared" si="383"/>
        <v>0</v>
      </c>
      <c r="BY160" s="19">
        <f t="shared" si="383"/>
        <v>0</v>
      </c>
      <c r="BZ160" s="19">
        <f t="shared" si="383"/>
        <v>2368712</v>
      </c>
      <c r="CA160" s="19">
        <f t="shared" si="383"/>
        <v>2368712</v>
      </c>
      <c r="CB160" s="19">
        <f t="shared" si="383"/>
        <v>2368712</v>
      </c>
      <c r="CC160" s="19">
        <f t="shared" si="383"/>
        <v>0</v>
      </c>
      <c r="CD160" s="19">
        <f t="shared" si="383"/>
        <v>2368712</v>
      </c>
      <c r="CE160" s="19">
        <f t="shared" si="383"/>
        <v>0</v>
      </c>
      <c r="CF160" s="19">
        <f t="shared" si="383"/>
        <v>0</v>
      </c>
      <c r="CG160" s="19">
        <f t="shared" si="383"/>
        <v>0</v>
      </c>
      <c r="CH160" s="19">
        <f t="shared" si="383"/>
        <v>0</v>
      </c>
      <c r="CI160" s="19">
        <f t="shared" si="383"/>
        <v>0</v>
      </c>
      <c r="CJ160" s="19">
        <f t="shared" ref="CJ160" si="385">SUM(CJ161:CJ162)</f>
        <v>0</v>
      </c>
      <c r="CK160" s="19">
        <f t="shared" si="383"/>
        <v>0</v>
      </c>
      <c r="CL160" s="19">
        <f t="shared" si="383"/>
        <v>0</v>
      </c>
      <c r="CM160" s="19">
        <f t="shared" si="383"/>
        <v>0</v>
      </c>
      <c r="CN160" s="19">
        <f t="shared" si="383"/>
        <v>0</v>
      </c>
      <c r="CO160" s="19"/>
      <c r="CP160" s="19"/>
      <c r="CQ160" s="19"/>
      <c r="CR160" s="19"/>
      <c r="CS160" s="19">
        <f t="shared" ref="CS160:CZ160" si="386">SUM(CS161:CS162)</f>
        <v>0</v>
      </c>
      <c r="CT160" s="19"/>
      <c r="CU160" s="19"/>
      <c r="CV160" s="19"/>
      <c r="CW160" s="19">
        <f t="shared" si="386"/>
        <v>0</v>
      </c>
      <c r="CX160" s="19">
        <f t="shared" si="386"/>
        <v>0</v>
      </c>
      <c r="CY160" s="19">
        <f t="shared" si="386"/>
        <v>0</v>
      </c>
      <c r="CZ160" s="20">
        <f t="shared" si="386"/>
        <v>0</v>
      </c>
    </row>
    <row r="161" spans="1:105" ht="47.25" x14ac:dyDescent="0.25">
      <c r="A161" s="80"/>
      <c r="B161" s="33" t="s">
        <v>104</v>
      </c>
      <c r="C161" s="32" t="s">
        <v>254</v>
      </c>
      <c r="D161" s="18">
        <f>SUM(E161+BZ161+CW161)</f>
        <v>30735684</v>
      </c>
      <c r="E161" s="19">
        <f>SUM(F161+BA161)</f>
        <v>28366972</v>
      </c>
      <c r="F161" s="19">
        <f>SUM(G161+H161+I161+P161+S161+T161+U161+AD161)</f>
        <v>28366972</v>
      </c>
      <c r="G161" s="23">
        <v>22052896</v>
      </c>
      <c r="H161" s="23">
        <v>5319449</v>
      </c>
      <c r="I161" s="19">
        <f t="shared" ref="I161" si="387">SUM(J161:O161)</f>
        <v>538537</v>
      </c>
      <c r="J161" s="23">
        <v>0</v>
      </c>
      <c r="K161" s="23">
        <v>0</v>
      </c>
      <c r="L161" s="23">
        <v>0</v>
      </c>
      <c r="M161" s="23">
        <v>0</v>
      </c>
      <c r="N161" s="23">
        <v>523000</v>
      </c>
      <c r="O161" s="23">
        <v>15537</v>
      </c>
      <c r="P161" s="19">
        <f t="shared" ref="P161" si="388">SUM(Q161:R161)</f>
        <v>37796</v>
      </c>
      <c r="Q161" s="19">
        <v>0</v>
      </c>
      <c r="R161" s="35">
        <v>37796</v>
      </c>
      <c r="S161" s="35">
        <v>0</v>
      </c>
      <c r="T161" s="35">
        <v>116878</v>
      </c>
      <c r="U161" s="19">
        <f t="shared" ref="U161" si="389">SUM(V161:AC161)</f>
        <v>255183</v>
      </c>
      <c r="V161" s="23">
        <v>178200</v>
      </c>
      <c r="W161" s="23">
        <v>0</v>
      </c>
      <c r="X161" s="23">
        <v>76983</v>
      </c>
      <c r="Y161" s="23">
        <v>0</v>
      </c>
      <c r="Z161" s="23">
        <v>0</v>
      </c>
      <c r="AA161" s="23">
        <v>0</v>
      </c>
      <c r="AB161" s="23">
        <v>0</v>
      </c>
      <c r="AC161" s="23">
        <v>0</v>
      </c>
      <c r="AD161" s="19">
        <f>SUM(AE161:AZ161)</f>
        <v>46233</v>
      </c>
      <c r="AE161" s="19">
        <v>0</v>
      </c>
      <c r="AF161" s="19">
        <v>0</v>
      </c>
      <c r="AG161" s="23">
        <v>0</v>
      </c>
      <c r="AH161" s="23">
        <v>0</v>
      </c>
      <c r="AI161" s="23">
        <v>0</v>
      </c>
      <c r="AJ161" s="23">
        <v>0</v>
      </c>
      <c r="AK161" s="23">
        <v>0</v>
      </c>
      <c r="AL161" s="23">
        <v>0</v>
      </c>
      <c r="AM161" s="23">
        <v>0</v>
      </c>
      <c r="AN161" s="23">
        <v>0</v>
      </c>
      <c r="AO161" s="23">
        <v>0</v>
      </c>
      <c r="AP161" s="23"/>
      <c r="AQ161" s="23">
        <v>0</v>
      </c>
      <c r="AR161" s="23">
        <v>45182</v>
      </c>
      <c r="AS161" s="23">
        <v>0</v>
      </c>
      <c r="AT161" s="23">
        <v>0</v>
      </c>
      <c r="AU161" s="23">
        <v>0</v>
      </c>
      <c r="AV161" s="23">
        <v>0</v>
      </c>
      <c r="AW161" s="23">
        <v>0</v>
      </c>
      <c r="AX161" s="23">
        <v>0</v>
      </c>
      <c r="AY161" s="23">
        <v>0</v>
      </c>
      <c r="AZ161" s="23">
        <v>1051</v>
      </c>
      <c r="BA161" s="19">
        <f>SUM(BB161+BF161+BI161+BK161+BN161)</f>
        <v>0</v>
      </c>
      <c r="BB161" s="19">
        <f>SUM(BC161:BE161)</f>
        <v>0</v>
      </c>
      <c r="BC161" s="19">
        <v>0</v>
      </c>
      <c r="BD161" s="19">
        <v>0</v>
      </c>
      <c r="BE161" s="19">
        <v>0</v>
      </c>
      <c r="BF161" s="19">
        <f>SUM(BH161:BH161)</f>
        <v>0</v>
      </c>
      <c r="BG161" s="19">
        <v>0</v>
      </c>
      <c r="BH161" s="19">
        <v>0</v>
      </c>
      <c r="BI161" s="19">
        <v>0</v>
      </c>
      <c r="BJ161" s="19">
        <v>0</v>
      </c>
      <c r="BK161" s="19">
        <f t="shared" ref="BK161" si="390">SUM(BL161)</f>
        <v>0</v>
      </c>
      <c r="BL161" s="19">
        <v>0</v>
      </c>
      <c r="BM161" s="19">
        <v>0</v>
      </c>
      <c r="BN161" s="19">
        <f>SUM(BO161:BY161)</f>
        <v>0</v>
      </c>
      <c r="BO161" s="19">
        <v>0</v>
      </c>
      <c r="BP161" s="19">
        <v>0</v>
      </c>
      <c r="BQ161" s="19">
        <v>0</v>
      </c>
      <c r="BR161" s="19">
        <v>0</v>
      </c>
      <c r="BS161" s="19">
        <v>0</v>
      </c>
      <c r="BT161" s="19">
        <v>0</v>
      </c>
      <c r="BU161" s="19">
        <v>0</v>
      </c>
      <c r="BV161" s="19">
        <v>0</v>
      </c>
      <c r="BW161" s="19">
        <v>0</v>
      </c>
      <c r="BX161" s="19">
        <v>0</v>
      </c>
      <c r="BY161" s="19">
        <v>0</v>
      </c>
      <c r="BZ161" s="19">
        <f>SUM(CA161+CS161)</f>
        <v>2368712</v>
      </c>
      <c r="CA161" s="19">
        <f>SUM(CB161+CE161+CK161)</f>
        <v>2368712</v>
      </c>
      <c r="CB161" s="19">
        <f t="shared" ref="CB161" si="391">SUM(CC161:CD161)</f>
        <v>2368712</v>
      </c>
      <c r="CC161" s="19">
        <v>0</v>
      </c>
      <c r="CD161" s="23">
        <v>2368712</v>
      </c>
      <c r="CE161" s="19">
        <f>SUM(CF161:CJ161)</f>
        <v>0</v>
      </c>
      <c r="CF161" s="19">
        <v>0</v>
      </c>
      <c r="CG161" s="19">
        <v>0</v>
      </c>
      <c r="CH161" s="19">
        <v>0</v>
      </c>
      <c r="CI161" s="19">
        <v>0</v>
      </c>
      <c r="CJ161" s="19">
        <v>0</v>
      </c>
      <c r="CK161" s="19">
        <f>SUM(CL161:CP161)</f>
        <v>0</v>
      </c>
      <c r="CL161" s="19">
        <v>0</v>
      </c>
      <c r="CM161" s="19">
        <v>0</v>
      </c>
      <c r="CN161" s="19">
        <v>0</v>
      </c>
      <c r="CO161" s="19"/>
      <c r="CP161" s="19"/>
      <c r="CQ161" s="19"/>
      <c r="CR161" s="19"/>
      <c r="CS161" s="19">
        <v>0</v>
      </c>
      <c r="CT161" s="19"/>
      <c r="CU161" s="19"/>
      <c r="CV161" s="19"/>
      <c r="CW161" s="19">
        <f t="shared" ref="CW161" si="392">SUM(CX161)</f>
        <v>0</v>
      </c>
      <c r="CX161" s="19">
        <f t="shared" ref="CX161" si="393">SUM(CY161:CZ161)</f>
        <v>0</v>
      </c>
      <c r="CY161" s="19">
        <v>0</v>
      </c>
      <c r="CZ161" s="20">
        <v>0</v>
      </c>
    </row>
    <row r="162" spans="1:105" ht="47.25" x14ac:dyDescent="0.25">
      <c r="A162" s="80" t="s">
        <v>1</v>
      </c>
      <c r="B162" s="33" t="s">
        <v>104</v>
      </c>
      <c r="C162" s="32" t="s">
        <v>255</v>
      </c>
      <c r="D162" s="18">
        <f>SUM(E162+BZ162+CW162)</f>
        <v>7207825</v>
      </c>
      <c r="E162" s="19">
        <f>SUM(F162+BA162)</f>
        <v>7207825</v>
      </c>
      <c r="F162" s="19">
        <f>SUM(G162+H162+I162+P162+S162+T162+U162+AD162)</f>
        <v>7207825</v>
      </c>
      <c r="G162" s="23"/>
      <c r="H162" s="23"/>
      <c r="I162" s="19">
        <f t="shared" si="354"/>
        <v>0</v>
      </c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0</v>
      </c>
      <c r="P162" s="19">
        <f t="shared" si="355"/>
        <v>0</v>
      </c>
      <c r="Q162" s="19">
        <v>0</v>
      </c>
      <c r="R162" s="23">
        <v>0</v>
      </c>
      <c r="S162" s="23">
        <v>0</v>
      </c>
      <c r="T162" s="23">
        <v>0</v>
      </c>
      <c r="U162" s="19">
        <f t="shared" ref="U162" si="394">SUM(V162:AC162)</f>
        <v>0</v>
      </c>
      <c r="V162" s="23">
        <v>0</v>
      </c>
      <c r="W162" s="23">
        <v>0</v>
      </c>
      <c r="X162" s="23">
        <v>0</v>
      </c>
      <c r="Y162" s="23">
        <v>0</v>
      </c>
      <c r="Z162" s="23">
        <v>0</v>
      </c>
      <c r="AA162" s="23">
        <v>0</v>
      </c>
      <c r="AB162" s="23">
        <v>0</v>
      </c>
      <c r="AC162" s="23">
        <v>0</v>
      </c>
      <c r="AD162" s="19">
        <f>SUM(AE162:AZ162)</f>
        <v>7207825</v>
      </c>
      <c r="AE162" s="19">
        <v>0</v>
      </c>
      <c r="AF162" s="19">
        <v>0</v>
      </c>
      <c r="AG162" s="23">
        <v>0</v>
      </c>
      <c r="AH162" s="23">
        <v>0</v>
      </c>
      <c r="AI162" s="23">
        <v>0</v>
      </c>
      <c r="AJ162" s="23">
        <v>0</v>
      </c>
      <c r="AK162" s="23">
        <v>0</v>
      </c>
      <c r="AL162" s="23">
        <v>0</v>
      </c>
      <c r="AM162" s="23">
        <v>0</v>
      </c>
      <c r="AN162" s="23">
        <v>0</v>
      </c>
      <c r="AO162" s="23">
        <v>0</v>
      </c>
      <c r="AP162" s="23"/>
      <c r="AQ162" s="23">
        <v>0</v>
      </c>
      <c r="AR162" s="23">
        <v>0</v>
      </c>
      <c r="AS162" s="23">
        <v>0</v>
      </c>
      <c r="AT162" s="23">
        <v>0</v>
      </c>
      <c r="AU162" s="23">
        <v>0</v>
      </c>
      <c r="AV162" s="23">
        <v>0</v>
      </c>
      <c r="AW162" s="23">
        <v>0</v>
      </c>
      <c r="AX162" s="23">
        <v>0</v>
      </c>
      <c r="AY162" s="23">
        <v>0</v>
      </c>
      <c r="AZ162" s="23">
        <v>7207825</v>
      </c>
      <c r="BA162" s="19">
        <f>SUM(BB162+BF162+BI162+BK162+BN162)</f>
        <v>0</v>
      </c>
      <c r="BB162" s="19">
        <f>SUM(BC162:BE162)</f>
        <v>0</v>
      </c>
      <c r="BC162" s="19">
        <v>0</v>
      </c>
      <c r="BD162" s="19">
        <v>0</v>
      </c>
      <c r="BE162" s="19">
        <v>0</v>
      </c>
      <c r="BF162" s="19">
        <f>SUM(BH162:BH162)</f>
        <v>0</v>
      </c>
      <c r="BG162" s="19">
        <v>0</v>
      </c>
      <c r="BH162" s="19">
        <v>0</v>
      </c>
      <c r="BI162" s="19">
        <v>0</v>
      </c>
      <c r="BJ162" s="19">
        <v>0</v>
      </c>
      <c r="BK162" s="19">
        <f t="shared" si="357"/>
        <v>0</v>
      </c>
      <c r="BL162" s="19">
        <v>0</v>
      </c>
      <c r="BM162" s="19">
        <v>0</v>
      </c>
      <c r="BN162" s="19">
        <f>SUM(BO162:BY162)</f>
        <v>0</v>
      </c>
      <c r="BO162" s="19">
        <v>0</v>
      </c>
      <c r="BP162" s="19">
        <v>0</v>
      </c>
      <c r="BQ162" s="19">
        <v>0</v>
      </c>
      <c r="BR162" s="19">
        <v>0</v>
      </c>
      <c r="BS162" s="19">
        <v>0</v>
      </c>
      <c r="BT162" s="19">
        <v>0</v>
      </c>
      <c r="BU162" s="19">
        <v>0</v>
      </c>
      <c r="BV162" s="19">
        <v>0</v>
      </c>
      <c r="BW162" s="19">
        <v>0</v>
      </c>
      <c r="BX162" s="19">
        <v>0</v>
      </c>
      <c r="BY162" s="19">
        <v>0</v>
      </c>
      <c r="BZ162" s="19">
        <f>SUM(CA162+CS162)</f>
        <v>0</v>
      </c>
      <c r="CA162" s="19">
        <f>SUM(CB162+CE162+CK162)</f>
        <v>0</v>
      </c>
      <c r="CB162" s="19">
        <f t="shared" si="358"/>
        <v>0</v>
      </c>
      <c r="CC162" s="19">
        <v>0</v>
      </c>
      <c r="CD162" s="19"/>
      <c r="CE162" s="19">
        <f>SUM(CF162:CJ162)</f>
        <v>0</v>
      </c>
      <c r="CF162" s="19">
        <v>0</v>
      </c>
      <c r="CG162" s="19">
        <v>0</v>
      </c>
      <c r="CH162" s="19">
        <v>0</v>
      </c>
      <c r="CI162" s="19">
        <v>0</v>
      </c>
      <c r="CJ162" s="19">
        <v>0</v>
      </c>
      <c r="CK162" s="19">
        <f>SUM(CL162:CP162)</f>
        <v>0</v>
      </c>
      <c r="CL162" s="19">
        <v>0</v>
      </c>
      <c r="CM162" s="19">
        <v>0</v>
      </c>
      <c r="CN162" s="19">
        <v>0</v>
      </c>
      <c r="CO162" s="19"/>
      <c r="CP162" s="19"/>
      <c r="CQ162" s="19"/>
      <c r="CR162" s="19"/>
      <c r="CS162" s="19">
        <v>0</v>
      </c>
      <c r="CT162" s="19"/>
      <c r="CU162" s="19"/>
      <c r="CV162" s="19"/>
      <c r="CW162" s="19">
        <f t="shared" si="360"/>
        <v>0</v>
      </c>
      <c r="CX162" s="19">
        <f t="shared" si="361"/>
        <v>0</v>
      </c>
      <c r="CY162" s="19">
        <v>0</v>
      </c>
      <c r="CZ162" s="20">
        <v>0</v>
      </c>
    </row>
    <row r="163" spans="1:105" ht="18.75" customHeight="1" x14ac:dyDescent="0.25">
      <c r="A163" s="79" t="s">
        <v>256</v>
      </c>
      <c r="B163" s="16" t="s">
        <v>1</v>
      </c>
      <c r="C163" s="17" t="s">
        <v>257</v>
      </c>
      <c r="D163" s="18">
        <f t="shared" ref="D163:AS163" si="395">SUM(D164:D165)</f>
        <v>10776034</v>
      </c>
      <c r="E163" s="19">
        <f t="shared" si="395"/>
        <v>9877382</v>
      </c>
      <c r="F163" s="19">
        <f t="shared" si="395"/>
        <v>9877382</v>
      </c>
      <c r="G163" s="19">
        <f t="shared" si="395"/>
        <v>5774770</v>
      </c>
      <c r="H163" s="19">
        <f t="shared" si="395"/>
        <v>1372508</v>
      </c>
      <c r="I163" s="19">
        <f t="shared" si="395"/>
        <v>31492</v>
      </c>
      <c r="J163" s="19">
        <f t="shared" si="395"/>
        <v>0</v>
      </c>
      <c r="K163" s="19">
        <f t="shared" si="395"/>
        <v>0</v>
      </c>
      <c r="L163" s="19">
        <f t="shared" si="395"/>
        <v>0</v>
      </c>
      <c r="M163" s="19">
        <f t="shared" si="395"/>
        <v>0</v>
      </c>
      <c r="N163" s="19">
        <f t="shared" si="395"/>
        <v>31492</v>
      </c>
      <c r="O163" s="19">
        <f t="shared" si="395"/>
        <v>0</v>
      </c>
      <c r="P163" s="19">
        <f t="shared" si="395"/>
        <v>0</v>
      </c>
      <c r="Q163" s="19">
        <f t="shared" si="395"/>
        <v>0</v>
      </c>
      <c r="R163" s="19">
        <f t="shared" si="395"/>
        <v>0</v>
      </c>
      <c r="S163" s="19">
        <f t="shared" si="395"/>
        <v>0</v>
      </c>
      <c r="T163" s="19">
        <f t="shared" si="395"/>
        <v>17941</v>
      </c>
      <c r="U163" s="19">
        <f t="shared" si="395"/>
        <v>4238</v>
      </c>
      <c r="V163" s="19">
        <f t="shared" si="395"/>
        <v>4238</v>
      </c>
      <c r="W163" s="19">
        <f t="shared" si="395"/>
        <v>0</v>
      </c>
      <c r="X163" s="19">
        <f t="shared" si="395"/>
        <v>0</v>
      </c>
      <c r="Y163" s="19">
        <f t="shared" si="395"/>
        <v>0</v>
      </c>
      <c r="Z163" s="19">
        <f t="shared" si="395"/>
        <v>0</v>
      </c>
      <c r="AA163" s="19">
        <f t="shared" si="395"/>
        <v>0</v>
      </c>
      <c r="AB163" s="19">
        <f t="shared" si="395"/>
        <v>0</v>
      </c>
      <c r="AC163" s="19">
        <f t="shared" si="395"/>
        <v>0</v>
      </c>
      <c r="AD163" s="19">
        <f t="shared" si="395"/>
        <v>2676433</v>
      </c>
      <c r="AE163" s="19">
        <f t="shared" si="395"/>
        <v>0</v>
      </c>
      <c r="AF163" s="19">
        <f t="shared" si="395"/>
        <v>0</v>
      </c>
      <c r="AG163" s="19">
        <f t="shared" si="395"/>
        <v>0</v>
      </c>
      <c r="AH163" s="19">
        <f t="shared" si="395"/>
        <v>0</v>
      </c>
      <c r="AI163" s="19">
        <f t="shared" si="395"/>
        <v>0</v>
      </c>
      <c r="AJ163" s="19">
        <f t="shared" si="395"/>
        <v>0</v>
      </c>
      <c r="AK163" s="19">
        <f t="shared" si="395"/>
        <v>0</v>
      </c>
      <c r="AL163" s="19">
        <f t="shared" si="395"/>
        <v>416</v>
      </c>
      <c r="AM163" s="19">
        <f t="shared" si="395"/>
        <v>2676017</v>
      </c>
      <c r="AN163" s="19">
        <f t="shared" si="395"/>
        <v>0</v>
      </c>
      <c r="AO163" s="19">
        <f t="shared" si="395"/>
        <v>0</v>
      </c>
      <c r="AP163" s="19"/>
      <c r="AQ163" s="19">
        <f t="shared" si="395"/>
        <v>0</v>
      </c>
      <c r="AR163" s="19">
        <f t="shared" si="395"/>
        <v>0</v>
      </c>
      <c r="AS163" s="19">
        <f t="shared" si="395"/>
        <v>0</v>
      </c>
      <c r="AT163" s="19"/>
      <c r="AU163" s="19"/>
      <c r="AV163" s="19">
        <f>SUM(AV164:AV165)</f>
        <v>0</v>
      </c>
      <c r="AW163" s="19">
        <f>SUM(AW164:AW165)</f>
        <v>0</v>
      </c>
      <c r="AX163" s="19">
        <f>SUM(AX164:AX165)</f>
        <v>0</v>
      </c>
      <c r="AY163" s="19"/>
      <c r="AZ163" s="19">
        <f t="shared" ref="AZ163:CN163" si="396">SUM(AZ164:AZ165)</f>
        <v>0</v>
      </c>
      <c r="BA163" s="19">
        <f t="shared" si="396"/>
        <v>0</v>
      </c>
      <c r="BB163" s="19">
        <f t="shared" si="396"/>
        <v>0</v>
      </c>
      <c r="BC163" s="19">
        <f t="shared" si="396"/>
        <v>0</v>
      </c>
      <c r="BD163" s="19">
        <f t="shared" si="396"/>
        <v>0</v>
      </c>
      <c r="BE163" s="19">
        <f t="shared" si="396"/>
        <v>0</v>
      </c>
      <c r="BF163" s="19">
        <f t="shared" si="396"/>
        <v>0</v>
      </c>
      <c r="BG163" s="19">
        <f t="shared" si="396"/>
        <v>0</v>
      </c>
      <c r="BH163" s="19">
        <f t="shared" si="396"/>
        <v>0</v>
      </c>
      <c r="BI163" s="19">
        <f t="shared" si="396"/>
        <v>0</v>
      </c>
      <c r="BJ163" s="19">
        <f t="shared" ref="BJ163" si="397">SUM(BJ164:BJ165)</f>
        <v>0</v>
      </c>
      <c r="BK163" s="19">
        <f t="shared" si="396"/>
        <v>0</v>
      </c>
      <c r="BL163" s="19">
        <f t="shared" si="396"/>
        <v>0</v>
      </c>
      <c r="BM163" s="19">
        <f t="shared" si="396"/>
        <v>0</v>
      </c>
      <c r="BN163" s="19">
        <f t="shared" si="396"/>
        <v>0</v>
      </c>
      <c r="BO163" s="19">
        <f t="shared" si="396"/>
        <v>0</v>
      </c>
      <c r="BP163" s="19">
        <f t="shared" si="396"/>
        <v>0</v>
      </c>
      <c r="BQ163" s="19">
        <f t="shared" si="396"/>
        <v>0</v>
      </c>
      <c r="BR163" s="19">
        <f t="shared" si="396"/>
        <v>0</v>
      </c>
      <c r="BS163" s="19">
        <f t="shared" si="396"/>
        <v>0</v>
      </c>
      <c r="BT163" s="19">
        <f t="shared" si="396"/>
        <v>0</v>
      </c>
      <c r="BU163" s="19">
        <f t="shared" si="396"/>
        <v>0</v>
      </c>
      <c r="BV163" s="19">
        <f t="shared" si="396"/>
        <v>0</v>
      </c>
      <c r="BW163" s="19">
        <f t="shared" si="396"/>
        <v>0</v>
      </c>
      <c r="BX163" s="19">
        <f t="shared" si="396"/>
        <v>0</v>
      </c>
      <c r="BY163" s="19">
        <f t="shared" si="396"/>
        <v>0</v>
      </c>
      <c r="BZ163" s="19">
        <f t="shared" si="396"/>
        <v>898652</v>
      </c>
      <c r="CA163" s="19">
        <f t="shared" si="396"/>
        <v>898652</v>
      </c>
      <c r="CB163" s="19">
        <f t="shared" si="396"/>
        <v>63384</v>
      </c>
      <c r="CC163" s="19">
        <f t="shared" si="396"/>
        <v>0</v>
      </c>
      <c r="CD163" s="19">
        <f t="shared" si="396"/>
        <v>63384</v>
      </c>
      <c r="CE163" s="19">
        <f t="shared" si="396"/>
        <v>688321</v>
      </c>
      <c r="CF163" s="19">
        <f t="shared" si="396"/>
        <v>0</v>
      </c>
      <c r="CG163" s="19">
        <f t="shared" si="396"/>
        <v>0</v>
      </c>
      <c r="CH163" s="19">
        <f t="shared" si="396"/>
        <v>688321</v>
      </c>
      <c r="CI163" s="19">
        <f t="shared" si="396"/>
        <v>0</v>
      </c>
      <c r="CJ163" s="19">
        <f t="shared" ref="CJ163" si="398">SUM(CJ164:CJ165)</f>
        <v>0</v>
      </c>
      <c r="CK163" s="19">
        <f t="shared" si="396"/>
        <v>146947</v>
      </c>
      <c r="CL163" s="19">
        <f t="shared" si="396"/>
        <v>0</v>
      </c>
      <c r="CM163" s="19">
        <f t="shared" si="396"/>
        <v>146947</v>
      </c>
      <c r="CN163" s="19">
        <f t="shared" si="396"/>
        <v>0</v>
      </c>
      <c r="CO163" s="19"/>
      <c r="CP163" s="19"/>
      <c r="CQ163" s="19"/>
      <c r="CR163" s="19"/>
      <c r="CS163" s="19">
        <f t="shared" ref="CS163:CZ163" si="399">SUM(CS164:CS165)</f>
        <v>0</v>
      </c>
      <c r="CT163" s="19"/>
      <c r="CU163" s="19"/>
      <c r="CV163" s="19"/>
      <c r="CW163" s="19">
        <f t="shared" si="399"/>
        <v>0</v>
      </c>
      <c r="CX163" s="19">
        <f t="shared" si="399"/>
        <v>0</v>
      </c>
      <c r="CY163" s="19">
        <f t="shared" si="399"/>
        <v>0</v>
      </c>
      <c r="CZ163" s="20">
        <f t="shared" si="399"/>
        <v>0</v>
      </c>
    </row>
    <row r="164" spans="1:105" ht="15.75" x14ac:dyDescent="0.25">
      <c r="A164" s="80" t="s">
        <v>1</v>
      </c>
      <c r="B164" s="21" t="s">
        <v>80</v>
      </c>
      <c r="C164" s="22" t="s">
        <v>258</v>
      </c>
      <c r="D164" s="18">
        <f>SUM(E164+BZ164+CW164)</f>
        <v>253462</v>
      </c>
      <c r="E164" s="19">
        <f>SUM(F164+BA164)</f>
        <v>253462</v>
      </c>
      <c r="F164" s="19">
        <f t="shared" ref="F164:F165" si="400">SUM(G164+H164+I164+P164+S164+T164+U164+AD164)</f>
        <v>253462</v>
      </c>
      <c r="G164" s="23">
        <v>204768</v>
      </c>
      <c r="H164" s="23">
        <v>48694</v>
      </c>
      <c r="I164" s="19">
        <f t="shared" si="354"/>
        <v>0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0</v>
      </c>
      <c r="P164" s="19">
        <f t="shared" si="355"/>
        <v>0</v>
      </c>
      <c r="Q164" s="19">
        <v>0</v>
      </c>
      <c r="R164" s="23">
        <v>0</v>
      </c>
      <c r="S164" s="23">
        <v>0</v>
      </c>
      <c r="T164" s="23">
        <v>0</v>
      </c>
      <c r="U164" s="19">
        <f t="shared" ref="U164:U165" si="401">SUM(V164:AC164)</f>
        <v>0</v>
      </c>
      <c r="V164" s="23"/>
      <c r="W164" s="23">
        <v>0</v>
      </c>
      <c r="X164" s="23">
        <v>0</v>
      </c>
      <c r="Y164" s="23">
        <v>0</v>
      </c>
      <c r="Z164" s="23">
        <v>0</v>
      </c>
      <c r="AA164" s="23">
        <v>0</v>
      </c>
      <c r="AB164" s="23">
        <v>0</v>
      </c>
      <c r="AC164" s="23">
        <v>0</v>
      </c>
      <c r="AD164" s="19">
        <f>SUM(AE164:AZ164)</f>
        <v>0</v>
      </c>
      <c r="AE164" s="19">
        <v>0</v>
      </c>
      <c r="AF164" s="19">
        <v>0</v>
      </c>
      <c r="AG164" s="23">
        <v>0</v>
      </c>
      <c r="AH164" s="23">
        <v>0</v>
      </c>
      <c r="AI164" s="23">
        <v>0</v>
      </c>
      <c r="AJ164" s="23">
        <v>0</v>
      </c>
      <c r="AK164" s="23">
        <v>0</v>
      </c>
      <c r="AL164" s="23">
        <v>0</v>
      </c>
      <c r="AM164" s="23">
        <v>0</v>
      </c>
      <c r="AN164" s="23">
        <v>0</v>
      </c>
      <c r="AO164" s="23">
        <v>0</v>
      </c>
      <c r="AP164" s="23"/>
      <c r="AQ164" s="23">
        <v>0</v>
      </c>
      <c r="AR164" s="23">
        <v>0</v>
      </c>
      <c r="AS164" s="23">
        <v>0</v>
      </c>
      <c r="AT164" s="23">
        <v>0</v>
      </c>
      <c r="AU164" s="23">
        <v>0</v>
      </c>
      <c r="AV164" s="23">
        <v>0</v>
      </c>
      <c r="AW164" s="23">
        <v>0</v>
      </c>
      <c r="AX164" s="23">
        <v>0</v>
      </c>
      <c r="AY164" s="23">
        <v>0</v>
      </c>
      <c r="AZ164" s="23">
        <v>0</v>
      </c>
      <c r="BA164" s="19">
        <f>SUM(BB164+BF164+BI164+BK164+BN164)</f>
        <v>0</v>
      </c>
      <c r="BB164" s="19">
        <f>SUM(BC164:BE164)</f>
        <v>0</v>
      </c>
      <c r="BC164" s="19">
        <v>0</v>
      </c>
      <c r="BD164" s="19">
        <v>0</v>
      </c>
      <c r="BE164" s="19">
        <v>0</v>
      </c>
      <c r="BF164" s="19">
        <f>SUM(BH164:BH164)</f>
        <v>0</v>
      </c>
      <c r="BG164" s="19">
        <v>0</v>
      </c>
      <c r="BH164" s="19">
        <v>0</v>
      </c>
      <c r="BI164" s="19">
        <v>0</v>
      </c>
      <c r="BJ164" s="19">
        <v>0</v>
      </c>
      <c r="BK164" s="19">
        <f t="shared" si="357"/>
        <v>0</v>
      </c>
      <c r="BL164" s="19">
        <v>0</v>
      </c>
      <c r="BM164" s="19">
        <v>0</v>
      </c>
      <c r="BN164" s="19">
        <f>SUM(BO164:BY164)</f>
        <v>0</v>
      </c>
      <c r="BO164" s="19">
        <v>0</v>
      </c>
      <c r="BP164" s="19">
        <v>0</v>
      </c>
      <c r="BQ164" s="19">
        <v>0</v>
      </c>
      <c r="BR164" s="19">
        <v>0</v>
      </c>
      <c r="BS164" s="19">
        <v>0</v>
      </c>
      <c r="BT164" s="19">
        <v>0</v>
      </c>
      <c r="BU164" s="19">
        <v>0</v>
      </c>
      <c r="BV164" s="19">
        <v>0</v>
      </c>
      <c r="BW164" s="19">
        <v>0</v>
      </c>
      <c r="BX164" s="19">
        <v>0</v>
      </c>
      <c r="BY164" s="19">
        <v>0</v>
      </c>
      <c r="BZ164" s="19">
        <f>SUM(CA164+CS164)</f>
        <v>0</v>
      </c>
      <c r="CA164" s="19">
        <f>SUM(CB164+CE164+CK164)</f>
        <v>0</v>
      </c>
      <c r="CB164" s="19">
        <f t="shared" si="358"/>
        <v>0</v>
      </c>
      <c r="CC164" s="19">
        <v>0</v>
      </c>
      <c r="CD164" s="23">
        <v>0</v>
      </c>
      <c r="CE164" s="19">
        <f>SUM(CF164:CJ164)</f>
        <v>0</v>
      </c>
      <c r="CF164" s="19">
        <v>0</v>
      </c>
      <c r="CG164" s="19">
        <v>0</v>
      </c>
      <c r="CH164" s="19">
        <v>0</v>
      </c>
      <c r="CI164" s="19">
        <v>0</v>
      </c>
      <c r="CJ164" s="19">
        <v>0</v>
      </c>
      <c r="CK164" s="19">
        <f>SUM(CL164:CP164)</f>
        <v>0</v>
      </c>
      <c r="CL164" s="19">
        <v>0</v>
      </c>
      <c r="CM164" s="19">
        <v>0</v>
      </c>
      <c r="CN164" s="19">
        <v>0</v>
      </c>
      <c r="CO164" s="19"/>
      <c r="CP164" s="19"/>
      <c r="CQ164" s="19"/>
      <c r="CR164" s="19"/>
      <c r="CS164" s="19">
        <v>0</v>
      </c>
      <c r="CT164" s="19"/>
      <c r="CU164" s="19"/>
      <c r="CV164" s="19"/>
      <c r="CW164" s="19">
        <f t="shared" si="360"/>
        <v>0</v>
      </c>
      <c r="CX164" s="19">
        <f t="shared" si="361"/>
        <v>0</v>
      </c>
      <c r="CY164" s="19">
        <v>0</v>
      </c>
      <c r="CZ164" s="20">
        <v>0</v>
      </c>
    </row>
    <row r="165" spans="1:105" ht="36" customHeight="1" x14ac:dyDescent="0.25">
      <c r="A165" s="80" t="s">
        <v>1</v>
      </c>
      <c r="B165" s="21" t="s">
        <v>104</v>
      </c>
      <c r="C165" s="22" t="s">
        <v>489</v>
      </c>
      <c r="D165" s="18">
        <f>SUM(E165+BZ165+CW165)</f>
        <v>10522572</v>
      </c>
      <c r="E165" s="19">
        <f>SUM(F165+BA165)</f>
        <v>9623920</v>
      </c>
      <c r="F165" s="19">
        <f t="shared" si="400"/>
        <v>9623920</v>
      </c>
      <c r="G165" s="23">
        <v>5570002</v>
      </c>
      <c r="H165" s="23">
        <v>1323814</v>
      </c>
      <c r="I165" s="19">
        <f t="shared" si="354"/>
        <v>31492</v>
      </c>
      <c r="J165" s="23">
        <v>0</v>
      </c>
      <c r="K165" s="23">
        <v>0</v>
      </c>
      <c r="L165" s="23">
        <v>0</v>
      </c>
      <c r="M165" s="23">
        <v>0</v>
      </c>
      <c r="N165" s="23">
        <v>31492</v>
      </c>
      <c r="O165" s="23">
        <f>1497-1497</f>
        <v>0</v>
      </c>
      <c r="P165" s="19">
        <f t="shared" si="355"/>
        <v>0</v>
      </c>
      <c r="Q165" s="19"/>
      <c r="R165" s="23">
        <v>0</v>
      </c>
      <c r="S165" s="23">
        <v>0</v>
      </c>
      <c r="T165" s="23">
        <v>17941</v>
      </c>
      <c r="U165" s="19">
        <f t="shared" si="401"/>
        <v>4238</v>
      </c>
      <c r="V165" s="23">
        <v>4238</v>
      </c>
      <c r="W165" s="23">
        <v>0</v>
      </c>
      <c r="X165" s="23">
        <v>0</v>
      </c>
      <c r="Y165" s="23">
        <v>0</v>
      </c>
      <c r="Z165" s="23">
        <v>0</v>
      </c>
      <c r="AA165" s="23">
        <v>0</v>
      </c>
      <c r="AB165" s="23">
        <v>0</v>
      </c>
      <c r="AC165" s="23">
        <v>0</v>
      </c>
      <c r="AD165" s="19">
        <f>SUM(AE165:AZ165)</f>
        <v>2676433</v>
      </c>
      <c r="AE165" s="19">
        <v>0</v>
      </c>
      <c r="AF165" s="19">
        <v>0</v>
      </c>
      <c r="AG165" s="23">
        <v>0</v>
      </c>
      <c r="AH165" s="23">
        <v>0</v>
      </c>
      <c r="AI165" s="23">
        <v>0</v>
      </c>
      <c r="AJ165" s="23">
        <v>0</v>
      </c>
      <c r="AK165" s="23">
        <v>0</v>
      </c>
      <c r="AL165" s="23">
        <v>416</v>
      </c>
      <c r="AM165" s="23">
        <v>2676017</v>
      </c>
      <c r="AN165" s="23">
        <v>0</v>
      </c>
      <c r="AO165" s="23">
        <v>0</v>
      </c>
      <c r="AP165" s="23"/>
      <c r="AQ165" s="23">
        <v>0</v>
      </c>
      <c r="AR165" s="23">
        <v>0</v>
      </c>
      <c r="AS165" s="23">
        <v>0</v>
      </c>
      <c r="AT165" s="23">
        <v>0</v>
      </c>
      <c r="AU165" s="23">
        <v>0</v>
      </c>
      <c r="AV165" s="23">
        <v>0</v>
      </c>
      <c r="AW165" s="23">
        <v>0</v>
      </c>
      <c r="AX165" s="23">
        <v>0</v>
      </c>
      <c r="AY165" s="23">
        <v>0</v>
      </c>
      <c r="AZ165" s="23">
        <v>0</v>
      </c>
      <c r="BA165" s="19">
        <f>SUM(BB165+BF165+BI165+BK165+BN165)</f>
        <v>0</v>
      </c>
      <c r="BB165" s="19">
        <f>SUM(BC165:BE165)</f>
        <v>0</v>
      </c>
      <c r="BC165" s="19">
        <v>0</v>
      </c>
      <c r="BD165" s="19">
        <v>0</v>
      </c>
      <c r="BE165" s="19">
        <v>0</v>
      </c>
      <c r="BF165" s="19">
        <f>SUM(BH165:BH165)</f>
        <v>0</v>
      </c>
      <c r="BG165" s="19">
        <v>0</v>
      </c>
      <c r="BH165" s="19">
        <v>0</v>
      </c>
      <c r="BI165" s="19">
        <v>0</v>
      </c>
      <c r="BJ165" s="19">
        <v>0</v>
      </c>
      <c r="BK165" s="19">
        <f t="shared" si="357"/>
        <v>0</v>
      </c>
      <c r="BL165" s="19">
        <v>0</v>
      </c>
      <c r="BM165" s="19">
        <v>0</v>
      </c>
      <c r="BN165" s="19">
        <f>SUM(BO165:BY165)</f>
        <v>0</v>
      </c>
      <c r="BO165" s="19">
        <v>0</v>
      </c>
      <c r="BP165" s="19">
        <v>0</v>
      </c>
      <c r="BQ165" s="19">
        <v>0</v>
      </c>
      <c r="BR165" s="19">
        <v>0</v>
      </c>
      <c r="BS165" s="19">
        <v>0</v>
      </c>
      <c r="BT165" s="19">
        <v>0</v>
      </c>
      <c r="BU165" s="19">
        <v>0</v>
      </c>
      <c r="BV165" s="19">
        <v>0</v>
      </c>
      <c r="BW165" s="19">
        <v>0</v>
      </c>
      <c r="BX165" s="19">
        <v>0</v>
      </c>
      <c r="BY165" s="19">
        <v>0</v>
      </c>
      <c r="BZ165" s="19">
        <f>SUM(CA165+CS165)</f>
        <v>898652</v>
      </c>
      <c r="CA165" s="19">
        <f>SUM(CB165+CE165+CK165)</f>
        <v>898652</v>
      </c>
      <c r="CB165" s="19">
        <f t="shared" si="358"/>
        <v>63384</v>
      </c>
      <c r="CC165" s="19">
        <v>0</v>
      </c>
      <c r="CD165" s="23">
        <v>63384</v>
      </c>
      <c r="CE165" s="19">
        <f>SUM(CF165:CJ165)</f>
        <v>688321</v>
      </c>
      <c r="CF165" s="19">
        <v>0</v>
      </c>
      <c r="CG165" s="19">
        <v>0</v>
      </c>
      <c r="CH165" s="19">
        <v>688321</v>
      </c>
      <c r="CI165" s="19">
        <v>0</v>
      </c>
      <c r="CJ165" s="19">
        <v>0</v>
      </c>
      <c r="CK165" s="19">
        <f>SUM(CL165:CP165)</f>
        <v>146947</v>
      </c>
      <c r="CL165" s="19"/>
      <c r="CM165" s="19">
        <v>146947</v>
      </c>
      <c r="CN165" s="19">
        <v>0</v>
      </c>
      <c r="CO165" s="19"/>
      <c r="CP165" s="19"/>
      <c r="CQ165" s="19"/>
      <c r="CR165" s="19"/>
      <c r="CS165" s="19">
        <v>0</v>
      </c>
      <c r="CT165" s="19"/>
      <c r="CU165" s="19"/>
      <c r="CV165" s="19"/>
      <c r="CW165" s="19">
        <f t="shared" si="360"/>
        <v>0</v>
      </c>
      <c r="CX165" s="19">
        <f t="shared" si="361"/>
        <v>0</v>
      </c>
      <c r="CY165" s="19">
        <v>0</v>
      </c>
      <c r="CZ165" s="20">
        <v>0</v>
      </c>
    </row>
    <row r="166" spans="1:105" ht="31.5" x14ac:dyDescent="0.25">
      <c r="A166" s="79" t="s">
        <v>600</v>
      </c>
      <c r="B166" s="16" t="s">
        <v>1</v>
      </c>
      <c r="C166" s="17" t="s">
        <v>601</v>
      </c>
      <c r="D166" s="18">
        <f>D167</f>
        <v>488890</v>
      </c>
      <c r="E166" s="19">
        <f t="shared" ref="E166" si="402">E167</f>
        <v>457008</v>
      </c>
      <c r="F166" s="19">
        <f t="shared" ref="F166" si="403">F167</f>
        <v>457008</v>
      </c>
      <c r="G166" s="23">
        <f t="shared" ref="G166" si="404">G167</f>
        <v>355815</v>
      </c>
      <c r="H166" s="23">
        <f t="shared" ref="H166" si="405">H167</f>
        <v>84355</v>
      </c>
      <c r="I166" s="19">
        <f t="shared" ref="I166" si="406">I167</f>
        <v>0</v>
      </c>
      <c r="J166" s="23">
        <f t="shared" ref="J166" si="407">J167</f>
        <v>0</v>
      </c>
      <c r="K166" s="23">
        <f t="shared" ref="K166" si="408">K167</f>
        <v>0</v>
      </c>
      <c r="L166" s="23">
        <f t="shared" ref="L166" si="409">L167</f>
        <v>0</v>
      </c>
      <c r="M166" s="23">
        <f t="shared" ref="M166" si="410">M167</f>
        <v>0</v>
      </c>
      <c r="N166" s="23">
        <f t="shared" ref="N166" si="411">N167</f>
        <v>0</v>
      </c>
      <c r="O166" s="23">
        <f t="shared" ref="O166" si="412">O167</f>
        <v>0</v>
      </c>
      <c r="P166" s="19">
        <f t="shared" ref="P166" si="413">P167</f>
        <v>0</v>
      </c>
      <c r="Q166" s="19">
        <f t="shared" ref="Q166" si="414">Q167</f>
        <v>0</v>
      </c>
      <c r="R166" s="23">
        <f t="shared" ref="R166" si="415">R167</f>
        <v>0</v>
      </c>
      <c r="S166" s="23">
        <f t="shared" ref="S166" si="416">S167</f>
        <v>0</v>
      </c>
      <c r="T166" s="23">
        <f t="shared" ref="T166" si="417">T167</f>
        <v>11879</v>
      </c>
      <c r="U166" s="19">
        <f t="shared" ref="U166" si="418">U167</f>
        <v>4959</v>
      </c>
      <c r="V166" s="23">
        <f t="shared" ref="V166" si="419">V167</f>
        <v>1123</v>
      </c>
      <c r="W166" s="23">
        <f t="shared" ref="W166" si="420">W167</f>
        <v>1993</v>
      </c>
      <c r="X166" s="23">
        <f t="shared" ref="X166" si="421">X167</f>
        <v>1659</v>
      </c>
      <c r="Y166" s="23">
        <f t="shared" ref="Y166" si="422">Y167</f>
        <v>184</v>
      </c>
      <c r="Z166" s="23">
        <f t="shared" ref="Z166" si="423">Z167</f>
        <v>0</v>
      </c>
      <c r="AA166" s="23">
        <f t="shared" ref="AA166" si="424">AA167</f>
        <v>0</v>
      </c>
      <c r="AB166" s="23">
        <f t="shared" ref="AB166" si="425">AB167</f>
        <v>0</v>
      </c>
      <c r="AC166" s="23">
        <f t="shared" ref="AC166" si="426">AC167</f>
        <v>0</v>
      </c>
      <c r="AD166" s="19">
        <f t="shared" ref="AD166" si="427">AD167</f>
        <v>0</v>
      </c>
      <c r="AE166" s="19">
        <f t="shared" ref="AE166" si="428">AE167</f>
        <v>0</v>
      </c>
      <c r="AF166" s="19">
        <f t="shared" ref="AF166" si="429">AF167</f>
        <v>0</v>
      </c>
      <c r="AG166" s="23">
        <f t="shared" ref="AG166" si="430">AG167</f>
        <v>0</v>
      </c>
      <c r="AH166" s="23">
        <f t="shared" ref="AH166" si="431">AH167</f>
        <v>0</v>
      </c>
      <c r="AI166" s="23">
        <f t="shared" ref="AI166" si="432">AI167</f>
        <v>0</v>
      </c>
      <c r="AJ166" s="23">
        <f t="shared" ref="AJ166" si="433">AJ167</f>
        <v>0</v>
      </c>
      <c r="AK166" s="23">
        <f t="shared" ref="AK166" si="434">AK167</f>
        <v>0</v>
      </c>
      <c r="AL166" s="23">
        <f t="shared" ref="AL166" si="435">AL167</f>
        <v>0</v>
      </c>
      <c r="AM166" s="23">
        <f t="shared" ref="AM166" si="436">AM167</f>
        <v>0</v>
      </c>
      <c r="AN166" s="23">
        <f t="shared" ref="AN166" si="437">AN167</f>
        <v>0</v>
      </c>
      <c r="AO166" s="23">
        <f t="shared" ref="AO166" si="438">AO167</f>
        <v>0</v>
      </c>
      <c r="AP166" s="23"/>
      <c r="AQ166" s="23">
        <f t="shared" ref="AQ166" si="439">AQ167</f>
        <v>0</v>
      </c>
      <c r="AR166" s="23">
        <f t="shared" ref="AR166" si="440">AR167</f>
        <v>0</v>
      </c>
      <c r="AS166" s="23">
        <f t="shared" ref="AS166" si="441">AS167</f>
        <v>0</v>
      </c>
      <c r="AT166" s="23">
        <f t="shared" ref="AT166" si="442">AT167</f>
        <v>0</v>
      </c>
      <c r="AU166" s="23">
        <f t="shared" ref="AU166" si="443">AU167</f>
        <v>0</v>
      </c>
      <c r="AV166" s="23">
        <f t="shared" ref="AV166" si="444">AV167</f>
        <v>0</v>
      </c>
      <c r="AW166" s="23">
        <f t="shared" ref="AW166" si="445">AW167</f>
        <v>0</v>
      </c>
      <c r="AX166" s="23">
        <f t="shared" ref="AX166" si="446">AX167</f>
        <v>0</v>
      </c>
      <c r="AY166" s="23">
        <f t="shared" ref="AY166" si="447">AY167</f>
        <v>0</v>
      </c>
      <c r="AZ166" s="23">
        <f t="shared" ref="AZ166" si="448">AZ167</f>
        <v>0</v>
      </c>
      <c r="BA166" s="19">
        <f t="shared" ref="BA166" si="449">BA167</f>
        <v>0</v>
      </c>
      <c r="BB166" s="19">
        <f t="shared" ref="BB166" si="450">BB167</f>
        <v>0</v>
      </c>
      <c r="BC166" s="19">
        <f t="shared" ref="BC166" si="451">BC167</f>
        <v>0</v>
      </c>
      <c r="BD166" s="19">
        <f t="shared" ref="BD166" si="452">BD167</f>
        <v>0</v>
      </c>
      <c r="BE166" s="19">
        <f t="shared" ref="BE166" si="453">BE167</f>
        <v>0</v>
      </c>
      <c r="BF166" s="19">
        <f t="shared" ref="BF166" si="454">BF167</f>
        <v>0</v>
      </c>
      <c r="BG166" s="19">
        <f t="shared" ref="BG166" si="455">BG167</f>
        <v>0</v>
      </c>
      <c r="BH166" s="19">
        <f t="shared" ref="BH166" si="456">BH167</f>
        <v>0</v>
      </c>
      <c r="BI166" s="19">
        <f t="shared" ref="BI166" si="457">BI167</f>
        <v>0</v>
      </c>
      <c r="BJ166" s="19">
        <f t="shared" ref="BJ166:BL166" si="458">BJ167</f>
        <v>0</v>
      </c>
      <c r="BK166" s="19">
        <f t="shared" ref="BK166" si="459">BK167</f>
        <v>0</v>
      </c>
      <c r="BL166" s="19">
        <f t="shared" si="458"/>
        <v>0</v>
      </c>
      <c r="BM166" s="19">
        <f t="shared" ref="BM166" si="460">BM167</f>
        <v>0</v>
      </c>
      <c r="BN166" s="19">
        <f t="shared" ref="BN166" si="461">BN167</f>
        <v>0</v>
      </c>
      <c r="BO166" s="19">
        <f t="shared" ref="BO166" si="462">BO167</f>
        <v>0</v>
      </c>
      <c r="BP166" s="19">
        <f t="shared" ref="BP166" si="463">BP167</f>
        <v>0</v>
      </c>
      <c r="BQ166" s="19">
        <f t="shared" ref="BQ166" si="464">BQ167</f>
        <v>0</v>
      </c>
      <c r="BR166" s="19">
        <f t="shared" ref="BR166" si="465">BR167</f>
        <v>0</v>
      </c>
      <c r="BS166" s="19">
        <f t="shared" ref="BS166" si="466">BS167</f>
        <v>0</v>
      </c>
      <c r="BT166" s="19">
        <f t="shared" ref="BT166" si="467">BT167</f>
        <v>0</v>
      </c>
      <c r="BU166" s="19">
        <f t="shared" ref="BU166" si="468">BU167</f>
        <v>0</v>
      </c>
      <c r="BV166" s="19">
        <f t="shared" ref="BV166" si="469">BV167</f>
        <v>0</v>
      </c>
      <c r="BW166" s="19">
        <f t="shared" ref="BW166" si="470">BW167</f>
        <v>0</v>
      </c>
      <c r="BX166" s="19">
        <f t="shared" ref="BX166" si="471">BX167</f>
        <v>0</v>
      </c>
      <c r="BY166" s="19">
        <f t="shared" ref="BY166" si="472">BY167</f>
        <v>0</v>
      </c>
      <c r="BZ166" s="19">
        <f t="shared" ref="BZ166" si="473">BZ167</f>
        <v>31882</v>
      </c>
      <c r="CA166" s="19">
        <f t="shared" ref="CA166" si="474">CA167</f>
        <v>31882</v>
      </c>
      <c r="CB166" s="19">
        <f t="shared" ref="CB166" si="475">CB167</f>
        <v>31882</v>
      </c>
      <c r="CC166" s="19">
        <f t="shared" ref="CC166" si="476">CC167</f>
        <v>0</v>
      </c>
      <c r="CD166" s="19">
        <f t="shared" ref="CD166" si="477">CD167</f>
        <v>31882</v>
      </c>
      <c r="CE166" s="19">
        <f t="shared" ref="CE166" si="478">CE167</f>
        <v>0</v>
      </c>
      <c r="CF166" s="19">
        <f t="shared" ref="CF166" si="479">CF167</f>
        <v>0</v>
      </c>
      <c r="CG166" s="19">
        <f t="shared" ref="CG166" si="480">CG167</f>
        <v>0</v>
      </c>
      <c r="CH166" s="19">
        <f t="shared" ref="CH166" si="481">CH167</f>
        <v>0</v>
      </c>
      <c r="CI166" s="19">
        <f t="shared" ref="CI166" si="482">CI167</f>
        <v>0</v>
      </c>
      <c r="CJ166" s="19">
        <f t="shared" ref="CJ166" si="483">CJ167</f>
        <v>0</v>
      </c>
      <c r="CK166" s="19">
        <f t="shared" ref="CK166" si="484">CK167</f>
        <v>0</v>
      </c>
      <c r="CL166" s="19">
        <f t="shared" ref="CL166" si="485">CL167</f>
        <v>0</v>
      </c>
      <c r="CM166" s="19">
        <f t="shared" ref="CM166" si="486">CM167</f>
        <v>0</v>
      </c>
      <c r="CN166" s="19">
        <f t="shared" ref="CN166" si="487">CN167</f>
        <v>0</v>
      </c>
      <c r="CO166" s="19">
        <f t="shared" ref="CO166" si="488">CO167</f>
        <v>0</v>
      </c>
      <c r="CP166" s="19">
        <f t="shared" ref="CP166" si="489">CP167</f>
        <v>0</v>
      </c>
      <c r="CQ166" s="19"/>
      <c r="CR166" s="19"/>
      <c r="CS166" s="19">
        <f t="shared" ref="CS166" si="490">CS167</f>
        <v>0</v>
      </c>
      <c r="CT166" s="19"/>
      <c r="CU166" s="19"/>
      <c r="CV166" s="19"/>
      <c r="CW166" s="19">
        <f t="shared" ref="CW166" si="491">CW167</f>
        <v>0</v>
      </c>
      <c r="CX166" s="19">
        <f t="shared" ref="CX166" si="492">CX167</f>
        <v>0</v>
      </c>
      <c r="CY166" s="19">
        <f t="shared" ref="CY166" si="493">CY167</f>
        <v>0</v>
      </c>
      <c r="CZ166" s="20">
        <f t="shared" ref="CZ166" si="494">CZ167</f>
        <v>0</v>
      </c>
    </row>
    <row r="167" spans="1:105" ht="31.5" x14ac:dyDescent="0.25">
      <c r="A167" s="80"/>
      <c r="B167" s="33" t="s">
        <v>88</v>
      </c>
      <c r="C167" s="32" t="s">
        <v>599</v>
      </c>
      <c r="D167" s="18">
        <f>SUM(E167+BZ167+CW167)</f>
        <v>488890</v>
      </c>
      <c r="E167" s="19">
        <f>SUM(F167+BA167)</f>
        <v>457008</v>
      </c>
      <c r="F167" s="19">
        <f>SUM(G167+H167+I167+P167+S167+T167+U167+AD167)</f>
        <v>457008</v>
      </c>
      <c r="G167" s="23">
        <v>355815</v>
      </c>
      <c r="H167" s="23">
        <v>84355</v>
      </c>
      <c r="I167" s="19">
        <f t="shared" ref="I167" si="495">SUM(J167:O167)</f>
        <v>0</v>
      </c>
      <c r="J167" s="23">
        <v>0</v>
      </c>
      <c r="K167" s="23">
        <v>0</v>
      </c>
      <c r="L167" s="23">
        <v>0</v>
      </c>
      <c r="M167" s="23">
        <v>0</v>
      </c>
      <c r="N167" s="23"/>
      <c r="O167" s="23">
        <f>1497-1497</f>
        <v>0</v>
      </c>
      <c r="P167" s="19">
        <f t="shared" ref="P167" si="496">SUM(Q167:R167)</f>
        <v>0</v>
      </c>
      <c r="Q167" s="19"/>
      <c r="R167" s="23">
        <v>0</v>
      </c>
      <c r="S167" s="23">
        <v>0</v>
      </c>
      <c r="T167" s="23">
        <v>11879</v>
      </c>
      <c r="U167" s="19">
        <f t="shared" ref="U167" si="497">SUM(V167:AC167)</f>
        <v>4959</v>
      </c>
      <c r="V167" s="23">
        <v>1123</v>
      </c>
      <c r="W167" s="23">
        <v>1993</v>
      </c>
      <c r="X167" s="23">
        <v>1659</v>
      </c>
      <c r="Y167" s="23">
        <v>184</v>
      </c>
      <c r="Z167" s="23">
        <v>0</v>
      </c>
      <c r="AA167" s="23">
        <v>0</v>
      </c>
      <c r="AB167" s="23">
        <v>0</v>
      </c>
      <c r="AC167" s="23">
        <v>0</v>
      </c>
      <c r="AD167" s="19">
        <f>SUM(AE167:AZ167)</f>
        <v>0</v>
      </c>
      <c r="AE167" s="19">
        <v>0</v>
      </c>
      <c r="AF167" s="19">
        <v>0</v>
      </c>
      <c r="AG167" s="23">
        <v>0</v>
      </c>
      <c r="AH167" s="23">
        <v>0</v>
      </c>
      <c r="AI167" s="23">
        <v>0</v>
      </c>
      <c r="AJ167" s="23">
        <v>0</v>
      </c>
      <c r="AK167" s="23">
        <v>0</v>
      </c>
      <c r="AL167" s="23">
        <v>0</v>
      </c>
      <c r="AM167" s="23"/>
      <c r="AN167" s="23">
        <v>0</v>
      </c>
      <c r="AO167" s="23">
        <v>0</v>
      </c>
      <c r="AP167" s="23"/>
      <c r="AQ167" s="23">
        <v>0</v>
      </c>
      <c r="AR167" s="23">
        <v>0</v>
      </c>
      <c r="AS167" s="23">
        <v>0</v>
      </c>
      <c r="AT167" s="23">
        <v>0</v>
      </c>
      <c r="AU167" s="23">
        <v>0</v>
      </c>
      <c r="AV167" s="23">
        <v>0</v>
      </c>
      <c r="AW167" s="23">
        <v>0</v>
      </c>
      <c r="AX167" s="23">
        <v>0</v>
      </c>
      <c r="AY167" s="23">
        <v>0</v>
      </c>
      <c r="AZ167" s="23">
        <v>0</v>
      </c>
      <c r="BA167" s="19">
        <f>SUM(BB167+BF167+BI167+BK167+BN167)</f>
        <v>0</v>
      </c>
      <c r="BB167" s="19">
        <f>SUM(BC167:BE167)</f>
        <v>0</v>
      </c>
      <c r="BC167" s="19">
        <v>0</v>
      </c>
      <c r="BD167" s="19">
        <v>0</v>
      </c>
      <c r="BE167" s="19">
        <v>0</v>
      </c>
      <c r="BF167" s="19">
        <f>SUM(BH167:BH167)</f>
        <v>0</v>
      </c>
      <c r="BG167" s="19">
        <v>0</v>
      </c>
      <c r="BH167" s="19">
        <v>0</v>
      </c>
      <c r="BI167" s="19">
        <v>0</v>
      </c>
      <c r="BJ167" s="19">
        <v>0</v>
      </c>
      <c r="BK167" s="19">
        <f t="shared" ref="BK167" si="498">SUM(BL167)</f>
        <v>0</v>
      </c>
      <c r="BL167" s="19">
        <v>0</v>
      </c>
      <c r="BM167" s="19">
        <v>0</v>
      </c>
      <c r="BN167" s="19">
        <f>SUM(BO167:BY167)</f>
        <v>0</v>
      </c>
      <c r="BO167" s="19">
        <v>0</v>
      </c>
      <c r="BP167" s="19">
        <v>0</v>
      </c>
      <c r="BQ167" s="19">
        <v>0</v>
      </c>
      <c r="BR167" s="19">
        <v>0</v>
      </c>
      <c r="BS167" s="19">
        <v>0</v>
      </c>
      <c r="BT167" s="19">
        <v>0</v>
      </c>
      <c r="BU167" s="19">
        <v>0</v>
      </c>
      <c r="BV167" s="19">
        <v>0</v>
      </c>
      <c r="BW167" s="19">
        <v>0</v>
      </c>
      <c r="BX167" s="19">
        <v>0</v>
      </c>
      <c r="BY167" s="19">
        <v>0</v>
      </c>
      <c r="BZ167" s="19">
        <f>SUM(CA167+CS167)</f>
        <v>31882</v>
      </c>
      <c r="CA167" s="19">
        <f>SUM(CB167+CE167+CK167)</f>
        <v>31882</v>
      </c>
      <c r="CB167" s="19">
        <f t="shared" ref="CB167" si="499">SUM(CC167:CD167)</f>
        <v>31882</v>
      </c>
      <c r="CC167" s="19">
        <v>0</v>
      </c>
      <c r="CD167" s="23">
        <v>31882</v>
      </c>
      <c r="CE167" s="19">
        <f>SUM(CF167:CJ167)</f>
        <v>0</v>
      </c>
      <c r="CF167" s="19">
        <v>0</v>
      </c>
      <c r="CG167" s="19">
        <v>0</v>
      </c>
      <c r="CH167" s="19">
        <v>0</v>
      </c>
      <c r="CI167" s="19">
        <v>0</v>
      </c>
      <c r="CJ167" s="19">
        <v>0</v>
      </c>
      <c r="CK167" s="19">
        <f>SUM(CL167:CP167)</f>
        <v>0</v>
      </c>
      <c r="CL167" s="19"/>
      <c r="CM167" s="19"/>
      <c r="CN167" s="19">
        <v>0</v>
      </c>
      <c r="CO167" s="19"/>
      <c r="CP167" s="19"/>
      <c r="CQ167" s="19"/>
      <c r="CR167" s="19"/>
      <c r="CS167" s="19">
        <v>0</v>
      </c>
      <c r="CT167" s="19"/>
      <c r="CU167" s="19"/>
      <c r="CV167" s="19"/>
      <c r="CW167" s="19">
        <f t="shared" ref="CW167" si="500">SUM(CX167)</f>
        <v>0</v>
      </c>
      <c r="CX167" s="19">
        <f t="shared" ref="CX167" si="501">SUM(CY167:CZ167)</f>
        <v>0</v>
      </c>
      <c r="CY167" s="19">
        <v>0</v>
      </c>
      <c r="CZ167" s="20">
        <v>0</v>
      </c>
    </row>
    <row r="168" spans="1:105" s="58" customFormat="1" ht="15.75" x14ac:dyDescent="0.25">
      <c r="A168" s="81" t="s">
        <v>259</v>
      </c>
      <c r="B168" s="25" t="s">
        <v>1</v>
      </c>
      <c r="C168" s="26" t="s">
        <v>260</v>
      </c>
      <c r="D168" s="27">
        <f>SUM(D169+D171+D174+D177+D179)</f>
        <v>942702500</v>
      </c>
      <c r="E168" s="27">
        <f t="shared" ref="E168:BT168" si="502">SUM(E169+E171+E174+E177+E179)</f>
        <v>939152435</v>
      </c>
      <c r="F168" s="27">
        <f t="shared" si="502"/>
        <v>936943081</v>
      </c>
      <c r="G168" s="27">
        <f t="shared" si="502"/>
        <v>541577060</v>
      </c>
      <c r="H168" s="27">
        <f t="shared" si="502"/>
        <v>127031317</v>
      </c>
      <c r="I168" s="27">
        <f t="shared" si="502"/>
        <v>156318575</v>
      </c>
      <c r="J168" s="27">
        <f t="shared" si="502"/>
        <v>117740274</v>
      </c>
      <c r="K168" s="27">
        <f t="shared" si="502"/>
        <v>1257658</v>
      </c>
      <c r="L168" s="27">
        <f t="shared" si="502"/>
        <v>17553879</v>
      </c>
      <c r="M168" s="27">
        <f t="shared" si="502"/>
        <v>4220</v>
      </c>
      <c r="N168" s="27">
        <f t="shared" si="502"/>
        <v>17156775</v>
      </c>
      <c r="O168" s="27">
        <f t="shared" si="502"/>
        <v>2605769</v>
      </c>
      <c r="P168" s="27">
        <f t="shared" si="502"/>
        <v>2329</v>
      </c>
      <c r="Q168" s="27">
        <f t="shared" si="502"/>
        <v>1310</v>
      </c>
      <c r="R168" s="27">
        <f t="shared" si="502"/>
        <v>1019</v>
      </c>
      <c r="S168" s="27">
        <f t="shared" si="502"/>
        <v>33187</v>
      </c>
      <c r="T168" s="27">
        <f t="shared" si="502"/>
        <v>1748202</v>
      </c>
      <c r="U168" s="27">
        <f t="shared" si="502"/>
        <v>24681115</v>
      </c>
      <c r="V168" s="27">
        <f t="shared" si="502"/>
        <v>737079</v>
      </c>
      <c r="W168" s="27">
        <f t="shared" si="502"/>
        <v>11242070</v>
      </c>
      <c r="X168" s="27">
        <f t="shared" si="502"/>
        <v>6970321</v>
      </c>
      <c r="Y168" s="27">
        <f t="shared" si="502"/>
        <v>4788865</v>
      </c>
      <c r="Z168" s="27">
        <f t="shared" si="502"/>
        <v>787824</v>
      </c>
      <c r="AA168" s="27">
        <f t="shared" si="502"/>
        <v>0</v>
      </c>
      <c r="AB168" s="27">
        <f t="shared" si="502"/>
        <v>0</v>
      </c>
      <c r="AC168" s="27">
        <f t="shared" si="502"/>
        <v>154956</v>
      </c>
      <c r="AD168" s="27">
        <f t="shared" si="502"/>
        <v>85551296</v>
      </c>
      <c r="AE168" s="27">
        <f t="shared" si="502"/>
        <v>0</v>
      </c>
      <c r="AF168" s="27">
        <f t="shared" si="502"/>
        <v>0</v>
      </c>
      <c r="AG168" s="27">
        <f t="shared" si="502"/>
        <v>242921</v>
      </c>
      <c r="AH168" s="27">
        <f t="shared" si="502"/>
        <v>1147096</v>
      </c>
      <c r="AI168" s="27">
        <f t="shared" si="502"/>
        <v>0</v>
      </c>
      <c r="AJ168" s="27">
        <f t="shared" si="502"/>
        <v>8228</v>
      </c>
      <c r="AK168" s="27">
        <f t="shared" si="502"/>
        <v>0</v>
      </c>
      <c r="AL168" s="27">
        <f t="shared" si="502"/>
        <v>459701</v>
      </c>
      <c r="AM168" s="27">
        <f t="shared" si="502"/>
        <v>195881</v>
      </c>
      <c r="AN168" s="27">
        <f t="shared" si="502"/>
        <v>0</v>
      </c>
      <c r="AO168" s="27">
        <f t="shared" si="502"/>
        <v>4155</v>
      </c>
      <c r="AP168" s="27"/>
      <c r="AQ168" s="27">
        <f t="shared" si="502"/>
        <v>0</v>
      </c>
      <c r="AR168" s="27">
        <f t="shared" si="502"/>
        <v>1533199</v>
      </c>
      <c r="AS168" s="27">
        <f t="shared" si="502"/>
        <v>127222</v>
      </c>
      <c r="AT168" s="27">
        <f t="shared" si="502"/>
        <v>0</v>
      </c>
      <c r="AU168" s="27">
        <f t="shared" si="502"/>
        <v>1832991</v>
      </c>
      <c r="AV168" s="27">
        <f t="shared" si="502"/>
        <v>6881399</v>
      </c>
      <c r="AW168" s="27">
        <f t="shared" si="502"/>
        <v>0</v>
      </c>
      <c r="AX168" s="27">
        <f t="shared" si="502"/>
        <v>0</v>
      </c>
      <c r="AY168" s="27">
        <f t="shared" ref="AY168" si="503">SUM(AY169+AY171+AY174+AY177+AY179)</f>
        <v>23176277</v>
      </c>
      <c r="AZ168" s="27">
        <f t="shared" si="502"/>
        <v>49942226</v>
      </c>
      <c r="BA168" s="27">
        <f t="shared" si="502"/>
        <v>2209354</v>
      </c>
      <c r="BB168" s="27">
        <f t="shared" si="502"/>
        <v>0</v>
      </c>
      <c r="BC168" s="27">
        <f t="shared" si="502"/>
        <v>0</v>
      </c>
      <c r="BD168" s="27">
        <f t="shared" si="502"/>
        <v>0</v>
      </c>
      <c r="BE168" s="27">
        <f t="shared" si="502"/>
        <v>0</v>
      </c>
      <c r="BF168" s="27">
        <f t="shared" si="502"/>
        <v>0</v>
      </c>
      <c r="BG168" s="27">
        <f t="shared" si="502"/>
        <v>0</v>
      </c>
      <c r="BH168" s="27">
        <f t="shared" si="502"/>
        <v>0</v>
      </c>
      <c r="BI168" s="27">
        <f t="shared" si="502"/>
        <v>0</v>
      </c>
      <c r="BJ168" s="27">
        <f t="shared" ref="BJ168" si="504">SUM(BJ169+BJ171+BJ174+BJ177+BJ179)</f>
        <v>0</v>
      </c>
      <c r="BK168" s="27">
        <f t="shared" si="502"/>
        <v>0</v>
      </c>
      <c r="BL168" s="27">
        <f t="shared" si="502"/>
        <v>0</v>
      </c>
      <c r="BM168" s="27">
        <f t="shared" ref="BM168" si="505">SUM(BM169+BM171+BM174+BM177+BM179)</f>
        <v>0</v>
      </c>
      <c r="BN168" s="27">
        <f t="shared" si="502"/>
        <v>2209354</v>
      </c>
      <c r="BO168" s="27">
        <f t="shared" si="502"/>
        <v>0</v>
      </c>
      <c r="BP168" s="27">
        <f t="shared" si="502"/>
        <v>0</v>
      </c>
      <c r="BQ168" s="27">
        <f t="shared" si="502"/>
        <v>0</v>
      </c>
      <c r="BR168" s="27">
        <f t="shared" si="502"/>
        <v>0</v>
      </c>
      <c r="BS168" s="27">
        <f t="shared" si="502"/>
        <v>0</v>
      </c>
      <c r="BT168" s="27">
        <f t="shared" si="502"/>
        <v>0</v>
      </c>
      <c r="BU168" s="27">
        <f t="shared" ref="BU168:CZ168" si="506">SUM(BU169+BU171+BU174+BU177+BU179)</f>
        <v>0</v>
      </c>
      <c r="BV168" s="27">
        <f t="shared" si="506"/>
        <v>0</v>
      </c>
      <c r="BW168" s="27">
        <f t="shared" si="506"/>
        <v>0</v>
      </c>
      <c r="BX168" s="27">
        <f t="shared" si="506"/>
        <v>0</v>
      </c>
      <c r="BY168" s="27">
        <f t="shared" si="506"/>
        <v>2209354</v>
      </c>
      <c r="BZ168" s="27">
        <f t="shared" si="506"/>
        <v>3550065</v>
      </c>
      <c r="CA168" s="27">
        <f t="shared" si="506"/>
        <v>3550065</v>
      </c>
      <c r="CB168" s="27">
        <f t="shared" si="506"/>
        <v>2481530</v>
      </c>
      <c r="CC168" s="27">
        <f t="shared" si="506"/>
        <v>0</v>
      </c>
      <c r="CD168" s="27">
        <f t="shared" si="506"/>
        <v>2481530</v>
      </c>
      <c r="CE168" s="27">
        <f t="shared" si="506"/>
        <v>243285</v>
      </c>
      <c r="CF168" s="27">
        <f t="shared" si="506"/>
        <v>0</v>
      </c>
      <c r="CG168" s="27">
        <f t="shared" ref="CG168:CH168" si="507">SUM(CG169+CG171+CG174+CG177+CG179)</f>
        <v>243285</v>
      </c>
      <c r="CH168" s="27">
        <f t="shared" si="507"/>
        <v>0</v>
      </c>
      <c r="CI168" s="27">
        <f t="shared" si="506"/>
        <v>0</v>
      </c>
      <c r="CJ168" s="27">
        <f t="shared" ref="CJ168" si="508">SUM(CJ169+CJ171+CJ174+CJ177+CJ179)</f>
        <v>0</v>
      </c>
      <c r="CK168" s="27">
        <f t="shared" si="506"/>
        <v>825250</v>
      </c>
      <c r="CL168" s="27">
        <f t="shared" si="506"/>
        <v>0</v>
      </c>
      <c r="CM168" s="27">
        <f t="shared" ref="CM168" si="509">SUM(CM169+CM171+CM174+CM177+CM179)</f>
        <v>750616</v>
      </c>
      <c r="CN168" s="27">
        <f t="shared" si="506"/>
        <v>0</v>
      </c>
      <c r="CO168" s="27">
        <f t="shared" ref="CO168" si="510">SUM(CO169+CO171+CO174+CO177+CO179)</f>
        <v>74634</v>
      </c>
      <c r="CP168" s="27">
        <f t="shared" si="506"/>
        <v>0</v>
      </c>
      <c r="CQ168" s="27"/>
      <c r="CR168" s="27"/>
      <c r="CS168" s="27">
        <f t="shared" si="506"/>
        <v>0</v>
      </c>
      <c r="CT168" s="27"/>
      <c r="CU168" s="27"/>
      <c r="CV168" s="27"/>
      <c r="CW168" s="27">
        <f t="shared" si="506"/>
        <v>0</v>
      </c>
      <c r="CX168" s="27">
        <f t="shared" si="506"/>
        <v>0</v>
      </c>
      <c r="CY168" s="27">
        <f t="shared" si="506"/>
        <v>0</v>
      </c>
      <c r="CZ168" s="60">
        <f t="shared" si="506"/>
        <v>0</v>
      </c>
      <c r="DA168" s="57"/>
    </row>
    <row r="169" spans="1:105" s="58" customFormat="1" ht="15.75" x14ac:dyDescent="0.25">
      <c r="A169" s="79" t="s">
        <v>261</v>
      </c>
      <c r="B169" s="16" t="s">
        <v>1</v>
      </c>
      <c r="C169" s="17" t="s">
        <v>262</v>
      </c>
      <c r="D169" s="18">
        <f>SUM(D170)</f>
        <v>714961540</v>
      </c>
      <c r="E169" s="18">
        <f t="shared" ref="E169:BT169" si="511">SUM(E170)</f>
        <v>712100116</v>
      </c>
      <c r="F169" s="18">
        <f t="shared" si="511"/>
        <v>710168879</v>
      </c>
      <c r="G169" s="18">
        <f t="shared" si="511"/>
        <v>410436322</v>
      </c>
      <c r="H169" s="18">
        <f t="shared" si="511"/>
        <v>95628669</v>
      </c>
      <c r="I169" s="18">
        <f t="shared" si="511"/>
        <v>104864281</v>
      </c>
      <c r="J169" s="18">
        <f t="shared" si="511"/>
        <v>76407960</v>
      </c>
      <c r="K169" s="18">
        <f t="shared" si="511"/>
        <v>1046692</v>
      </c>
      <c r="L169" s="18">
        <f t="shared" si="511"/>
        <v>16623858</v>
      </c>
      <c r="M169" s="18">
        <f t="shared" si="511"/>
        <v>4220</v>
      </c>
      <c r="N169" s="18">
        <f t="shared" si="511"/>
        <v>8455136</v>
      </c>
      <c r="O169" s="18">
        <f t="shared" si="511"/>
        <v>2326415</v>
      </c>
      <c r="P169" s="18">
        <f t="shared" si="511"/>
        <v>0</v>
      </c>
      <c r="Q169" s="18">
        <f t="shared" si="511"/>
        <v>0</v>
      </c>
      <c r="R169" s="18">
        <f t="shared" si="511"/>
        <v>0</v>
      </c>
      <c r="S169" s="18">
        <f t="shared" si="511"/>
        <v>33187</v>
      </c>
      <c r="T169" s="18">
        <f t="shared" si="511"/>
        <v>991334</v>
      </c>
      <c r="U169" s="18">
        <f t="shared" si="511"/>
        <v>21409099</v>
      </c>
      <c r="V169" s="18">
        <f t="shared" si="511"/>
        <v>592658</v>
      </c>
      <c r="W169" s="18">
        <f t="shared" si="511"/>
        <v>9589817</v>
      </c>
      <c r="X169" s="18">
        <f t="shared" si="511"/>
        <v>6012581</v>
      </c>
      <c r="Y169" s="18">
        <f t="shared" si="511"/>
        <v>4422510</v>
      </c>
      <c r="Z169" s="18">
        <f t="shared" si="511"/>
        <v>714235</v>
      </c>
      <c r="AA169" s="18">
        <f t="shared" si="511"/>
        <v>0</v>
      </c>
      <c r="AB169" s="18">
        <f t="shared" si="511"/>
        <v>0</v>
      </c>
      <c r="AC169" s="18">
        <f t="shared" si="511"/>
        <v>77298</v>
      </c>
      <c r="AD169" s="18">
        <f t="shared" si="511"/>
        <v>76805987</v>
      </c>
      <c r="AE169" s="18">
        <f t="shared" si="511"/>
        <v>0</v>
      </c>
      <c r="AF169" s="18">
        <f t="shared" si="511"/>
        <v>0</v>
      </c>
      <c r="AG169" s="18">
        <f t="shared" si="511"/>
        <v>186843</v>
      </c>
      <c r="AH169" s="18">
        <f t="shared" si="511"/>
        <v>1037820</v>
      </c>
      <c r="AI169" s="18">
        <f t="shared" si="511"/>
        <v>0</v>
      </c>
      <c r="AJ169" s="18">
        <f t="shared" si="511"/>
        <v>6690</v>
      </c>
      <c r="AK169" s="18">
        <f t="shared" si="511"/>
        <v>0</v>
      </c>
      <c r="AL169" s="18">
        <f t="shared" si="511"/>
        <v>451794</v>
      </c>
      <c r="AM169" s="18">
        <f t="shared" si="511"/>
        <v>155395</v>
      </c>
      <c r="AN169" s="18">
        <f t="shared" si="511"/>
        <v>0</v>
      </c>
      <c r="AO169" s="18">
        <f t="shared" si="511"/>
        <v>3795</v>
      </c>
      <c r="AP169" s="18"/>
      <c r="AQ169" s="18">
        <f t="shared" si="511"/>
        <v>0</v>
      </c>
      <c r="AR169" s="18">
        <f t="shared" si="511"/>
        <v>1048513</v>
      </c>
      <c r="AS169" s="18">
        <f t="shared" si="511"/>
        <v>99622</v>
      </c>
      <c r="AT169" s="18">
        <f t="shared" si="511"/>
        <v>0</v>
      </c>
      <c r="AU169" s="18">
        <f t="shared" si="511"/>
        <v>991454</v>
      </c>
      <c r="AV169" s="18">
        <f t="shared" si="511"/>
        <v>6881399</v>
      </c>
      <c r="AW169" s="18">
        <f t="shared" si="511"/>
        <v>0</v>
      </c>
      <c r="AX169" s="18">
        <f t="shared" si="511"/>
        <v>0</v>
      </c>
      <c r="AY169" s="18">
        <f t="shared" si="511"/>
        <v>23176277</v>
      </c>
      <c r="AZ169" s="18">
        <f t="shared" si="511"/>
        <v>42766385</v>
      </c>
      <c r="BA169" s="18">
        <f t="shared" si="511"/>
        <v>1931237</v>
      </c>
      <c r="BB169" s="18">
        <f t="shared" si="511"/>
        <v>0</v>
      </c>
      <c r="BC169" s="18">
        <f t="shared" si="511"/>
        <v>0</v>
      </c>
      <c r="BD169" s="18">
        <f t="shared" si="511"/>
        <v>0</v>
      </c>
      <c r="BE169" s="18">
        <f t="shared" si="511"/>
        <v>0</v>
      </c>
      <c r="BF169" s="18">
        <f t="shared" si="511"/>
        <v>0</v>
      </c>
      <c r="BG169" s="18">
        <f t="shared" si="511"/>
        <v>0</v>
      </c>
      <c r="BH169" s="18">
        <f t="shared" si="511"/>
        <v>0</v>
      </c>
      <c r="BI169" s="18">
        <f t="shared" si="511"/>
        <v>0</v>
      </c>
      <c r="BJ169" s="18">
        <f t="shared" si="511"/>
        <v>0</v>
      </c>
      <c r="BK169" s="18">
        <f t="shared" si="511"/>
        <v>0</v>
      </c>
      <c r="BL169" s="18">
        <f t="shared" si="511"/>
        <v>0</v>
      </c>
      <c r="BM169" s="18">
        <f t="shared" si="511"/>
        <v>0</v>
      </c>
      <c r="BN169" s="18">
        <f t="shared" si="511"/>
        <v>1931237</v>
      </c>
      <c r="BO169" s="18">
        <f t="shared" si="511"/>
        <v>0</v>
      </c>
      <c r="BP169" s="18">
        <f t="shared" si="511"/>
        <v>0</v>
      </c>
      <c r="BQ169" s="18">
        <f t="shared" si="511"/>
        <v>0</v>
      </c>
      <c r="BR169" s="18">
        <f t="shared" si="511"/>
        <v>0</v>
      </c>
      <c r="BS169" s="18">
        <f t="shared" si="511"/>
        <v>0</v>
      </c>
      <c r="BT169" s="18">
        <f t="shared" si="511"/>
        <v>0</v>
      </c>
      <c r="BU169" s="18">
        <f t="shared" ref="BU169:CZ169" si="512">SUM(BU170)</f>
        <v>0</v>
      </c>
      <c r="BV169" s="18">
        <f t="shared" si="512"/>
        <v>0</v>
      </c>
      <c r="BW169" s="18">
        <f t="shared" si="512"/>
        <v>0</v>
      </c>
      <c r="BX169" s="18">
        <f t="shared" si="512"/>
        <v>0</v>
      </c>
      <c r="BY169" s="18">
        <f t="shared" si="512"/>
        <v>1931237</v>
      </c>
      <c r="BZ169" s="18">
        <f t="shared" si="512"/>
        <v>2861424</v>
      </c>
      <c r="CA169" s="18">
        <f t="shared" si="512"/>
        <v>2861424</v>
      </c>
      <c r="CB169" s="18">
        <f t="shared" si="512"/>
        <v>1867523</v>
      </c>
      <c r="CC169" s="18">
        <f t="shared" si="512"/>
        <v>0</v>
      </c>
      <c r="CD169" s="18">
        <f t="shared" si="512"/>
        <v>1867523</v>
      </c>
      <c r="CE169" s="18">
        <f t="shared" si="512"/>
        <v>243285</v>
      </c>
      <c r="CF169" s="18">
        <f t="shared" si="512"/>
        <v>0</v>
      </c>
      <c r="CG169" s="18">
        <f t="shared" si="512"/>
        <v>243285</v>
      </c>
      <c r="CH169" s="18">
        <f t="shared" si="512"/>
        <v>0</v>
      </c>
      <c r="CI169" s="18">
        <f t="shared" si="512"/>
        <v>0</v>
      </c>
      <c r="CJ169" s="18">
        <f t="shared" si="512"/>
        <v>0</v>
      </c>
      <c r="CK169" s="18">
        <f t="shared" si="512"/>
        <v>750616</v>
      </c>
      <c r="CL169" s="18">
        <f t="shared" si="512"/>
        <v>0</v>
      </c>
      <c r="CM169" s="18">
        <f t="shared" si="512"/>
        <v>750616</v>
      </c>
      <c r="CN169" s="18">
        <f t="shared" si="512"/>
        <v>0</v>
      </c>
      <c r="CO169" s="18"/>
      <c r="CP169" s="18"/>
      <c r="CQ169" s="18"/>
      <c r="CR169" s="18"/>
      <c r="CS169" s="18">
        <f t="shared" si="512"/>
        <v>0</v>
      </c>
      <c r="CT169" s="18"/>
      <c r="CU169" s="18"/>
      <c r="CV169" s="18"/>
      <c r="CW169" s="18">
        <f t="shared" si="512"/>
        <v>0</v>
      </c>
      <c r="CX169" s="18">
        <f t="shared" si="512"/>
        <v>0</v>
      </c>
      <c r="CY169" s="18">
        <f t="shared" si="512"/>
        <v>0</v>
      </c>
      <c r="CZ169" s="46">
        <f t="shared" si="512"/>
        <v>0</v>
      </c>
      <c r="DA169" s="57"/>
    </row>
    <row r="170" spans="1:105" ht="15.75" x14ac:dyDescent="0.25">
      <c r="A170" s="80" t="s">
        <v>1</v>
      </c>
      <c r="B170" s="21" t="s">
        <v>84</v>
      </c>
      <c r="C170" s="22" t="s">
        <v>262</v>
      </c>
      <c r="D170" s="18">
        <f>SUM(E170+BZ170+CW170)</f>
        <v>714961540</v>
      </c>
      <c r="E170" s="19">
        <f>SUM(F170+BA170)</f>
        <v>712100116</v>
      </c>
      <c r="F170" s="19">
        <f>SUM(G170+H170+I170+P170+S170+T170+U170+AD170)</f>
        <v>710168879</v>
      </c>
      <c r="G170" s="23">
        <f>343938378+66497944</f>
        <v>410436322</v>
      </c>
      <c r="H170" s="23">
        <f>78486095+17142574</f>
        <v>95628669</v>
      </c>
      <c r="I170" s="19">
        <f t="shared" si="354"/>
        <v>104864281</v>
      </c>
      <c r="J170" s="23">
        <v>76407960</v>
      </c>
      <c r="K170" s="23">
        <v>1046692</v>
      </c>
      <c r="L170" s="23">
        <v>16623858</v>
      </c>
      <c r="M170" s="23">
        <v>4220</v>
      </c>
      <c r="N170" s="23">
        <v>8455136</v>
      </c>
      <c r="O170" s="23">
        <f>2712655-386240</f>
        <v>2326415</v>
      </c>
      <c r="P170" s="19">
        <f t="shared" si="355"/>
        <v>0</v>
      </c>
      <c r="Q170" s="19">
        <v>0</v>
      </c>
      <c r="R170" s="19"/>
      <c r="S170" s="19">
        <v>33187</v>
      </c>
      <c r="T170" s="23">
        <v>991334</v>
      </c>
      <c r="U170" s="19">
        <f t="shared" ref="U170" si="513">SUM(V170:AC170)</f>
        <v>21409099</v>
      </c>
      <c r="V170" s="23">
        <v>592658</v>
      </c>
      <c r="W170" s="23">
        <f>9518416+71401</f>
        <v>9589817</v>
      </c>
      <c r="X170" s="23">
        <v>6012581</v>
      </c>
      <c r="Y170" s="23">
        <v>4422510</v>
      </c>
      <c r="Z170" s="23">
        <v>714235</v>
      </c>
      <c r="AA170" s="23">
        <v>0</v>
      </c>
      <c r="AB170" s="23">
        <v>0</v>
      </c>
      <c r="AC170" s="23">
        <v>77298</v>
      </c>
      <c r="AD170" s="19">
        <f>SUM(AE170:AZ170)</f>
        <v>76805987</v>
      </c>
      <c r="AE170" s="19">
        <v>0</v>
      </c>
      <c r="AF170" s="19">
        <v>0</v>
      </c>
      <c r="AG170" s="23">
        <f>232164-45321</f>
        <v>186843</v>
      </c>
      <c r="AH170" s="23">
        <f>992499+45321</f>
        <v>1037820</v>
      </c>
      <c r="AI170" s="23">
        <v>0</v>
      </c>
      <c r="AJ170" s="23">
        <v>6690</v>
      </c>
      <c r="AK170" s="23">
        <v>0</v>
      </c>
      <c r="AL170" s="23">
        <v>451794</v>
      </c>
      <c r="AM170" s="23">
        <v>155395</v>
      </c>
      <c r="AN170" s="23">
        <v>0</v>
      </c>
      <c r="AO170" s="23">
        <v>3795</v>
      </c>
      <c r="AP170" s="23"/>
      <c r="AQ170" s="23">
        <v>0</v>
      </c>
      <c r="AR170" s="23">
        <v>1048513</v>
      </c>
      <c r="AS170" s="23">
        <v>99622</v>
      </c>
      <c r="AT170" s="23">
        <v>0</v>
      </c>
      <c r="AU170" s="23">
        <v>991454</v>
      </c>
      <c r="AV170" s="23">
        <v>6881399</v>
      </c>
      <c r="AW170" s="23">
        <v>0</v>
      </c>
      <c r="AX170" s="23">
        <v>0</v>
      </c>
      <c r="AY170" s="23">
        <v>23176277</v>
      </c>
      <c r="AZ170" s="23">
        <v>42766385</v>
      </c>
      <c r="BA170" s="19">
        <f>SUM(BB170+BF170+BI170+BK170+BN170)</f>
        <v>1931237</v>
      </c>
      <c r="BB170" s="19">
        <f>SUM(BC170:BE170)</f>
        <v>0</v>
      </c>
      <c r="BC170" s="19">
        <v>0</v>
      </c>
      <c r="BD170" s="19">
        <v>0</v>
      </c>
      <c r="BE170" s="19">
        <v>0</v>
      </c>
      <c r="BF170" s="19">
        <f>SUM(BH170:BH170)</f>
        <v>0</v>
      </c>
      <c r="BG170" s="19">
        <v>0</v>
      </c>
      <c r="BH170" s="19">
        <v>0</v>
      </c>
      <c r="BI170" s="19">
        <v>0</v>
      </c>
      <c r="BJ170" s="19">
        <v>0</v>
      </c>
      <c r="BK170" s="19">
        <f t="shared" si="357"/>
        <v>0</v>
      </c>
      <c r="BL170" s="19">
        <v>0</v>
      </c>
      <c r="BM170" s="19">
        <v>0</v>
      </c>
      <c r="BN170" s="19">
        <f>SUM(BO170:BY170)</f>
        <v>1931237</v>
      </c>
      <c r="BO170" s="19">
        <v>0</v>
      </c>
      <c r="BP170" s="19">
        <v>0</v>
      </c>
      <c r="BQ170" s="19">
        <v>0</v>
      </c>
      <c r="BR170" s="19">
        <v>0</v>
      </c>
      <c r="BS170" s="19">
        <v>0</v>
      </c>
      <c r="BT170" s="19">
        <v>0</v>
      </c>
      <c r="BU170" s="19">
        <v>0</v>
      </c>
      <c r="BV170" s="19">
        <v>0</v>
      </c>
      <c r="BW170" s="19">
        <v>0</v>
      </c>
      <c r="BX170" s="19">
        <v>0</v>
      </c>
      <c r="BY170" s="23">
        <v>1931237</v>
      </c>
      <c r="BZ170" s="19">
        <f>SUM(CA170+CS170)</f>
        <v>2861424</v>
      </c>
      <c r="CA170" s="19">
        <f>SUM(CB170+CE170+CK170)</f>
        <v>2861424</v>
      </c>
      <c r="CB170" s="19">
        <f t="shared" si="358"/>
        <v>1867523</v>
      </c>
      <c r="CC170" s="19">
        <v>0</v>
      </c>
      <c r="CD170" s="23">
        <v>1867523</v>
      </c>
      <c r="CE170" s="19">
        <f>SUM(CF170:CJ170)</f>
        <v>243285</v>
      </c>
      <c r="CF170" s="19">
        <v>0</v>
      </c>
      <c r="CG170" s="19">
        <v>243285</v>
      </c>
      <c r="CH170" s="19">
        <v>0</v>
      </c>
      <c r="CI170" s="19">
        <v>0</v>
      </c>
      <c r="CJ170" s="19">
        <v>0</v>
      </c>
      <c r="CK170" s="19">
        <f>SUM(CL170:CP170)</f>
        <v>750616</v>
      </c>
      <c r="CL170" s="23"/>
      <c r="CM170" s="23">
        <v>750616</v>
      </c>
      <c r="CN170" s="19">
        <v>0</v>
      </c>
      <c r="CO170" s="19"/>
      <c r="CP170" s="19"/>
      <c r="CQ170" s="19"/>
      <c r="CR170" s="19"/>
      <c r="CS170" s="19">
        <v>0</v>
      </c>
      <c r="CT170" s="19"/>
      <c r="CU170" s="19"/>
      <c r="CV170" s="19"/>
      <c r="CW170" s="19">
        <f t="shared" si="360"/>
        <v>0</v>
      </c>
      <c r="CX170" s="19">
        <f t="shared" si="361"/>
        <v>0</v>
      </c>
      <c r="CY170" s="19">
        <v>0</v>
      </c>
      <c r="CZ170" s="20">
        <v>0</v>
      </c>
    </row>
    <row r="171" spans="1:105" s="58" customFormat="1" ht="31.5" x14ac:dyDescent="0.25">
      <c r="A171" s="79" t="s">
        <v>263</v>
      </c>
      <c r="B171" s="16" t="s">
        <v>1</v>
      </c>
      <c r="C171" s="17" t="s">
        <v>264</v>
      </c>
      <c r="D171" s="18">
        <f>SUM(D172:D173)</f>
        <v>164719961</v>
      </c>
      <c r="E171" s="18">
        <f t="shared" ref="E171:BT171" si="514">SUM(E172:E173)</f>
        <v>164351628</v>
      </c>
      <c r="F171" s="18">
        <f t="shared" si="514"/>
        <v>164297581</v>
      </c>
      <c r="G171" s="18">
        <f t="shared" si="514"/>
        <v>108638106</v>
      </c>
      <c r="H171" s="18">
        <f t="shared" si="514"/>
        <v>25755694</v>
      </c>
      <c r="I171" s="18">
        <f t="shared" si="514"/>
        <v>19426164</v>
      </c>
      <c r="J171" s="18">
        <f t="shared" si="514"/>
        <v>11001810</v>
      </c>
      <c r="K171" s="18">
        <f t="shared" si="514"/>
        <v>83340</v>
      </c>
      <c r="L171" s="18">
        <f t="shared" si="514"/>
        <v>0</v>
      </c>
      <c r="M171" s="18">
        <f t="shared" si="514"/>
        <v>0</v>
      </c>
      <c r="N171" s="18">
        <f t="shared" si="514"/>
        <v>8171242</v>
      </c>
      <c r="O171" s="18">
        <f t="shared" si="514"/>
        <v>169772</v>
      </c>
      <c r="P171" s="18">
        <f t="shared" si="514"/>
        <v>0</v>
      </c>
      <c r="Q171" s="18">
        <f t="shared" si="514"/>
        <v>0</v>
      </c>
      <c r="R171" s="18">
        <f t="shared" si="514"/>
        <v>0</v>
      </c>
      <c r="S171" s="18">
        <f t="shared" si="514"/>
        <v>0</v>
      </c>
      <c r="T171" s="18">
        <f t="shared" si="514"/>
        <v>544476</v>
      </c>
      <c r="U171" s="18">
        <f t="shared" si="514"/>
        <v>2434650</v>
      </c>
      <c r="V171" s="18">
        <f t="shared" si="514"/>
        <v>128571</v>
      </c>
      <c r="W171" s="18">
        <f t="shared" si="514"/>
        <v>1224236</v>
      </c>
      <c r="X171" s="18">
        <f t="shared" si="514"/>
        <v>695613</v>
      </c>
      <c r="Y171" s="18">
        <f t="shared" si="514"/>
        <v>279863</v>
      </c>
      <c r="Z171" s="18">
        <f t="shared" si="514"/>
        <v>67389</v>
      </c>
      <c r="AA171" s="18">
        <f t="shared" si="514"/>
        <v>0</v>
      </c>
      <c r="AB171" s="18">
        <f t="shared" si="514"/>
        <v>0</v>
      </c>
      <c r="AC171" s="18">
        <f t="shared" si="514"/>
        <v>38978</v>
      </c>
      <c r="AD171" s="18">
        <f t="shared" si="514"/>
        <v>7498491</v>
      </c>
      <c r="AE171" s="18">
        <f t="shared" si="514"/>
        <v>0</v>
      </c>
      <c r="AF171" s="18">
        <f t="shared" si="514"/>
        <v>0</v>
      </c>
      <c r="AG171" s="18">
        <f t="shared" si="514"/>
        <v>56078</v>
      </c>
      <c r="AH171" s="18">
        <f t="shared" si="514"/>
        <v>109276</v>
      </c>
      <c r="AI171" s="18">
        <f t="shared" si="514"/>
        <v>0</v>
      </c>
      <c r="AJ171" s="18">
        <f t="shared" si="514"/>
        <v>1163</v>
      </c>
      <c r="AK171" s="18">
        <f t="shared" si="514"/>
        <v>0</v>
      </c>
      <c r="AL171" s="18">
        <f t="shared" si="514"/>
        <v>3367</v>
      </c>
      <c r="AM171" s="18">
        <f t="shared" si="514"/>
        <v>40291</v>
      </c>
      <c r="AN171" s="18">
        <f t="shared" si="514"/>
        <v>0</v>
      </c>
      <c r="AO171" s="18">
        <f t="shared" si="514"/>
        <v>360</v>
      </c>
      <c r="AP171" s="18"/>
      <c r="AQ171" s="18">
        <f t="shared" si="514"/>
        <v>0</v>
      </c>
      <c r="AR171" s="18">
        <f t="shared" si="514"/>
        <v>439970</v>
      </c>
      <c r="AS171" s="18">
        <f t="shared" si="514"/>
        <v>27600</v>
      </c>
      <c r="AT171" s="18">
        <f t="shared" si="514"/>
        <v>0</v>
      </c>
      <c r="AU171" s="18">
        <f t="shared" si="514"/>
        <v>801034</v>
      </c>
      <c r="AV171" s="18">
        <f t="shared" si="514"/>
        <v>0</v>
      </c>
      <c r="AW171" s="18">
        <f t="shared" si="514"/>
        <v>0</v>
      </c>
      <c r="AX171" s="18">
        <f t="shared" si="514"/>
        <v>0</v>
      </c>
      <c r="AY171" s="18"/>
      <c r="AZ171" s="18">
        <f t="shared" si="514"/>
        <v>6019352</v>
      </c>
      <c r="BA171" s="18">
        <f t="shared" si="514"/>
        <v>54047</v>
      </c>
      <c r="BB171" s="18">
        <f t="shared" si="514"/>
        <v>0</v>
      </c>
      <c r="BC171" s="18">
        <f t="shared" si="514"/>
        <v>0</v>
      </c>
      <c r="BD171" s="18">
        <f t="shared" si="514"/>
        <v>0</v>
      </c>
      <c r="BE171" s="18">
        <f t="shared" si="514"/>
        <v>0</v>
      </c>
      <c r="BF171" s="18">
        <f t="shared" si="514"/>
        <v>0</v>
      </c>
      <c r="BG171" s="18">
        <f t="shared" si="514"/>
        <v>0</v>
      </c>
      <c r="BH171" s="18">
        <f t="shared" si="514"/>
        <v>0</v>
      </c>
      <c r="BI171" s="18">
        <f t="shared" si="514"/>
        <v>0</v>
      </c>
      <c r="BJ171" s="18">
        <f t="shared" ref="BJ171" si="515">SUM(BJ172:BJ173)</f>
        <v>0</v>
      </c>
      <c r="BK171" s="18">
        <f t="shared" si="514"/>
        <v>0</v>
      </c>
      <c r="BL171" s="18">
        <f t="shared" si="514"/>
        <v>0</v>
      </c>
      <c r="BM171" s="18">
        <f t="shared" ref="BM171" si="516">SUM(BM172:BM173)</f>
        <v>0</v>
      </c>
      <c r="BN171" s="18">
        <f t="shared" si="514"/>
        <v>54047</v>
      </c>
      <c r="BO171" s="18">
        <f t="shared" si="514"/>
        <v>0</v>
      </c>
      <c r="BP171" s="18">
        <f t="shared" si="514"/>
        <v>0</v>
      </c>
      <c r="BQ171" s="18">
        <f t="shared" si="514"/>
        <v>0</v>
      </c>
      <c r="BR171" s="18">
        <f t="shared" si="514"/>
        <v>0</v>
      </c>
      <c r="BS171" s="18">
        <f t="shared" si="514"/>
        <v>0</v>
      </c>
      <c r="BT171" s="18">
        <f t="shared" si="514"/>
        <v>0</v>
      </c>
      <c r="BU171" s="18">
        <f t="shared" ref="BU171:CZ171" si="517">SUM(BU172:BU173)</f>
        <v>0</v>
      </c>
      <c r="BV171" s="18">
        <f t="shared" si="517"/>
        <v>0</v>
      </c>
      <c r="BW171" s="18">
        <f t="shared" si="517"/>
        <v>0</v>
      </c>
      <c r="BX171" s="18">
        <f t="shared" si="517"/>
        <v>0</v>
      </c>
      <c r="BY171" s="18">
        <f t="shared" si="517"/>
        <v>54047</v>
      </c>
      <c r="BZ171" s="18">
        <f t="shared" si="517"/>
        <v>368333</v>
      </c>
      <c r="CA171" s="18">
        <f t="shared" si="517"/>
        <v>368333</v>
      </c>
      <c r="CB171" s="18">
        <f t="shared" si="517"/>
        <v>293699</v>
      </c>
      <c r="CC171" s="18">
        <f t="shared" si="517"/>
        <v>0</v>
      </c>
      <c r="CD171" s="18">
        <f t="shared" si="517"/>
        <v>293699</v>
      </c>
      <c r="CE171" s="18">
        <f t="shared" si="517"/>
        <v>0</v>
      </c>
      <c r="CF171" s="18">
        <f t="shared" si="517"/>
        <v>0</v>
      </c>
      <c r="CG171" s="18">
        <f t="shared" ref="CG171:CH171" si="518">SUM(CG172:CG173)</f>
        <v>0</v>
      </c>
      <c r="CH171" s="18">
        <f t="shared" si="518"/>
        <v>0</v>
      </c>
      <c r="CI171" s="18">
        <f t="shared" si="517"/>
        <v>0</v>
      </c>
      <c r="CJ171" s="18">
        <f t="shared" ref="CJ171" si="519">SUM(CJ172:CJ173)</f>
        <v>0</v>
      </c>
      <c r="CK171" s="18">
        <f t="shared" si="517"/>
        <v>74634</v>
      </c>
      <c r="CL171" s="18">
        <f t="shared" si="517"/>
        <v>0</v>
      </c>
      <c r="CM171" s="18">
        <f t="shared" ref="CM171" si="520">SUM(CM172:CM173)</f>
        <v>0</v>
      </c>
      <c r="CN171" s="18">
        <f t="shared" si="517"/>
        <v>0</v>
      </c>
      <c r="CO171" s="18">
        <f t="shared" ref="CO171" si="521">SUM(CO172:CO173)</f>
        <v>74634</v>
      </c>
      <c r="CP171" s="18">
        <f t="shared" si="517"/>
        <v>0</v>
      </c>
      <c r="CQ171" s="18"/>
      <c r="CR171" s="18"/>
      <c r="CS171" s="18">
        <f t="shared" si="517"/>
        <v>0</v>
      </c>
      <c r="CT171" s="18"/>
      <c r="CU171" s="18"/>
      <c r="CV171" s="18"/>
      <c r="CW171" s="18">
        <f t="shared" si="517"/>
        <v>0</v>
      </c>
      <c r="CX171" s="18">
        <f t="shared" si="517"/>
        <v>0</v>
      </c>
      <c r="CY171" s="18">
        <f t="shared" si="517"/>
        <v>0</v>
      </c>
      <c r="CZ171" s="46">
        <f t="shared" si="517"/>
        <v>0</v>
      </c>
      <c r="DA171" s="57"/>
    </row>
    <row r="172" spans="1:105" ht="15.75" x14ac:dyDescent="0.25">
      <c r="A172" s="80" t="s">
        <v>1</v>
      </c>
      <c r="B172" s="21" t="s">
        <v>84</v>
      </c>
      <c r="C172" s="22" t="s">
        <v>265</v>
      </c>
      <c r="D172" s="18">
        <f>SUM(E172+BZ172+CW172)</f>
        <v>115911475</v>
      </c>
      <c r="E172" s="19">
        <f>SUM(F172+BA172)</f>
        <v>115695020</v>
      </c>
      <c r="F172" s="19">
        <f t="shared" ref="F172:F173" si="522">SUM(G172+H172+I172+P172+S172+T172+U172+AD172)</f>
        <v>115695020</v>
      </c>
      <c r="G172" s="23">
        <f>61324586+15544471</f>
        <v>76869057</v>
      </c>
      <c r="H172" s="23">
        <f>14230539+3950507</f>
        <v>18181046</v>
      </c>
      <c r="I172" s="19">
        <f t="shared" si="354"/>
        <v>10695258</v>
      </c>
      <c r="J172" s="23">
        <v>10051995</v>
      </c>
      <c r="K172" s="23">
        <v>0</v>
      </c>
      <c r="L172" s="23">
        <v>0</v>
      </c>
      <c r="M172" s="23">
        <v>0</v>
      </c>
      <c r="N172" s="23">
        <v>516962</v>
      </c>
      <c r="O172" s="23">
        <v>126301</v>
      </c>
      <c r="P172" s="19">
        <f t="shared" si="355"/>
        <v>0</v>
      </c>
      <c r="Q172" s="19">
        <v>0</v>
      </c>
      <c r="R172" s="19"/>
      <c r="S172" s="19"/>
      <c r="T172" s="23">
        <v>456138</v>
      </c>
      <c r="U172" s="19">
        <f t="shared" ref="U172:U173" si="523">SUM(V172:AC172)</f>
        <v>2180042</v>
      </c>
      <c r="V172" s="23">
        <v>124761</v>
      </c>
      <c r="W172" s="23">
        <f>1089126+14859</f>
        <v>1103985</v>
      </c>
      <c r="X172" s="23">
        <v>601804</v>
      </c>
      <c r="Y172" s="23">
        <v>247076</v>
      </c>
      <c r="Z172" s="23">
        <v>63438</v>
      </c>
      <c r="AA172" s="23">
        <v>0</v>
      </c>
      <c r="AB172" s="23">
        <v>0</v>
      </c>
      <c r="AC172" s="23">
        <v>38978</v>
      </c>
      <c r="AD172" s="19">
        <f>SUM(AE172:AZ172)</f>
        <v>7313479</v>
      </c>
      <c r="AE172" s="19">
        <v>0</v>
      </c>
      <c r="AF172" s="19">
        <v>0</v>
      </c>
      <c r="AG172" s="23">
        <v>55366</v>
      </c>
      <c r="AH172" s="23">
        <v>109276</v>
      </c>
      <c r="AI172" s="23">
        <v>0</v>
      </c>
      <c r="AJ172" s="23">
        <v>642</v>
      </c>
      <c r="AK172" s="23">
        <v>0</v>
      </c>
      <c r="AL172" s="23">
        <v>3156</v>
      </c>
      <c r="AM172" s="23">
        <v>0</v>
      </c>
      <c r="AN172" s="23">
        <v>0</v>
      </c>
      <c r="AO172" s="23">
        <v>0</v>
      </c>
      <c r="AP172" s="23"/>
      <c r="AQ172" s="23">
        <v>0</v>
      </c>
      <c r="AR172" s="23">
        <v>392155</v>
      </c>
      <c r="AS172" s="23">
        <v>0</v>
      </c>
      <c r="AT172" s="23">
        <v>0</v>
      </c>
      <c r="AU172" s="23">
        <v>801034</v>
      </c>
      <c r="AV172" s="23">
        <v>0</v>
      </c>
      <c r="AW172" s="23">
        <v>0</v>
      </c>
      <c r="AX172" s="23">
        <v>0</v>
      </c>
      <c r="AY172" s="23">
        <v>0</v>
      </c>
      <c r="AZ172" s="23">
        <v>5951850</v>
      </c>
      <c r="BA172" s="19">
        <f>SUM(BB172+BF172+BI172+BK172+BN172)</f>
        <v>0</v>
      </c>
      <c r="BB172" s="19">
        <f>SUM(BC172:BE172)</f>
        <v>0</v>
      </c>
      <c r="BC172" s="19">
        <v>0</v>
      </c>
      <c r="BD172" s="19">
        <v>0</v>
      </c>
      <c r="BE172" s="19">
        <v>0</v>
      </c>
      <c r="BF172" s="19">
        <f>SUM(BH172:BH172)</f>
        <v>0</v>
      </c>
      <c r="BG172" s="19">
        <v>0</v>
      </c>
      <c r="BH172" s="19">
        <v>0</v>
      </c>
      <c r="BI172" s="19">
        <v>0</v>
      </c>
      <c r="BJ172" s="19">
        <v>0</v>
      </c>
      <c r="BK172" s="19">
        <f t="shared" si="357"/>
        <v>0</v>
      </c>
      <c r="BL172" s="19">
        <v>0</v>
      </c>
      <c r="BM172" s="19">
        <v>0</v>
      </c>
      <c r="BN172" s="19">
        <f>SUM(BO172:BY172)</f>
        <v>0</v>
      </c>
      <c r="BO172" s="19">
        <v>0</v>
      </c>
      <c r="BP172" s="19">
        <v>0</v>
      </c>
      <c r="BQ172" s="19">
        <v>0</v>
      </c>
      <c r="BR172" s="19">
        <v>0</v>
      </c>
      <c r="BS172" s="19">
        <v>0</v>
      </c>
      <c r="BT172" s="19">
        <v>0</v>
      </c>
      <c r="BU172" s="19">
        <v>0</v>
      </c>
      <c r="BV172" s="19">
        <v>0</v>
      </c>
      <c r="BW172" s="19">
        <v>0</v>
      </c>
      <c r="BX172" s="19">
        <v>0</v>
      </c>
      <c r="BY172" s="23">
        <v>0</v>
      </c>
      <c r="BZ172" s="19">
        <f>SUM(CA172+CS172)</f>
        <v>216455</v>
      </c>
      <c r="CA172" s="19">
        <f>SUM(CB172+CE172+CK172)</f>
        <v>216455</v>
      </c>
      <c r="CB172" s="19">
        <f t="shared" si="358"/>
        <v>216455</v>
      </c>
      <c r="CC172" s="19">
        <v>0</v>
      </c>
      <c r="CD172" s="23">
        <v>216455</v>
      </c>
      <c r="CE172" s="19">
        <f>SUM(CF172:CJ172)</f>
        <v>0</v>
      </c>
      <c r="CF172" s="19">
        <v>0</v>
      </c>
      <c r="CG172" s="19">
        <v>0</v>
      </c>
      <c r="CH172" s="19">
        <v>0</v>
      </c>
      <c r="CI172" s="19">
        <v>0</v>
      </c>
      <c r="CJ172" s="19">
        <v>0</v>
      </c>
      <c r="CK172" s="19">
        <f>SUM(CL172:CP172)</f>
        <v>0</v>
      </c>
      <c r="CL172" s="23"/>
      <c r="CM172" s="23"/>
      <c r="CN172" s="23">
        <v>0</v>
      </c>
      <c r="CO172" s="23">
        <v>0</v>
      </c>
      <c r="CP172" s="23">
        <v>0</v>
      </c>
      <c r="CQ172" s="23"/>
      <c r="CR172" s="23"/>
      <c r="CS172" s="19">
        <v>0</v>
      </c>
      <c r="CT172" s="19"/>
      <c r="CU172" s="19"/>
      <c r="CV172" s="19"/>
      <c r="CW172" s="19">
        <f t="shared" si="360"/>
        <v>0</v>
      </c>
      <c r="CX172" s="19">
        <f t="shared" si="361"/>
        <v>0</v>
      </c>
      <c r="CY172" s="19">
        <v>0</v>
      </c>
      <c r="CZ172" s="20">
        <v>0</v>
      </c>
    </row>
    <row r="173" spans="1:105" ht="15.75" x14ac:dyDescent="0.25">
      <c r="A173" s="80" t="s">
        <v>1</v>
      </c>
      <c r="B173" s="21" t="s">
        <v>84</v>
      </c>
      <c r="C173" s="22" t="s">
        <v>266</v>
      </c>
      <c r="D173" s="18">
        <f>SUM(E173+BZ173+CW173)</f>
        <v>48808486</v>
      </c>
      <c r="E173" s="19">
        <f>SUM(F173+BA173)</f>
        <v>48656608</v>
      </c>
      <c r="F173" s="19">
        <f t="shared" si="522"/>
        <v>48602561</v>
      </c>
      <c r="G173" s="23">
        <f>21859856+9909193</f>
        <v>31769049</v>
      </c>
      <c r="H173" s="23">
        <f>5072633+2502015</f>
        <v>7574648</v>
      </c>
      <c r="I173" s="19">
        <f t="shared" si="354"/>
        <v>8730906</v>
      </c>
      <c r="J173" s="23">
        <v>949815</v>
      </c>
      <c r="K173" s="23">
        <v>83340</v>
      </c>
      <c r="L173" s="23">
        <v>0</v>
      </c>
      <c r="M173" s="23">
        <v>0</v>
      </c>
      <c r="N173" s="23">
        <v>7654280</v>
      </c>
      <c r="O173" s="23">
        <v>43471</v>
      </c>
      <c r="P173" s="19">
        <f t="shared" si="355"/>
        <v>0</v>
      </c>
      <c r="Q173" s="19">
        <v>0</v>
      </c>
      <c r="R173" s="23"/>
      <c r="S173" s="19"/>
      <c r="T173" s="23">
        <v>88338</v>
      </c>
      <c r="U173" s="19">
        <f t="shared" si="523"/>
        <v>254608</v>
      </c>
      <c r="V173" s="23">
        <v>3810</v>
      </c>
      <c r="W173" s="23">
        <f>119351+900</f>
        <v>120251</v>
      </c>
      <c r="X173" s="23">
        <v>93809</v>
      </c>
      <c r="Y173" s="23">
        <v>32787</v>
      </c>
      <c r="Z173" s="23">
        <v>3951</v>
      </c>
      <c r="AA173" s="23">
        <v>0</v>
      </c>
      <c r="AB173" s="23">
        <v>0</v>
      </c>
      <c r="AC173" s="23">
        <v>0</v>
      </c>
      <c r="AD173" s="19">
        <f>SUM(AE173:AZ173)</f>
        <v>185012</v>
      </c>
      <c r="AE173" s="19">
        <v>0</v>
      </c>
      <c r="AF173" s="19">
        <v>0</v>
      </c>
      <c r="AG173" s="23">
        <v>712</v>
      </c>
      <c r="AH173" s="23">
        <v>0</v>
      </c>
      <c r="AI173" s="23">
        <v>0</v>
      </c>
      <c r="AJ173" s="23">
        <v>521</v>
      </c>
      <c r="AK173" s="23">
        <v>0</v>
      </c>
      <c r="AL173" s="23">
        <v>211</v>
      </c>
      <c r="AM173" s="23">
        <v>40291</v>
      </c>
      <c r="AN173" s="23">
        <v>0</v>
      </c>
      <c r="AO173" s="23">
        <v>360</v>
      </c>
      <c r="AP173" s="23"/>
      <c r="AQ173" s="23">
        <v>0</v>
      </c>
      <c r="AR173" s="23">
        <v>47815</v>
      </c>
      <c r="AS173" s="23">
        <v>27600</v>
      </c>
      <c r="AT173" s="23">
        <v>0</v>
      </c>
      <c r="AU173" s="23">
        <v>0</v>
      </c>
      <c r="AV173" s="23">
        <v>0</v>
      </c>
      <c r="AW173" s="23">
        <v>0</v>
      </c>
      <c r="AX173" s="23">
        <v>0</v>
      </c>
      <c r="AY173" s="23">
        <v>0</v>
      </c>
      <c r="AZ173" s="23">
        <v>67502</v>
      </c>
      <c r="BA173" s="19">
        <f>SUM(BB173+BF173+BI173+BK173+BN173)</f>
        <v>54047</v>
      </c>
      <c r="BB173" s="19">
        <f>SUM(BC173:BE173)</f>
        <v>0</v>
      </c>
      <c r="BC173" s="19">
        <v>0</v>
      </c>
      <c r="BD173" s="19">
        <v>0</v>
      </c>
      <c r="BE173" s="19">
        <v>0</v>
      </c>
      <c r="BF173" s="19">
        <f>SUM(BH173:BH173)</f>
        <v>0</v>
      </c>
      <c r="BG173" s="19">
        <v>0</v>
      </c>
      <c r="BH173" s="19">
        <v>0</v>
      </c>
      <c r="BI173" s="19">
        <v>0</v>
      </c>
      <c r="BJ173" s="19">
        <v>0</v>
      </c>
      <c r="BK173" s="19">
        <f t="shared" si="357"/>
        <v>0</v>
      </c>
      <c r="BL173" s="19">
        <v>0</v>
      </c>
      <c r="BM173" s="19">
        <v>0</v>
      </c>
      <c r="BN173" s="19">
        <f>SUM(BO173:BY173)</f>
        <v>54047</v>
      </c>
      <c r="BO173" s="19">
        <v>0</v>
      </c>
      <c r="BP173" s="19">
        <v>0</v>
      </c>
      <c r="BQ173" s="19">
        <v>0</v>
      </c>
      <c r="BR173" s="19">
        <v>0</v>
      </c>
      <c r="BS173" s="19">
        <v>0</v>
      </c>
      <c r="BT173" s="19">
        <v>0</v>
      </c>
      <c r="BU173" s="19">
        <v>0</v>
      </c>
      <c r="BV173" s="19">
        <v>0</v>
      </c>
      <c r="BW173" s="19">
        <v>0</v>
      </c>
      <c r="BX173" s="19">
        <v>0</v>
      </c>
      <c r="BY173" s="23">
        <v>54047</v>
      </c>
      <c r="BZ173" s="19">
        <f>SUM(CA173+CS173)</f>
        <v>151878</v>
      </c>
      <c r="CA173" s="19">
        <f>SUM(CB173+CE173+CK173)</f>
        <v>151878</v>
      </c>
      <c r="CB173" s="19">
        <f t="shared" si="358"/>
        <v>77244</v>
      </c>
      <c r="CC173" s="19">
        <v>0</v>
      </c>
      <c r="CD173" s="23">
        <v>77244</v>
      </c>
      <c r="CE173" s="19">
        <f>SUM(CF173:CJ173)</f>
        <v>0</v>
      </c>
      <c r="CF173" s="19">
        <v>0</v>
      </c>
      <c r="CG173" s="19">
        <v>0</v>
      </c>
      <c r="CH173" s="19">
        <v>0</v>
      </c>
      <c r="CI173" s="19">
        <v>0</v>
      </c>
      <c r="CJ173" s="19">
        <v>0</v>
      </c>
      <c r="CK173" s="19">
        <f>SUM(CL173:CP173)</f>
        <v>74634</v>
      </c>
      <c r="CL173" s="23"/>
      <c r="CM173" s="23"/>
      <c r="CN173" s="23">
        <v>0</v>
      </c>
      <c r="CO173" s="23">
        <v>74634</v>
      </c>
      <c r="CP173" s="23"/>
      <c r="CQ173" s="23"/>
      <c r="CR173" s="23"/>
      <c r="CS173" s="19">
        <v>0</v>
      </c>
      <c r="CT173" s="19"/>
      <c r="CU173" s="19"/>
      <c r="CV173" s="19"/>
      <c r="CW173" s="19">
        <f t="shared" si="360"/>
        <v>0</v>
      </c>
      <c r="CX173" s="19">
        <f t="shared" si="361"/>
        <v>0</v>
      </c>
      <c r="CY173" s="19">
        <v>0</v>
      </c>
      <c r="CZ173" s="20">
        <v>0</v>
      </c>
    </row>
    <row r="174" spans="1:105" s="58" customFormat="1" ht="31.5" x14ac:dyDescent="0.25">
      <c r="A174" s="79" t="s">
        <v>267</v>
      </c>
      <c r="B174" s="16" t="s">
        <v>1</v>
      </c>
      <c r="C174" s="17" t="s">
        <v>268</v>
      </c>
      <c r="D174" s="18">
        <f t="shared" ref="D174:BQ174" si="524">SUM(D175:D176)</f>
        <v>28632457</v>
      </c>
      <c r="E174" s="18">
        <f t="shared" si="524"/>
        <v>28362987</v>
      </c>
      <c r="F174" s="18">
        <f t="shared" si="524"/>
        <v>28138917</v>
      </c>
      <c r="G174" s="18">
        <f t="shared" si="524"/>
        <v>19292941</v>
      </c>
      <c r="H174" s="18">
        <f t="shared" si="524"/>
        <v>4882594</v>
      </c>
      <c r="I174" s="18">
        <f t="shared" si="524"/>
        <v>2833895</v>
      </c>
      <c r="J174" s="18">
        <f t="shared" si="524"/>
        <v>1268063</v>
      </c>
      <c r="K174" s="18">
        <f t="shared" si="524"/>
        <v>126268</v>
      </c>
      <c r="L174" s="18">
        <f t="shared" si="524"/>
        <v>930021</v>
      </c>
      <c r="M174" s="18">
        <f t="shared" si="524"/>
        <v>0</v>
      </c>
      <c r="N174" s="18">
        <f t="shared" si="524"/>
        <v>449868</v>
      </c>
      <c r="O174" s="18">
        <f t="shared" si="524"/>
        <v>59675</v>
      </c>
      <c r="P174" s="18">
        <f t="shared" si="524"/>
        <v>2329</v>
      </c>
      <c r="Q174" s="18">
        <f t="shared" si="524"/>
        <v>1310</v>
      </c>
      <c r="R174" s="18">
        <f t="shared" si="524"/>
        <v>1019</v>
      </c>
      <c r="S174" s="18">
        <f t="shared" si="524"/>
        <v>0</v>
      </c>
      <c r="T174" s="18">
        <f t="shared" si="524"/>
        <v>167829</v>
      </c>
      <c r="U174" s="18">
        <f t="shared" si="524"/>
        <v>837366</v>
      </c>
      <c r="V174" s="18">
        <f t="shared" si="524"/>
        <v>15850</v>
      </c>
      <c r="W174" s="18">
        <f t="shared" si="524"/>
        <v>428017</v>
      </c>
      <c r="X174" s="18">
        <f t="shared" si="524"/>
        <v>262127</v>
      </c>
      <c r="Y174" s="18">
        <f t="shared" si="524"/>
        <v>86492</v>
      </c>
      <c r="Z174" s="18">
        <f t="shared" si="524"/>
        <v>6200</v>
      </c>
      <c r="AA174" s="18">
        <f t="shared" si="524"/>
        <v>0</v>
      </c>
      <c r="AB174" s="18">
        <f t="shared" si="524"/>
        <v>0</v>
      </c>
      <c r="AC174" s="18">
        <f t="shared" si="524"/>
        <v>38680</v>
      </c>
      <c r="AD174" s="18">
        <f t="shared" si="524"/>
        <v>121963</v>
      </c>
      <c r="AE174" s="18">
        <f t="shared" si="524"/>
        <v>0</v>
      </c>
      <c r="AF174" s="18">
        <f t="shared" si="524"/>
        <v>0</v>
      </c>
      <c r="AG174" s="18">
        <f t="shared" si="524"/>
        <v>0</v>
      </c>
      <c r="AH174" s="18">
        <f t="shared" si="524"/>
        <v>0</v>
      </c>
      <c r="AI174" s="18">
        <f t="shared" si="524"/>
        <v>0</v>
      </c>
      <c r="AJ174" s="18">
        <f t="shared" si="524"/>
        <v>0</v>
      </c>
      <c r="AK174" s="18">
        <f t="shared" si="524"/>
        <v>0</v>
      </c>
      <c r="AL174" s="18">
        <f t="shared" si="524"/>
        <v>1200</v>
      </c>
      <c r="AM174" s="18">
        <f t="shared" si="524"/>
        <v>0</v>
      </c>
      <c r="AN174" s="18">
        <f t="shared" si="524"/>
        <v>0</v>
      </c>
      <c r="AO174" s="18">
        <f t="shared" si="524"/>
        <v>0</v>
      </c>
      <c r="AP174" s="18"/>
      <c r="AQ174" s="18">
        <f t="shared" si="524"/>
        <v>0</v>
      </c>
      <c r="AR174" s="18">
        <f t="shared" si="524"/>
        <v>44716</v>
      </c>
      <c r="AS174" s="18">
        <f t="shared" si="524"/>
        <v>0</v>
      </c>
      <c r="AT174" s="18">
        <f t="shared" si="524"/>
        <v>0</v>
      </c>
      <c r="AU174" s="18">
        <f t="shared" si="524"/>
        <v>40503</v>
      </c>
      <c r="AV174" s="18">
        <f t="shared" si="524"/>
        <v>0</v>
      </c>
      <c r="AW174" s="18">
        <f t="shared" si="524"/>
        <v>0</v>
      </c>
      <c r="AX174" s="18">
        <f t="shared" si="524"/>
        <v>0</v>
      </c>
      <c r="AY174" s="18"/>
      <c r="AZ174" s="18">
        <f t="shared" si="524"/>
        <v>35544</v>
      </c>
      <c r="BA174" s="18">
        <f t="shared" si="524"/>
        <v>224070</v>
      </c>
      <c r="BB174" s="18">
        <f t="shared" si="524"/>
        <v>0</v>
      </c>
      <c r="BC174" s="18">
        <f t="shared" si="524"/>
        <v>0</v>
      </c>
      <c r="BD174" s="18">
        <f t="shared" si="524"/>
        <v>0</v>
      </c>
      <c r="BE174" s="18">
        <f t="shared" si="524"/>
        <v>0</v>
      </c>
      <c r="BF174" s="18">
        <f t="shared" si="524"/>
        <v>0</v>
      </c>
      <c r="BG174" s="18">
        <f t="shared" si="524"/>
        <v>0</v>
      </c>
      <c r="BH174" s="18">
        <f t="shared" si="524"/>
        <v>0</v>
      </c>
      <c r="BI174" s="18">
        <f t="shared" si="524"/>
        <v>0</v>
      </c>
      <c r="BJ174" s="18">
        <f t="shared" ref="BJ174" si="525">SUM(BJ175:BJ176)</f>
        <v>0</v>
      </c>
      <c r="BK174" s="18">
        <f t="shared" si="524"/>
        <v>0</v>
      </c>
      <c r="BL174" s="18">
        <f t="shared" si="524"/>
        <v>0</v>
      </c>
      <c r="BM174" s="18">
        <f t="shared" ref="BM174" si="526">SUM(BM175:BM176)</f>
        <v>0</v>
      </c>
      <c r="BN174" s="18">
        <f t="shared" si="524"/>
        <v>224070</v>
      </c>
      <c r="BO174" s="18">
        <f t="shared" si="524"/>
        <v>0</v>
      </c>
      <c r="BP174" s="18">
        <f t="shared" si="524"/>
        <v>0</v>
      </c>
      <c r="BQ174" s="18">
        <f t="shared" si="524"/>
        <v>0</v>
      </c>
      <c r="BR174" s="18">
        <f t="shared" ref="BR174:CZ174" si="527">SUM(BR175:BR176)</f>
        <v>0</v>
      </c>
      <c r="BS174" s="18">
        <f t="shared" si="527"/>
        <v>0</v>
      </c>
      <c r="BT174" s="18">
        <f t="shared" si="527"/>
        <v>0</v>
      </c>
      <c r="BU174" s="18">
        <f t="shared" si="527"/>
        <v>0</v>
      </c>
      <c r="BV174" s="18">
        <f t="shared" si="527"/>
        <v>0</v>
      </c>
      <c r="BW174" s="18">
        <f t="shared" si="527"/>
        <v>0</v>
      </c>
      <c r="BX174" s="18">
        <f t="shared" si="527"/>
        <v>0</v>
      </c>
      <c r="BY174" s="18">
        <f t="shared" si="527"/>
        <v>224070</v>
      </c>
      <c r="BZ174" s="18">
        <f t="shared" si="527"/>
        <v>269470</v>
      </c>
      <c r="CA174" s="18">
        <f t="shared" si="527"/>
        <v>269470</v>
      </c>
      <c r="CB174" s="18">
        <f t="shared" si="527"/>
        <v>269470</v>
      </c>
      <c r="CC174" s="18">
        <f t="shared" si="527"/>
        <v>0</v>
      </c>
      <c r="CD174" s="18">
        <f t="shared" si="527"/>
        <v>269470</v>
      </c>
      <c r="CE174" s="18">
        <f t="shared" si="527"/>
        <v>0</v>
      </c>
      <c r="CF174" s="18">
        <f t="shared" si="527"/>
        <v>0</v>
      </c>
      <c r="CG174" s="18">
        <f t="shared" ref="CG174:CH174" si="528">SUM(CG175:CG176)</f>
        <v>0</v>
      </c>
      <c r="CH174" s="18">
        <f t="shared" si="528"/>
        <v>0</v>
      </c>
      <c r="CI174" s="18">
        <f t="shared" si="527"/>
        <v>0</v>
      </c>
      <c r="CJ174" s="18">
        <f t="shared" ref="CJ174" si="529">SUM(CJ175:CJ176)</f>
        <v>0</v>
      </c>
      <c r="CK174" s="18">
        <f t="shared" si="527"/>
        <v>0</v>
      </c>
      <c r="CL174" s="18">
        <f t="shared" si="527"/>
        <v>0</v>
      </c>
      <c r="CM174" s="18">
        <f t="shared" ref="CM174" si="530">SUM(CM175:CM176)</f>
        <v>0</v>
      </c>
      <c r="CN174" s="18">
        <f t="shared" si="527"/>
        <v>0</v>
      </c>
      <c r="CO174" s="18"/>
      <c r="CP174" s="18"/>
      <c r="CQ174" s="18"/>
      <c r="CR174" s="18"/>
      <c r="CS174" s="18">
        <f t="shared" si="527"/>
        <v>0</v>
      </c>
      <c r="CT174" s="18"/>
      <c r="CU174" s="18"/>
      <c r="CV174" s="18"/>
      <c r="CW174" s="18">
        <f t="shared" si="527"/>
        <v>0</v>
      </c>
      <c r="CX174" s="18">
        <f t="shared" si="527"/>
        <v>0</v>
      </c>
      <c r="CY174" s="18">
        <f t="shared" si="527"/>
        <v>0</v>
      </c>
      <c r="CZ174" s="46">
        <f t="shared" si="527"/>
        <v>0</v>
      </c>
      <c r="DA174" s="57"/>
    </row>
    <row r="175" spans="1:105" ht="15.75" x14ac:dyDescent="0.25">
      <c r="A175" s="80" t="s">
        <v>1</v>
      </c>
      <c r="B175" s="21" t="s">
        <v>82</v>
      </c>
      <c r="C175" s="22" t="s">
        <v>269</v>
      </c>
      <c r="D175" s="18">
        <f>SUM(E175+BZ175+CW175)</f>
        <v>8163020</v>
      </c>
      <c r="E175" s="19">
        <f>SUM(F175+BA175)</f>
        <v>8105651</v>
      </c>
      <c r="F175" s="19">
        <f t="shared" ref="F175:F176" si="531">SUM(G175+H175+I175+P175+S175+T175+U175+AD175)</f>
        <v>7881581</v>
      </c>
      <c r="G175" s="23">
        <f>4143378+852081</f>
        <v>4995459</v>
      </c>
      <c r="H175" s="23">
        <f>969254+198946</f>
        <v>1168200</v>
      </c>
      <c r="I175" s="19">
        <f t="shared" si="354"/>
        <v>1396985</v>
      </c>
      <c r="J175" s="23">
        <v>180613</v>
      </c>
      <c r="K175" s="23">
        <v>126268</v>
      </c>
      <c r="L175" s="23">
        <v>930021</v>
      </c>
      <c r="M175" s="23">
        <v>0</v>
      </c>
      <c r="N175" s="23">
        <v>133153</v>
      </c>
      <c r="O175" s="23">
        <v>26930</v>
      </c>
      <c r="P175" s="19">
        <f t="shared" si="355"/>
        <v>2329</v>
      </c>
      <c r="Q175" s="19">
        <v>1310</v>
      </c>
      <c r="R175" s="23">
        <v>1019</v>
      </c>
      <c r="S175" s="23">
        <v>0</v>
      </c>
      <c r="T175" s="23">
        <v>3604</v>
      </c>
      <c r="U175" s="19">
        <f t="shared" ref="U175:U176" si="532">SUM(V175:AC175)</f>
        <v>199341</v>
      </c>
      <c r="V175" s="23">
        <v>15850</v>
      </c>
      <c r="W175" s="23">
        <v>0</v>
      </c>
      <c r="X175" s="23">
        <v>83785</v>
      </c>
      <c r="Y175" s="23">
        <v>59036</v>
      </c>
      <c r="Z175" s="23">
        <v>6200</v>
      </c>
      <c r="AA175" s="23">
        <v>0</v>
      </c>
      <c r="AB175" s="23">
        <v>0</v>
      </c>
      <c r="AC175" s="23">
        <v>34470</v>
      </c>
      <c r="AD175" s="19">
        <f>SUM(AE175:AZ175)</f>
        <v>115663</v>
      </c>
      <c r="AE175" s="19">
        <v>0</v>
      </c>
      <c r="AF175" s="19">
        <v>0</v>
      </c>
      <c r="AG175" s="23">
        <v>0</v>
      </c>
      <c r="AH175" s="23">
        <v>0</v>
      </c>
      <c r="AI175" s="23">
        <v>0</v>
      </c>
      <c r="AJ175" s="23">
        <v>0</v>
      </c>
      <c r="AK175" s="23">
        <v>0</v>
      </c>
      <c r="AL175" s="23">
        <v>1200</v>
      </c>
      <c r="AM175" s="23">
        <v>0</v>
      </c>
      <c r="AN175" s="23">
        <v>0</v>
      </c>
      <c r="AO175" s="23">
        <v>0</v>
      </c>
      <c r="AP175" s="23"/>
      <c r="AQ175" s="23">
        <v>0</v>
      </c>
      <c r="AR175" s="23">
        <v>44716</v>
      </c>
      <c r="AS175" s="23">
        <v>0</v>
      </c>
      <c r="AT175" s="23">
        <v>0</v>
      </c>
      <c r="AU175" s="23">
        <v>40503</v>
      </c>
      <c r="AV175" s="23">
        <v>0</v>
      </c>
      <c r="AW175" s="23">
        <v>0</v>
      </c>
      <c r="AX175" s="23">
        <v>0</v>
      </c>
      <c r="AY175" s="23">
        <v>0</v>
      </c>
      <c r="AZ175" s="23">
        <v>29244</v>
      </c>
      <c r="BA175" s="19">
        <f>SUM(BB175+BF175+BI175+BK175+BN175)</f>
        <v>224070</v>
      </c>
      <c r="BB175" s="19">
        <f>SUM(BC175:BE175)</f>
        <v>0</v>
      </c>
      <c r="BC175" s="19">
        <v>0</v>
      </c>
      <c r="BD175" s="19">
        <v>0</v>
      </c>
      <c r="BE175" s="19">
        <v>0</v>
      </c>
      <c r="BF175" s="19">
        <f>SUM(BH175:BH175)</f>
        <v>0</v>
      </c>
      <c r="BG175" s="19">
        <v>0</v>
      </c>
      <c r="BH175" s="19">
        <v>0</v>
      </c>
      <c r="BI175" s="19">
        <v>0</v>
      </c>
      <c r="BJ175" s="19">
        <v>0</v>
      </c>
      <c r="BK175" s="19">
        <f t="shared" si="357"/>
        <v>0</v>
      </c>
      <c r="BL175" s="19">
        <v>0</v>
      </c>
      <c r="BM175" s="19">
        <v>0</v>
      </c>
      <c r="BN175" s="19">
        <f>SUM(BO175:BY175)</f>
        <v>224070</v>
      </c>
      <c r="BO175" s="19">
        <v>0</v>
      </c>
      <c r="BP175" s="19">
        <v>0</v>
      </c>
      <c r="BQ175" s="19">
        <v>0</v>
      </c>
      <c r="BR175" s="19">
        <v>0</v>
      </c>
      <c r="BS175" s="19">
        <v>0</v>
      </c>
      <c r="BT175" s="19">
        <v>0</v>
      </c>
      <c r="BU175" s="19">
        <v>0</v>
      </c>
      <c r="BV175" s="19">
        <v>0</v>
      </c>
      <c r="BW175" s="19">
        <v>0</v>
      </c>
      <c r="BX175" s="19">
        <v>0</v>
      </c>
      <c r="BY175" s="23">
        <v>224070</v>
      </c>
      <c r="BZ175" s="19">
        <f>SUM(CA175+CS175)</f>
        <v>57369</v>
      </c>
      <c r="CA175" s="19">
        <f>SUM(CB175+CE175+CK175)</f>
        <v>57369</v>
      </c>
      <c r="CB175" s="19">
        <f t="shared" si="358"/>
        <v>57369</v>
      </c>
      <c r="CC175" s="19">
        <v>0</v>
      </c>
      <c r="CD175" s="19">
        <v>57369</v>
      </c>
      <c r="CE175" s="19">
        <f>SUM(CF175:CJ175)</f>
        <v>0</v>
      </c>
      <c r="CF175" s="19">
        <v>0</v>
      </c>
      <c r="CG175" s="19">
        <v>0</v>
      </c>
      <c r="CH175" s="19">
        <v>0</v>
      </c>
      <c r="CI175" s="19">
        <v>0</v>
      </c>
      <c r="CJ175" s="19">
        <v>0</v>
      </c>
      <c r="CK175" s="19">
        <f>SUM(CL175:CP175)</f>
        <v>0</v>
      </c>
      <c r="CL175" s="19">
        <v>0</v>
      </c>
      <c r="CM175" s="19">
        <v>0</v>
      </c>
      <c r="CN175" s="19">
        <v>0</v>
      </c>
      <c r="CO175" s="19"/>
      <c r="CP175" s="19"/>
      <c r="CQ175" s="19"/>
      <c r="CR175" s="19"/>
      <c r="CS175" s="19">
        <v>0</v>
      </c>
      <c r="CT175" s="19"/>
      <c r="CU175" s="19"/>
      <c r="CV175" s="19"/>
      <c r="CW175" s="19">
        <f t="shared" si="360"/>
        <v>0</v>
      </c>
      <c r="CX175" s="19">
        <f t="shared" si="361"/>
        <v>0</v>
      </c>
      <c r="CY175" s="19">
        <v>0</v>
      </c>
      <c r="CZ175" s="20">
        <v>0</v>
      </c>
    </row>
    <row r="176" spans="1:105" ht="15.75" x14ac:dyDescent="0.25">
      <c r="A176" s="80" t="s">
        <v>1</v>
      </c>
      <c r="B176" s="21" t="s">
        <v>84</v>
      </c>
      <c r="C176" s="22" t="s">
        <v>270</v>
      </c>
      <c r="D176" s="18">
        <f>SUM(E176+BZ176+CW176)</f>
        <v>20469437</v>
      </c>
      <c r="E176" s="19">
        <f>SUM(F176+BA176)</f>
        <v>20257336</v>
      </c>
      <c r="F176" s="19">
        <f t="shared" si="531"/>
        <v>20257336</v>
      </c>
      <c r="G176" s="23">
        <v>14297482</v>
      </c>
      <c r="H176" s="23">
        <v>3714394</v>
      </c>
      <c r="I176" s="19">
        <f t="shared" si="354"/>
        <v>1436910</v>
      </c>
      <c r="J176" s="23">
        <v>1087450</v>
      </c>
      <c r="K176" s="23">
        <v>0</v>
      </c>
      <c r="L176" s="23">
        <v>0</v>
      </c>
      <c r="M176" s="23">
        <v>0</v>
      </c>
      <c r="N176" s="23">
        <v>316715</v>
      </c>
      <c r="O176" s="23">
        <v>32745</v>
      </c>
      <c r="P176" s="19">
        <f t="shared" si="355"/>
        <v>0</v>
      </c>
      <c r="Q176" s="19">
        <v>0</v>
      </c>
      <c r="R176" s="23">
        <v>0</v>
      </c>
      <c r="S176" s="23">
        <v>0</v>
      </c>
      <c r="T176" s="23">
        <v>164225</v>
      </c>
      <c r="U176" s="19">
        <f t="shared" si="532"/>
        <v>638025</v>
      </c>
      <c r="V176" s="23">
        <v>0</v>
      </c>
      <c r="W176" s="23">
        <f>426621+1396</f>
        <v>428017</v>
      </c>
      <c r="X176" s="23">
        <v>178342</v>
      </c>
      <c r="Y176" s="23">
        <v>27456</v>
      </c>
      <c r="Z176" s="23">
        <v>0</v>
      </c>
      <c r="AA176" s="23">
        <v>0</v>
      </c>
      <c r="AB176" s="23">
        <v>0</v>
      </c>
      <c r="AC176" s="23">
        <v>4210</v>
      </c>
      <c r="AD176" s="19">
        <f>SUM(AE176:AZ176)</f>
        <v>6300</v>
      </c>
      <c r="AE176" s="19">
        <v>0</v>
      </c>
      <c r="AF176" s="19">
        <v>0</v>
      </c>
      <c r="AG176" s="23">
        <v>0</v>
      </c>
      <c r="AH176" s="23">
        <v>0</v>
      </c>
      <c r="AI176" s="23">
        <v>0</v>
      </c>
      <c r="AJ176" s="23">
        <v>0</v>
      </c>
      <c r="AK176" s="23">
        <v>0</v>
      </c>
      <c r="AL176" s="23">
        <v>0</v>
      </c>
      <c r="AM176" s="23">
        <v>0</v>
      </c>
      <c r="AN176" s="23">
        <v>0</v>
      </c>
      <c r="AO176" s="23">
        <v>0</v>
      </c>
      <c r="AP176" s="23"/>
      <c r="AQ176" s="23">
        <v>0</v>
      </c>
      <c r="AR176" s="23">
        <v>0</v>
      </c>
      <c r="AS176" s="23">
        <v>0</v>
      </c>
      <c r="AT176" s="23">
        <v>0</v>
      </c>
      <c r="AU176" s="23">
        <v>0</v>
      </c>
      <c r="AV176" s="23">
        <v>0</v>
      </c>
      <c r="AW176" s="23">
        <v>0</v>
      </c>
      <c r="AX176" s="23">
        <v>0</v>
      </c>
      <c r="AY176" s="23">
        <v>0</v>
      </c>
      <c r="AZ176" s="23">
        <v>6300</v>
      </c>
      <c r="BA176" s="19">
        <f>SUM(BB176+BF176+BI176+BK176+BN176)</f>
        <v>0</v>
      </c>
      <c r="BB176" s="19">
        <f>SUM(BC176:BE176)</f>
        <v>0</v>
      </c>
      <c r="BC176" s="19">
        <v>0</v>
      </c>
      <c r="BD176" s="19">
        <v>0</v>
      </c>
      <c r="BE176" s="19">
        <v>0</v>
      </c>
      <c r="BF176" s="19">
        <f>SUM(BH176:BH176)</f>
        <v>0</v>
      </c>
      <c r="BG176" s="19">
        <v>0</v>
      </c>
      <c r="BH176" s="19">
        <v>0</v>
      </c>
      <c r="BI176" s="19">
        <v>0</v>
      </c>
      <c r="BJ176" s="19">
        <v>0</v>
      </c>
      <c r="BK176" s="19">
        <f t="shared" si="357"/>
        <v>0</v>
      </c>
      <c r="BL176" s="19">
        <v>0</v>
      </c>
      <c r="BM176" s="19">
        <v>0</v>
      </c>
      <c r="BN176" s="19">
        <f>SUM(BO176:BY176)</f>
        <v>0</v>
      </c>
      <c r="BO176" s="19">
        <v>0</v>
      </c>
      <c r="BP176" s="19">
        <v>0</v>
      </c>
      <c r="BQ176" s="19">
        <v>0</v>
      </c>
      <c r="BR176" s="19">
        <v>0</v>
      </c>
      <c r="BS176" s="19">
        <v>0</v>
      </c>
      <c r="BT176" s="19">
        <v>0</v>
      </c>
      <c r="BU176" s="19">
        <v>0</v>
      </c>
      <c r="BV176" s="19">
        <v>0</v>
      </c>
      <c r="BW176" s="19">
        <v>0</v>
      </c>
      <c r="BX176" s="19">
        <v>0</v>
      </c>
      <c r="BY176" s="19">
        <v>0</v>
      </c>
      <c r="BZ176" s="19">
        <f>SUM(CA176+CS176)</f>
        <v>212101</v>
      </c>
      <c r="CA176" s="19">
        <f>SUM(CB176+CE176+CK176)</f>
        <v>212101</v>
      </c>
      <c r="CB176" s="19">
        <f t="shared" si="358"/>
        <v>212101</v>
      </c>
      <c r="CC176" s="19">
        <v>0</v>
      </c>
      <c r="CD176" s="19">
        <v>212101</v>
      </c>
      <c r="CE176" s="19">
        <f>SUM(CF176:CJ176)</f>
        <v>0</v>
      </c>
      <c r="CF176" s="19">
        <v>0</v>
      </c>
      <c r="CG176" s="19">
        <v>0</v>
      </c>
      <c r="CH176" s="19">
        <v>0</v>
      </c>
      <c r="CI176" s="19">
        <v>0</v>
      </c>
      <c r="CJ176" s="19">
        <v>0</v>
      </c>
      <c r="CK176" s="19">
        <f>SUM(CL176:CP176)</f>
        <v>0</v>
      </c>
      <c r="CL176" s="19">
        <v>0</v>
      </c>
      <c r="CM176" s="19">
        <v>0</v>
      </c>
      <c r="CN176" s="19">
        <v>0</v>
      </c>
      <c r="CO176" s="19"/>
      <c r="CP176" s="19"/>
      <c r="CQ176" s="19"/>
      <c r="CR176" s="19"/>
      <c r="CS176" s="19">
        <v>0</v>
      </c>
      <c r="CT176" s="19"/>
      <c r="CU176" s="19"/>
      <c r="CV176" s="19"/>
      <c r="CW176" s="19">
        <f t="shared" si="360"/>
        <v>0</v>
      </c>
      <c r="CX176" s="19">
        <f t="shared" si="361"/>
        <v>0</v>
      </c>
      <c r="CY176" s="19">
        <v>0</v>
      </c>
      <c r="CZ176" s="20">
        <v>0</v>
      </c>
    </row>
    <row r="177" spans="1:105" s="58" customFormat="1" ht="31.5" x14ac:dyDescent="0.25">
      <c r="A177" s="79" t="s">
        <v>271</v>
      </c>
      <c r="B177" s="16" t="s">
        <v>1</v>
      </c>
      <c r="C177" s="17" t="s">
        <v>590</v>
      </c>
      <c r="D177" s="18">
        <f>SUM(D178)</f>
        <v>30181636</v>
      </c>
      <c r="E177" s="18">
        <f t="shared" ref="E177:BT177" si="533">SUM(E178)</f>
        <v>30181636</v>
      </c>
      <c r="F177" s="18">
        <f t="shared" si="533"/>
        <v>30181636</v>
      </c>
      <c r="G177" s="18">
        <f t="shared" si="533"/>
        <v>0</v>
      </c>
      <c r="H177" s="18">
        <f t="shared" si="533"/>
        <v>0</v>
      </c>
      <c r="I177" s="18">
        <f t="shared" si="533"/>
        <v>29062441</v>
      </c>
      <c r="J177" s="18">
        <f t="shared" si="533"/>
        <v>29062441</v>
      </c>
      <c r="K177" s="18">
        <f t="shared" si="533"/>
        <v>0</v>
      </c>
      <c r="L177" s="18">
        <f t="shared" si="533"/>
        <v>0</v>
      </c>
      <c r="M177" s="18">
        <f t="shared" si="533"/>
        <v>0</v>
      </c>
      <c r="N177" s="18">
        <f t="shared" si="533"/>
        <v>0</v>
      </c>
      <c r="O177" s="18">
        <f t="shared" si="533"/>
        <v>0</v>
      </c>
      <c r="P177" s="18">
        <f t="shared" si="533"/>
        <v>0</v>
      </c>
      <c r="Q177" s="18">
        <f t="shared" si="533"/>
        <v>0</v>
      </c>
      <c r="R177" s="18">
        <f t="shared" si="533"/>
        <v>0</v>
      </c>
      <c r="S177" s="18">
        <f t="shared" si="533"/>
        <v>0</v>
      </c>
      <c r="T177" s="18">
        <f t="shared" si="533"/>
        <v>0</v>
      </c>
      <c r="U177" s="18">
        <f t="shared" si="533"/>
        <v>0</v>
      </c>
      <c r="V177" s="18">
        <f t="shared" si="533"/>
        <v>0</v>
      </c>
      <c r="W177" s="18">
        <f t="shared" si="533"/>
        <v>0</v>
      </c>
      <c r="X177" s="18">
        <f t="shared" si="533"/>
        <v>0</v>
      </c>
      <c r="Y177" s="18">
        <f t="shared" si="533"/>
        <v>0</v>
      </c>
      <c r="Z177" s="18">
        <f t="shared" si="533"/>
        <v>0</v>
      </c>
      <c r="AA177" s="18">
        <f t="shared" si="533"/>
        <v>0</v>
      </c>
      <c r="AB177" s="18">
        <f t="shared" si="533"/>
        <v>0</v>
      </c>
      <c r="AC177" s="18">
        <f t="shared" si="533"/>
        <v>0</v>
      </c>
      <c r="AD177" s="18">
        <f t="shared" si="533"/>
        <v>1119195</v>
      </c>
      <c r="AE177" s="18">
        <f t="shared" si="533"/>
        <v>0</v>
      </c>
      <c r="AF177" s="18">
        <f t="shared" si="533"/>
        <v>0</v>
      </c>
      <c r="AG177" s="18">
        <f t="shared" si="533"/>
        <v>0</v>
      </c>
      <c r="AH177" s="18">
        <f t="shared" si="533"/>
        <v>0</v>
      </c>
      <c r="AI177" s="18">
        <f t="shared" si="533"/>
        <v>0</v>
      </c>
      <c r="AJ177" s="18">
        <f t="shared" si="533"/>
        <v>0</v>
      </c>
      <c r="AK177" s="18">
        <f t="shared" si="533"/>
        <v>0</v>
      </c>
      <c r="AL177" s="18">
        <f t="shared" si="533"/>
        <v>0</v>
      </c>
      <c r="AM177" s="18">
        <f t="shared" si="533"/>
        <v>0</v>
      </c>
      <c r="AN177" s="18">
        <f t="shared" si="533"/>
        <v>0</v>
      </c>
      <c r="AO177" s="18">
        <f t="shared" si="533"/>
        <v>0</v>
      </c>
      <c r="AP177" s="18"/>
      <c r="AQ177" s="18">
        <f t="shared" si="533"/>
        <v>0</v>
      </c>
      <c r="AR177" s="18">
        <f t="shared" si="533"/>
        <v>0</v>
      </c>
      <c r="AS177" s="18">
        <f t="shared" si="533"/>
        <v>0</v>
      </c>
      <c r="AT177" s="18"/>
      <c r="AU177" s="18"/>
      <c r="AV177" s="18">
        <f t="shared" si="533"/>
        <v>0</v>
      </c>
      <c r="AW177" s="18">
        <f t="shared" si="533"/>
        <v>0</v>
      </c>
      <c r="AX177" s="18">
        <f t="shared" si="533"/>
        <v>0</v>
      </c>
      <c r="AY177" s="18"/>
      <c r="AZ177" s="18">
        <f t="shared" si="533"/>
        <v>1119195</v>
      </c>
      <c r="BA177" s="18">
        <f t="shared" si="533"/>
        <v>0</v>
      </c>
      <c r="BB177" s="18">
        <f t="shared" si="533"/>
        <v>0</v>
      </c>
      <c r="BC177" s="18">
        <f t="shared" si="533"/>
        <v>0</v>
      </c>
      <c r="BD177" s="18">
        <f t="shared" si="533"/>
        <v>0</v>
      </c>
      <c r="BE177" s="18">
        <f t="shared" si="533"/>
        <v>0</v>
      </c>
      <c r="BF177" s="18">
        <f t="shared" si="533"/>
        <v>0</v>
      </c>
      <c r="BG177" s="18">
        <f t="shared" si="533"/>
        <v>0</v>
      </c>
      <c r="BH177" s="18">
        <f t="shared" si="533"/>
        <v>0</v>
      </c>
      <c r="BI177" s="18">
        <f t="shared" si="533"/>
        <v>0</v>
      </c>
      <c r="BJ177" s="18">
        <f t="shared" si="533"/>
        <v>0</v>
      </c>
      <c r="BK177" s="18">
        <f t="shared" si="533"/>
        <v>0</v>
      </c>
      <c r="BL177" s="18">
        <f t="shared" si="533"/>
        <v>0</v>
      </c>
      <c r="BM177" s="18">
        <f t="shared" si="533"/>
        <v>0</v>
      </c>
      <c r="BN177" s="18">
        <f t="shared" si="533"/>
        <v>0</v>
      </c>
      <c r="BO177" s="18">
        <f t="shared" si="533"/>
        <v>0</v>
      </c>
      <c r="BP177" s="18">
        <f t="shared" si="533"/>
        <v>0</v>
      </c>
      <c r="BQ177" s="18">
        <f t="shared" si="533"/>
        <v>0</v>
      </c>
      <c r="BR177" s="18">
        <f t="shared" si="533"/>
        <v>0</v>
      </c>
      <c r="BS177" s="18">
        <f t="shared" si="533"/>
        <v>0</v>
      </c>
      <c r="BT177" s="18">
        <f t="shared" si="533"/>
        <v>0</v>
      </c>
      <c r="BU177" s="18">
        <f t="shared" ref="BU177:CZ177" si="534">SUM(BU178)</f>
        <v>0</v>
      </c>
      <c r="BV177" s="18">
        <f t="shared" si="534"/>
        <v>0</v>
      </c>
      <c r="BW177" s="18">
        <f t="shared" si="534"/>
        <v>0</v>
      </c>
      <c r="BX177" s="18">
        <f t="shared" si="534"/>
        <v>0</v>
      </c>
      <c r="BY177" s="18">
        <f t="shared" si="534"/>
        <v>0</v>
      </c>
      <c r="BZ177" s="18">
        <f t="shared" si="534"/>
        <v>0</v>
      </c>
      <c r="CA177" s="18">
        <f t="shared" si="534"/>
        <v>0</v>
      </c>
      <c r="CB177" s="18">
        <f t="shared" si="534"/>
        <v>0</v>
      </c>
      <c r="CC177" s="18">
        <f t="shared" si="534"/>
        <v>0</v>
      </c>
      <c r="CD177" s="18">
        <f t="shared" si="534"/>
        <v>0</v>
      </c>
      <c r="CE177" s="18">
        <f t="shared" si="534"/>
        <v>0</v>
      </c>
      <c r="CF177" s="18">
        <f t="shared" si="534"/>
        <v>0</v>
      </c>
      <c r="CG177" s="18">
        <f t="shared" si="534"/>
        <v>0</v>
      </c>
      <c r="CH177" s="18">
        <f t="shared" si="534"/>
        <v>0</v>
      </c>
      <c r="CI177" s="18">
        <f t="shared" si="534"/>
        <v>0</v>
      </c>
      <c r="CJ177" s="18">
        <f t="shared" si="534"/>
        <v>0</v>
      </c>
      <c r="CK177" s="18">
        <f t="shared" si="534"/>
        <v>0</v>
      </c>
      <c r="CL177" s="18">
        <f t="shared" si="534"/>
        <v>0</v>
      </c>
      <c r="CM177" s="18">
        <f t="shared" si="534"/>
        <v>0</v>
      </c>
      <c r="CN177" s="18">
        <f t="shared" si="534"/>
        <v>0</v>
      </c>
      <c r="CO177" s="18"/>
      <c r="CP177" s="18"/>
      <c r="CQ177" s="18"/>
      <c r="CR177" s="18"/>
      <c r="CS177" s="18">
        <f t="shared" si="534"/>
        <v>0</v>
      </c>
      <c r="CT177" s="18"/>
      <c r="CU177" s="18"/>
      <c r="CV177" s="18"/>
      <c r="CW177" s="18">
        <f t="shared" si="534"/>
        <v>0</v>
      </c>
      <c r="CX177" s="18">
        <f t="shared" si="534"/>
        <v>0</v>
      </c>
      <c r="CY177" s="18">
        <f t="shared" si="534"/>
        <v>0</v>
      </c>
      <c r="CZ177" s="46">
        <f t="shared" si="534"/>
        <v>0</v>
      </c>
      <c r="DA177" s="57"/>
    </row>
    <row r="178" spans="1:105" ht="31.5" x14ac:dyDescent="0.25">
      <c r="A178" s="80" t="s">
        <v>1</v>
      </c>
      <c r="B178" s="21" t="s">
        <v>84</v>
      </c>
      <c r="C178" s="22" t="s">
        <v>542</v>
      </c>
      <c r="D178" s="18">
        <f>SUM(E178+BZ178+CW178)</f>
        <v>30181636</v>
      </c>
      <c r="E178" s="19">
        <f>SUM(F178+BA178)</f>
        <v>30181636</v>
      </c>
      <c r="F178" s="19">
        <f>SUM(G178+H178+I178+P178+S178+T178+U178+AD178)</f>
        <v>30181636</v>
      </c>
      <c r="G178" s="19">
        <v>0</v>
      </c>
      <c r="H178" s="19">
        <v>0</v>
      </c>
      <c r="I178" s="19">
        <f t="shared" si="354"/>
        <v>29062441</v>
      </c>
      <c r="J178" s="23">
        <v>29062441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f t="shared" si="355"/>
        <v>0</v>
      </c>
      <c r="Q178" s="19">
        <v>0</v>
      </c>
      <c r="R178" s="19">
        <v>0</v>
      </c>
      <c r="S178" s="19">
        <v>0</v>
      </c>
      <c r="T178" s="19">
        <v>0</v>
      </c>
      <c r="U178" s="19">
        <f t="shared" ref="U178" si="535">SUM(V178:AC178)</f>
        <v>0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0</v>
      </c>
      <c r="AB178" s="19">
        <v>0</v>
      </c>
      <c r="AC178" s="19">
        <v>0</v>
      </c>
      <c r="AD178" s="19">
        <f>SUM(AE178:AZ178)</f>
        <v>1119195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/>
      <c r="AQ178" s="19">
        <v>0</v>
      </c>
      <c r="AR178" s="19">
        <v>0</v>
      </c>
      <c r="AS178" s="19">
        <v>0</v>
      </c>
      <c r="AT178" s="19">
        <v>0</v>
      </c>
      <c r="AU178" s="19">
        <v>0</v>
      </c>
      <c r="AV178" s="23">
        <v>0</v>
      </c>
      <c r="AW178" s="19">
        <v>0</v>
      </c>
      <c r="AX178" s="19">
        <v>0</v>
      </c>
      <c r="AY178" s="19">
        <v>0</v>
      </c>
      <c r="AZ178" s="24">
        <v>1119195</v>
      </c>
      <c r="BA178" s="19">
        <f>SUM(BB178+BF178+BI178+BK178+BN178)</f>
        <v>0</v>
      </c>
      <c r="BB178" s="19">
        <f>SUM(BC178:BE178)</f>
        <v>0</v>
      </c>
      <c r="BC178" s="19">
        <v>0</v>
      </c>
      <c r="BD178" s="19">
        <v>0</v>
      </c>
      <c r="BE178" s="19">
        <v>0</v>
      </c>
      <c r="BF178" s="19">
        <f>SUM(BH178:BH178)</f>
        <v>0</v>
      </c>
      <c r="BG178" s="19">
        <v>0</v>
      </c>
      <c r="BH178" s="19">
        <v>0</v>
      </c>
      <c r="BI178" s="19">
        <v>0</v>
      </c>
      <c r="BJ178" s="19">
        <v>0</v>
      </c>
      <c r="BK178" s="19">
        <f t="shared" si="357"/>
        <v>0</v>
      </c>
      <c r="BL178" s="19">
        <v>0</v>
      </c>
      <c r="BM178" s="19">
        <v>0</v>
      </c>
      <c r="BN178" s="19">
        <f>SUM(BO178:BY178)</f>
        <v>0</v>
      </c>
      <c r="BO178" s="19">
        <v>0</v>
      </c>
      <c r="BP178" s="19">
        <v>0</v>
      </c>
      <c r="BQ178" s="19">
        <v>0</v>
      </c>
      <c r="BR178" s="19">
        <v>0</v>
      </c>
      <c r="BS178" s="19">
        <v>0</v>
      </c>
      <c r="BT178" s="19">
        <v>0</v>
      </c>
      <c r="BU178" s="19">
        <v>0</v>
      </c>
      <c r="BV178" s="19">
        <v>0</v>
      </c>
      <c r="BW178" s="19">
        <v>0</v>
      </c>
      <c r="BX178" s="19">
        <v>0</v>
      </c>
      <c r="BY178" s="19">
        <v>0</v>
      </c>
      <c r="BZ178" s="19">
        <f>SUM(CA178+CS178)</f>
        <v>0</v>
      </c>
      <c r="CA178" s="19">
        <f>SUM(CB178+CE178+CK178)</f>
        <v>0</v>
      </c>
      <c r="CB178" s="19">
        <f t="shared" si="358"/>
        <v>0</v>
      </c>
      <c r="CC178" s="19">
        <v>0</v>
      </c>
      <c r="CD178" s="19">
        <v>0</v>
      </c>
      <c r="CE178" s="19">
        <f>SUM(CF178:CJ178)</f>
        <v>0</v>
      </c>
      <c r="CF178" s="19">
        <v>0</v>
      </c>
      <c r="CG178" s="19">
        <v>0</v>
      </c>
      <c r="CH178" s="19">
        <v>0</v>
      </c>
      <c r="CI178" s="19">
        <v>0</v>
      </c>
      <c r="CJ178" s="19">
        <v>0</v>
      </c>
      <c r="CK178" s="19">
        <f>SUM(CL178:CP178)</f>
        <v>0</v>
      </c>
      <c r="CL178" s="19">
        <v>0</v>
      </c>
      <c r="CM178" s="19">
        <v>0</v>
      </c>
      <c r="CN178" s="19">
        <v>0</v>
      </c>
      <c r="CO178" s="19"/>
      <c r="CP178" s="19"/>
      <c r="CQ178" s="19"/>
      <c r="CR178" s="19"/>
      <c r="CS178" s="19">
        <v>0</v>
      </c>
      <c r="CT178" s="19"/>
      <c r="CU178" s="19"/>
      <c r="CV178" s="19"/>
      <c r="CW178" s="19">
        <f t="shared" si="360"/>
        <v>0</v>
      </c>
      <c r="CX178" s="19">
        <f t="shared" si="361"/>
        <v>0</v>
      </c>
      <c r="CY178" s="19">
        <v>0</v>
      </c>
      <c r="CZ178" s="20">
        <v>0</v>
      </c>
    </row>
    <row r="179" spans="1:105" s="58" customFormat="1" ht="31.5" x14ac:dyDescent="0.25">
      <c r="A179" s="79" t="s">
        <v>272</v>
      </c>
      <c r="B179" s="16" t="s">
        <v>1</v>
      </c>
      <c r="C179" s="17" t="s">
        <v>273</v>
      </c>
      <c r="D179" s="18">
        <f t="shared" ref="D179:AJ179" si="536">SUM(D180)</f>
        <v>4206906</v>
      </c>
      <c r="E179" s="18">
        <f t="shared" si="536"/>
        <v>4156068</v>
      </c>
      <c r="F179" s="18">
        <f t="shared" si="536"/>
        <v>4156068</v>
      </c>
      <c r="G179" s="18">
        <f t="shared" si="536"/>
        <v>3209691</v>
      </c>
      <c r="H179" s="18">
        <f t="shared" si="536"/>
        <v>764360</v>
      </c>
      <c r="I179" s="18">
        <f t="shared" si="536"/>
        <v>131794</v>
      </c>
      <c r="J179" s="18">
        <f t="shared" si="536"/>
        <v>0</v>
      </c>
      <c r="K179" s="18">
        <f t="shared" si="536"/>
        <v>1358</v>
      </c>
      <c r="L179" s="18">
        <f t="shared" si="536"/>
        <v>0</v>
      </c>
      <c r="M179" s="18">
        <f t="shared" si="536"/>
        <v>0</v>
      </c>
      <c r="N179" s="18">
        <f t="shared" si="536"/>
        <v>80529</v>
      </c>
      <c r="O179" s="18">
        <f t="shared" si="536"/>
        <v>49907</v>
      </c>
      <c r="P179" s="18">
        <f t="shared" si="536"/>
        <v>0</v>
      </c>
      <c r="Q179" s="18">
        <f t="shared" si="536"/>
        <v>0</v>
      </c>
      <c r="R179" s="18">
        <f t="shared" si="536"/>
        <v>0</v>
      </c>
      <c r="S179" s="18">
        <f t="shared" si="536"/>
        <v>0</v>
      </c>
      <c r="T179" s="18">
        <f t="shared" si="536"/>
        <v>44563</v>
      </c>
      <c r="U179" s="18">
        <f t="shared" si="536"/>
        <v>0</v>
      </c>
      <c r="V179" s="18">
        <f t="shared" si="536"/>
        <v>0</v>
      </c>
      <c r="W179" s="18">
        <f t="shared" si="536"/>
        <v>0</v>
      </c>
      <c r="X179" s="18">
        <f t="shared" si="536"/>
        <v>0</v>
      </c>
      <c r="Y179" s="18">
        <f t="shared" si="536"/>
        <v>0</v>
      </c>
      <c r="Z179" s="18">
        <f t="shared" si="536"/>
        <v>0</v>
      </c>
      <c r="AA179" s="18">
        <f t="shared" si="536"/>
        <v>0</v>
      </c>
      <c r="AB179" s="18">
        <f t="shared" si="536"/>
        <v>0</v>
      </c>
      <c r="AC179" s="18">
        <f t="shared" si="536"/>
        <v>0</v>
      </c>
      <c r="AD179" s="18">
        <f t="shared" si="536"/>
        <v>5660</v>
      </c>
      <c r="AE179" s="18">
        <f t="shared" si="536"/>
        <v>0</v>
      </c>
      <c r="AF179" s="18">
        <f t="shared" si="536"/>
        <v>0</v>
      </c>
      <c r="AG179" s="18">
        <f t="shared" si="536"/>
        <v>0</v>
      </c>
      <c r="AH179" s="18">
        <f t="shared" si="536"/>
        <v>0</v>
      </c>
      <c r="AI179" s="18">
        <f t="shared" si="536"/>
        <v>0</v>
      </c>
      <c r="AJ179" s="18">
        <f t="shared" si="536"/>
        <v>375</v>
      </c>
      <c r="AK179" s="18">
        <f t="shared" ref="AK179:CZ179" si="537">SUM(AK180)</f>
        <v>0</v>
      </c>
      <c r="AL179" s="18">
        <f t="shared" si="537"/>
        <v>3340</v>
      </c>
      <c r="AM179" s="18">
        <f t="shared" si="537"/>
        <v>195</v>
      </c>
      <c r="AN179" s="18">
        <f t="shared" si="537"/>
        <v>0</v>
      </c>
      <c r="AO179" s="18">
        <f t="shared" si="537"/>
        <v>0</v>
      </c>
      <c r="AP179" s="18"/>
      <c r="AQ179" s="18">
        <f t="shared" si="537"/>
        <v>0</v>
      </c>
      <c r="AR179" s="18">
        <f t="shared" si="537"/>
        <v>0</v>
      </c>
      <c r="AS179" s="18">
        <f t="shared" si="537"/>
        <v>0</v>
      </c>
      <c r="AT179" s="18"/>
      <c r="AU179" s="18"/>
      <c r="AV179" s="18">
        <f t="shared" si="537"/>
        <v>0</v>
      </c>
      <c r="AW179" s="18">
        <f t="shared" si="537"/>
        <v>0</v>
      </c>
      <c r="AX179" s="18">
        <f t="shared" si="537"/>
        <v>0</v>
      </c>
      <c r="AY179" s="18"/>
      <c r="AZ179" s="18">
        <f t="shared" si="537"/>
        <v>1750</v>
      </c>
      <c r="BA179" s="18">
        <f t="shared" si="537"/>
        <v>0</v>
      </c>
      <c r="BB179" s="18">
        <f t="shared" si="537"/>
        <v>0</v>
      </c>
      <c r="BC179" s="18">
        <f t="shared" si="537"/>
        <v>0</v>
      </c>
      <c r="BD179" s="18">
        <f t="shared" si="537"/>
        <v>0</v>
      </c>
      <c r="BE179" s="18">
        <f t="shared" si="537"/>
        <v>0</v>
      </c>
      <c r="BF179" s="18">
        <f t="shared" si="537"/>
        <v>0</v>
      </c>
      <c r="BG179" s="18">
        <f t="shared" si="537"/>
        <v>0</v>
      </c>
      <c r="BH179" s="18">
        <f t="shared" si="537"/>
        <v>0</v>
      </c>
      <c r="BI179" s="18">
        <f t="shared" si="537"/>
        <v>0</v>
      </c>
      <c r="BJ179" s="18">
        <f t="shared" si="537"/>
        <v>0</v>
      </c>
      <c r="BK179" s="18">
        <f t="shared" si="537"/>
        <v>0</v>
      </c>
      <c r="BL179" s="18">
        <f t="shared" si="537"/>
        <v>0</v>
      </c>
      <c r="BM179" s="18">
        <f t="shared" si="537"/>
        <v>0</v>
      </c>
      <c r="BN179" s="18">
        <f t="shared" si="537"/>
        <v>0</v>
      </c>
      <c r="BO179" s="18">
        <f t="shared" si="537"/>
        <v>0</v>
      </c>
      <c r="BP179" s="18">
        <f t="shared" si="537"/>
        <v>0</v>
      </c>
      <c r="BQ179" s="18">
        <f t="shared" si="537"/>
        <v>0</v>
      </c>
      <c r="BR179" s="18">
        <f t="shared" si="537"/>
        <v>0</v>
      </c>
      <c r="BS179" s="18">
        <f t="shared" si="537"/>
        <v>0</v>
      </c>
      <c r="BT179" s="18">
        <f t="shared" si="537"/>
        <v>0</v>
      </c>
      <c r="BU179" s="18">
        <f t="shared" si="537"/>
        <v>0</v>
      </c>
      <c r="BV179" s="18">
        <f t="shared" si="537"/>
        <v>0</v>
      </c>
      <c r="BW179" s="18">
        <f t="shared" si="537"/>
        <v>0</v>
      </c>
      <c r="BX179" s="18">
        <f t="shared" si="537"/>
        <v>0</v>
      </c>
      <c r="BY179" s="18">
        <f t="shared" si="537"/>
        <v>0</v>
      </c>
      <c r="BZ179" s="18">
        <f t="shared" si="537"/>
        <v>50838</v>
      </c>
      <c r="CA179" s="18">
        <f t="shared" si="537"/>
        <v>50838</v>
      </c>
      <c r="CB179" s="18">
        <f t="shared" si="537"/>
        <v>50838</v>
      </c>
      <c r="CC179" s="18">
        <f t="shared" si="537"/>
        <v>0</v>
      </c>
      <c r="CD179" s="18">
        <f t="shared" si="537"/>
        <v>50838</v>
      </c>
      <c r="CE179" s="18">
        <f t="shared" si="537"/>
        <v>0</v>
      </c>
      <c r="CF179" s="18">
        <f t="shared" si="537"/>
        <v>0</v>
      </c>
      <c r="CG179" s="18">
        <f t="shared" si="537"/>
        <v>0</v>
      </c>
      <c r="CH179" s="18">
        <f t="shared" si="537"/>
        <v>0</v>
      </c>
      <c r="CI179" s="18">
        <f t="shared" si="537"/>
        <v>0</v>
      </c>
      <c r="CJ179" s="18">
        <f t="shared" si="537"/>
        <v>0</v>
      </c>
      <c r="CK179" s="18">
        <f t="shared" si="537"/>
        <v>0</v>
      </c>
      <c r="CL179" s="18">
        <f t="shared" si="537"/>
        <v>0</v>
      </c>
      <c r="CM179" s="18">
        <f t="shared" si="537"/>
        <v>0</v>
      </c>
      <c r="CN179" s="18">
        <f t="shared" si="537"/>
        <v>0</v>
      </c>
      <c r="CO179" s="18"/>
      <c r="CP179" s="18"/>
      <c r="CQ179" s="18"/>
      <c r="CR179" s="18"/>
      <c r="CS179" s="18">
        <f t="shared" si="537"/>
        <v>0</v>
      </c>
      <c r="CT179" s="18"/>
      <c r="CU179" s="18"/>
      <c r="CV179" s="18"/>
      <c r="CW179" s="18">
        <f t="shared" si="537"/>
        <v>0</v>
      </c>
      <c r="CX179" s="18">
        <f t="shared" si="537"/>
        <v>0</v>
      </c>
      <c r="CY179" s="18">
        <f t="shared" si="537"/>
        <v>0</v>
      </c>
      <c r="CZ179" s="46">
        <f t="shared" si="537"/>
        <v>0</v>
      </c>
      <c r="DA179" s="57"/>
    </row>
    <row r="180" spans="1:105" ht="31.5" x14ac:dyDescent="0.25">
      <c r="A180" s="80" t="s">
        <v>1</v>
      </c>
      <c r="B180" s="21" t="s">
        <v>84</v>
      </c>
      <c r="C180" s="22" t="s">
        <v>274</v>
      </c>
      <c r="D180" s="18">
        <f>SUM(E180+BZ180+CW180)</f>
        <v>4206906</v>
      </c>
      <c r="E180" s="19">
        <f>SUM(F180+BA180)</f>
        <v>4156068</v>
      </c>
      <c r="F180" s="19">
        <f>SUM(G180+H180+I180+P180+S180+T180+U180+AD180)</f>
        <v>4156068</v>
      </c>
      <c r="G180" s="23">
        <f>1946140+1263551</f>
        <v>3209691</v>
      </c>
      <c r="H180" s="23">
        <f>448134+316226</f>
        <v>764360</v>
      </c>
      <c r="I180" s="19">
        <f t="shared" si="354"/>
        <v>131794</v>
      </c>
      <c r="J180" s="23"/>
      <c r="K180" s="23">
        <v>1358</v>
      </c>
      <c r="L180" s="23"/>
      <c r="M180" s="23"/>
      <c r="N180" s="23">
        <v>80529</v>
      </c>
      <c r="O180" s="23">
        <v>49907</v>
      </c>
      <c r="P180" s="19">
        <f t="shared" si="355"/>
        <v>0</v>
      </c>
      <c r="Q180" s="19">
        <v>0</v>
      </c>
      <c r="R180" s="19">
        <v>0</v>
      </c>
      <c r="S180" s="19">
        <v>0</v>
      </c>
      <c r="T180" s="23">
        <v>44563</v>
      </c>
      <c r="U180" s="19">
        <f t="shared" ref="U180" si="538">SUM(V180:AC180)</f>
        <v>0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0</v>
      </c>
      <c r="AB180" s="19">
        <v>0</v>
      </c>
      <c r="AC180" s="19">
        <v>0</v>
      </c>
      <c r="AD180" s="19">
        <f>SUM(AE180:AZ180)</f>
        <v>5660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23">
        <v>375</v>
      </c>
      <c r="AK180" s="23">
        <v>0</v>
      </c>
      <c r="AL180" s="23">
        <v>3340</v>
      </c>
      <c r="AM180" s="23">
        <v>195</v>
      </c>
      <c r="AN180" s="23">
        <v>0</v>
      </c>
      <c r="AO180" s="23">
        <v>0</v>
      </c>
      <c r="AP180" s="23"/>
      <c r="AQ180" s="23">
        <v>0</v>
      </c>
      <c r="AR180" s="23">
        <v>0</v>
      </c>
      <c r="AS180" s="23">
        <v>0</v>
      </c>
      <c r="AT180" s="23">
        <v>0</v>
      </c>
      <c r="AU180" s="23">
        <v>0</v>
      </c>
      <c r="AV180" s="23">
        <v>0</v>
      </c>
      <c r="AW180" s="23">
        <v>0</v>
      </c>
      <c r="AX180" s="23">
        <v>0</v>
      </c>
      <c r="AY180" s="23">
        <v>0</v>
      </c>
      <c r="AZ180" s="23">
        <v>1750</v>
      </c>
      <c r="BA180" s="19">
        <f>SUM(BB180+BF180+BI180+BK180+BN180)</f>
        <v>0</v>
      </c>
      <c r="BB180" s="19">
        <f>SUM(BC180:BE180)</f>
        <v>0</v>
      </c>
      <c r="BC180" s="19">
        <v>0</v>
      </c>
      <c r="BD180" s="19">
        <v>0</v>
      </c>
      <c r="BE180" s="19">
        <v>0</v>
      </c>
      <c r="BF180" s="19">
        <f>SUM(BH180:BH180)</f>
        <v>0</v>
      </c>
      <c r="BG180" s="19">
        <v>0</v>
      </c>
      <c r="BH180" s="19">
        <v>0</v>
      </c>
      <c r="BI180" s="19">
        <v>0</v>
      </c>
      <c r="BJ180" s="19">
        <v>0</v>
      </c>
      <c r="BK180" s="19">
        <f t="shared" si="357"/>
        <v>0</v>
      </c>
      <c r="BL180" s="19">
        <v>0</v>
      </c>
      <c r="BM180" s="19">
        <v>0</v>
      </c>
      <c r="BN180" s="19">
        <f>SUM(BO180:BY180)</f>
        <v>0</v>
      </c>
      <c r="BO180" s="19">
        <v>0</v>
      </c>
      <c r="BP180" s="19">
        <v>0</v>
      </c>
      <c r="BQ180" s="19">
        <v>0</v>
      </c>
      <c r="BR180" s="19">
        <v>0</v>
      </c>
      <c r="BS180" s="19">
        <v>0</v>
      </c>
      <c r="BT180" s="19">
        <v>0</v>
      </c>
      <c r="BU180" s="19">
        <v>0</v>
      </c>
      <c r="BV180" s="19">
        <v>0</v>
      </c>
      <c r="BW180" s="19">
        <v>0</v>
      </c>
      <c r="BX180" s="19">
        <v>0</v>
      </c>
      <c r="BY180" s="19">
        <v>0</v>
      </c>
      <c r="BZ180" s="19">
        <f>SUM(CA180+CS180)</f>
        <v>50838</v>
      </c>
      <c r="CA180" s="19">
        <f>SUM(CB180+CE180+CK180)</f>
        <v>50838</v>
      </c>
      <c r="CB180" s="19">
        <f t="shared" si="358"/>
        <v>50838</v>
      </c>
      <c r="CC180" s="19">
        <v>0</v>
      </c>
      <c r="CD180" s="23">
        <v>50838</v>
      </c>
      <c r="CE180" s="19">
        <f>SUM(CF180:CJ180)</f>
        <v>0</v>
      </c>
      <c r="CF180" s="19">
        <v>0</v>
      </c>
      <c r="CG180" s="19">
        <v>0</v>
      </c>
      <c r="CH180" s="19">
        <v>0</v>
      </c>
      <c r="CI180" s="19">
        <v>0</v>
      </c>
      <c r="CJ180" s="19">
        <v>0</v>
      </c>
      <c r="CK180" s="19">
        <f>SUM(CL180:CP180)</f>
        <v>0</v>
      </c>
      <c r="CL180" s="19">
        <v>0</v>
      </c>
      <c r="CM180" s="19">
        <v>0</v>
      </c>
      <c r="CN180" s="19">
        <v>0</v>
      </c>
      <c r="CO180" s="19"/>
      <c r="CP180" s="19"/>
      <c r="CQ180" s="19"/>
      <c r="CR180" s="19"/>
      <c r="CS180" s="19">
        <v>0</v>
      </c>
      <c r="CT180" s="19"/>
      <c r="CU180" s="19"/>
      <c r="CV180" s="19"/>
      <c r="CW180" s="19">
        <f t="shared" si="360"/>
        <v>0</v>
      </c>
      <c r="CX180" s="19">
        <f t="shared" si="361"/>
        <v>0</v>
      </c>
      <c r="CY180" s="19">
        <v>0</v>
      </c>
      <c r="CZ180" s="20">
        <v>0</v>
      </c>
    </row>
    <row r="181" spans="1:105" s="58" customFormat="1" ht="15.75" x14ac:dyDescent="0.25">
      <c r="A181" s="81" t="s">
        <v>275</v>
      </c>
      <c r="B181" s="25" t="s">
        <v>1</v>
      </c>
      <c r="C181" s="26" t="s">
        <v>276</v>
      </c>
      <c r="D181" s="27">
        <f>SUM(D182+D183+D184+D188+D190+D192+D194+D196+D204)</f>
        <v>649202578</v>
      </c>
      <c r="E181" s="27">
        <f t="shared" ref="E181:AS181" si="539">SUM(E182+E183+E184+E188+E190+E192+E194+E196+E204)</f>
        <v>648298503</v>
      </c>
      <c r="F181" s="27">
        <f t="shared" si="539"/>
        <v>172122595</v>
      </c>
      <c r="G181" s="27">
        <f t="shared" si="539"/>
        <v>23469674</v>
      </c>
      <c r="H181" s="27">
        <f t="shared" si="539"/>
        <v>5135940</v>
      </c>
      <c r="I181" s="27">
        <f t="shared" si="539"/>
        <v>11276496</v>
      </c>
      <c r="J181" s="27">
        <f t="shared" si="539"/>
        <v>1148283</v>
      </c>
      <c r="K181" s="27">
        <f t="shared" si="539"/>
        <v>565329</v>
      </c>
      <c r="L181" s="27">
        <f t="shared" si="539"/>
        <v>5307529</v>
      </c>
      <c r="M181" s="27">
        <f t="shared" si="539"/>
        <v>0</v>
      </c>
      <c r="N181" s="27">
        <f t="shared" si="539"/>
        <v>1834766</v>
      </c>
      <c r="O181" s="27">
        <f t="shared" si="539"/>
        <v>2420589</v>
      </c>
      <c r="P181" s="27">
        <f t="shared" si="539"/>
        <v>0</v>
      </c>
      <c r="Q181" s="27">
        <f t="shared" si="539"/>
        <v>0</v>
      </c>
      <c r="R181" s="27">
        <f t="shared" si="539"/>
        <v>0</v>
      </c>
      <c r="S181" s="27">
        <f t="shared" si="539"/>
        <v>0</v>
      </c>
      <c r="T181" s="27">
        <f t="shared" si="539"/>
        <v>136805</v>
      </c>
      <c r="U181" s="27">
        <f t="shared" si="539"/>
        <v>116908932</v>
      </c>
      <c r="V181" s="27">
        <f t="shared" si="539"/>
        <v>68465</v>
      </c>
      <c r="W181" s="27">
        <f t="shared" si="539"/>
        <v>883358</v>
      </c>
      <c r="X181" s="27">
        <f t="shared" si="539"/>
        <v>384335</v>
      </c>
      <c r="Y181" s="27">
        <f t="shared" si="539"/>
        <v>759681</v>
      </c>
      <c r="Z181" s="27">
        <f t="shared" si="539"/>
        <v>83507</v>
      </c>
      <c r="AA181" s="27">
        <f t="shared" si="539"/>
        <v>0</v>
      </c>
      <c r="AB181" s="27">
        <f t="shared" si="539"/>
        <v>114696971</v>
      </c>
      <c r="AC181" s="27">
        <f t="shared" si="539"/>
        <v>32615</v>
      </c>
      <c r="AD181" s="27">
        <f t="shared" si="539"/>
        <v>15194748</v>
      </c>
      <c r="AE181" s="27">
        <f t="shared" si="539"/>
        <v>0</v>
      </c>
      <c r="AF181" s="27">
        <f t="shared" si="539"/>
        <v>0</v>
      </c>
      <c r="AG181" s="27">
        <f t="shared" si="539"/>
        <v>1500</v>
      </c>
      <c r="AH181" s="27">
        <f t="shared" si="539"/>
        <v>79207</v>
      </c>
      <c r="AI181" s="27">
        <f t="shared" si="539"/>
        <v>0</v>
      </c>
      <c r="AJ181" s="27">
        <f t="shared" si="539"/>
        <v>2858</v>
      </c>
      <c r="AK181" s="27">
        <f t="shared" si="539"/>
        <v>0</v>
      </c>
      <c r="AL181" s="27">
        <f t="shared" si="539"/>
        <v>13253</v>
      </c>
      <c r="AM181" s="27">
        <f t="shared" si="539"/>
        <v>0</v>
      </c>
      <c r="AN181" s="27">
        <f t="shared" si="539"/>
        <v>0</v>
      </c>
      <c r="AO181" s="27">
        <f t="shared" si="539"/>
        <v>0</v>
      </c>
      <c r="AP181" s="27"/>
      <c r="AQ181" s="27">
        <f t="shared" si="539"/>
        <v>0</v>
      </c>
      <c r="AR181" s="27">
        <f t="shared" si="539"/>
        <v>89856</v>
      </c>
      <c r="AS181" s="27">
        <f t="shared" si="539"/>
        <v>54879</v>
      </c>
      <c r="AT181" s="27"/>
      <c r="AU181" s="27"/>
      <c r="AV181" s="27">
        <f>SUM(AV182+AV183+AV184+AV188+AV190+AV192+AV194+AV196+AV204)</f>
        <v>14088512</v>
      </c>
      <c r="AW181" s="27">
        <f>SUM(AW182+AW183+AW184+AW188+AW190+AW192+AW194+AW196+AW204)</f>
        <v>23367</v>
      </c>
      <c r="AX181" s="27">
        <f>SUM(AX182+AX183+AX184+AX188+AX190+AX192+AX194+AX196+AX204)</f>
        <v>0</v>
      </c>
      <c r="AY181" s="27"/>
      <c r="AZ181" s="27">
        <f t="shared" ref="AZ181:CN181" si="540">SUM(AZ182+AZ183+AZ184+AZ188+AZ190+AZ192+AZ194+AZ196+AZ204)</f>
        <v>841316</v>
      </c>
      <c r="BA181" s="27">
        <f t="shared" si="540"/>
        <v>476175908</v>
      </c>
      <c r="BB181" s="27">
        <f t="shared" si="540"/>
        <v>0</v>
      </c>
      <c r="BC181" s="27">
        <f t="shared" si="540"/>
        <v>0</v>
      </c>
      <c r="BD181" s="27">
        <f t="shared" si="540"/>
        <v>0</v>
      </c>
      <c r="BE181" s="27">
        <f t="shared" si="540"/>
        <v>0</v>
      </c>
      <c r="BF181" s="27">
        <f t="shared" si="540"/>
        <v>0</v>
      </c>
      <c r="BG181" s="27">
        <f t="shared" si="540"/>
        <v>0</v>
      </c>
      <c r="BH181" s="27">
        <f t="shared" si="540"/>
        <v>0</v>
      </c>
      <c r="BI181" s="27">
        <f t="shared" si="540"/>
        <v>0</v>
      </c>
      <c r="BJ181" s="27">
        <f t="shared" ref="BJ181" si="541">SUM(BJ182+BJ183+BJ184+BJ188+BJ190+BJ192+BJ194+BJ196+BJ204)</f>
        <v>0</v>
      </c>
      <c r="BK181" s="27">
        <f t="shared" si="540"/>
        <v>0</v>
      </c>
      <c r="BL181" s="27">
        <f t="shared" si="540"/>
        <v>0</v>
      </c>
      <c r="BM181" s="27">
        <f t="shared" si="540"/>
        <v>0</v>
      </c>
      <c r="BN181" s="27">
        <f t="shared" si="540"/>
        <v>476175908</v>
      </c>
      <c r="BO181" s="27">
        <f t="shared" si="540"/>
        <v>61711662</v>
      </c>
      <c r="BP181" s="27">
        <f t="shared" si="540"/>
        <v>4471200</v>
      </c>
      <c r="BQ181" s="27">
        <f t="shared" si="540"/>
        <v>0</v>
      </c>
      <c r="BR181" s="27">
        <f t="shared" si="540"/>
        <v>25504374</v>
      </c>
      <c r="BS181" s="27">
        <f t="shared" si="540"/>
        <v>100000</v>
      </c>
      <c r="BT181" s="27">
        <f t="shared" si="540"/>
        <v>0</v>
      </c>
      <c r="BU181" s="27">
        <f t="shared" si="540"/>
        <v>177892396</v>
      </c>
      <c r="BV181" s="27">
        <f t="shared" si="540"/>
        <v>1910000</v>
      </c>
      <c r="BW181" s="27">
        <f t="shared" si="540"/>
        <v>296784</v>
      </c>
      <c r="BX181" s="27">
        <f t="shared" si="540"/>
        <v>186636485</v>
      </c>
      <c r="BY181" s="27">
        <f t="shared" si="540"/>
        <v>17653007</v>
      </c>
      <c r="BZ181" s="27">
        <f t="shared" si="540"/>
        <v>904075</v>
      </c>
      <c r="CA181" s="27">
        <f t="shared" si="540"/>
        <v>904075</v>
      </c>
      <c r="CB181" s="27">
        <f t="shared" si="540"/>
        <v>807022</v>
      </c>
      <c r="CC181" s="27">
        <f t="shared" si="540"/>
        <v>0</v>
      </c>
      <c r="CD181" s="27">
        <f t="shared" si="540"/>
        <v>807022</v>
      </c>
      <c r="CE181" s="27">
        <f t="shared" si="540"/>
        <v>0</v>
      </c>
      <c r="CF181" s="27">
        <f t="shared" si="540"/>
        <v>0</v>
      </c>
      <c r="CG181" s="27">
        <f t="shared" si="540"/>
        <v>0</v>
      </c>
      <c r="CH181" s="27">
        <f t="shared" si="540"/>
        <v>0</v>
      </c>
      <c r="CI181" s="27">
        <f t="shared" si="540"/>
        <v>0</v>
      </c>
      <c r="CJ181" s="27">
        <f t="shared" ref="CJ181" si="542">SUM(CJ182+CJ183+CJ184+CJ188+CJ190+CJ192+CJ194+CJ196+CJ204)</f>
        <v>0</v>
      </c>
      <c r="CK181" s="27">
        <f t="shared" si="540"/>
        <v>97053</v>
      </c>
      <c r="CL181" s="27">
        <f t="shared" si="540"/>
        <v>0</v>
      </c>
      <c r="CM181" s="27">
        <f t="shared" si="540"/>
        <v>97053</v>
      </c>
      <c r="CN181" s="27">
        <f t="shared" si="540"/>
        <v>0</v>
      </c>
      <c r="CO181" s="27"/>
      <c r="CP181" s="27"/>
      <c r="CQ181" s="27"/>
      <c r="CR181" s="27"/>
      <c r="CS181" s="27">
        <f t="shared" ref="CS181:CZ181" si="543">SUM(CS182+CS183+CS184+CS188+CS190+CS192+CS194+CS196+CS204)</f>
        <v>0</v>
      </c>
      <c r="CT181" s="27"/>
      <c r="CU181" s="27"/>
      <c r="CV181" s="27"/>
      <c r="CW181" s="27">
        <f t="shared" si="543"/>
        <v>0</v>
      </c>
      <c r="CX181" s="27">
        <f t="shared" si="543"/>
        <v>0</v>
      </c>
      <c r="CY181" s="27">
        <f t="shared" si="543"/>
        <v>0</v>
      </c>
      <c r="CZ181" s="60">
        <f t="shared" si="543"/>
        <v>0</v>
      </c>
      <c r="DA181" s="57"/>
    </row>
    <row r="182" spans="1:105" s="58" customFormat="1" ht="15.75" x14ac:dyDescent="0.25">
      <c r="A182" s="79" t="s">
        <v>277</v>
      </c>
      <c r="B182" s="16" t="s">
        <v>1</v>
      </c>
      <c r="C182" s="17" t="s">
        <v>278</v>
      </c>
      <c r="D182" s="18">
        <f>SUM(E182+BZ182+CW182)</f>
        <v>90737293</v>
      </c>
      <c r="E182" s="18">
        <f>SUM(F182+BA182)</f>
        <v>90737293</v>
      </c>
      <c r="F182" s="18">
        <f t="shared" ref="F182:F183" si="544">SUM(G182+H182+I182+P182+S182+T182+U182+AD182)</f>
        <v>0</v>
      </c>
      <c r="G182" s="18">
        <v>0</v>
      </c>
      <c r="H182" s="18">
        <v>0</v>
      </c>
      <c r="I182" s="18">
        <f t="shared" si="354"/>
        <v>0</v>
      </c>
      <c r="J182" s="18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f t="shared" si="355"/>
        <v>0</v>
      </c>
      <c r="Q182" s="18">
        <v>0</v>
      </c>
      <c r="R182" s="18">
        <v>0</v>
      </c>
      <c r="S182" s="18">
        <v>0</v>
      </c>
      <c r="T182" s="18">
        <v>0</v>
      </c>
      <c r="U182" s="18">
        <f t="shared" ref="U182:U183" si="545">SUM(V182:AC182)</f>
        <v>0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0</v>
      </c>
      <c r="AB182" s="18">
        <v>0</v>
      </c>
      <c r="AC182" s="18">
        <v>0</v>
      </c>
      <c r="AD182" s="18">
        <f>SUM(AE182:AZ182)</f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18">
        <v>0</v>
      </c>
      <c r="AK182" s="18">
        <v>0</v>
      </c>
      <c r="AL182" s="18">
        <v>0</v>
      </c>
      <c r="AM182" s="18">
        <v>0</v>
      </c>
      <c r="AN182" s="18">
        <v>0</v>
      </c>
      <c r="AO182" s="18">
        <v>0</v>
      </c>
      <c r="AP182" s="18"/>
      <c r="AQ182" s="18">
        <v>0</v>
      </c>
      <c r="AR182" s="18">
        <v>0</v>
      </c>
      <c r="AS182" s="18">
        <v>0</v>
      </c>
      <c r="AT182" s="18"/>
      <c r="AU182" s="18"/>
      <c r="AV182" s="18">
        <v>0</v>
      </c>
      <c r="AW182" s="18">
        <v>0</v>
      </c>
      <c r="AX182" s="18">
        <v>0</v>
      </c>
      <c r="AY182" s="18"/>
      <c r="AZ182" s="18">
        <v>0</v>
      </c>
      <c r="BA182" s="18">
        <f>SUM(BB182+BF182+BI182+BK182+BN182)</f>
        <v>90737293</v>
      </c>
      <c r="BB182" s="18">
        <f>SUM(BC182:BE182)</f>
        <v>0</v>
      </c>
      <c r="BC182" s="18">
        <v>0</v>
      </c>
      <c r="BD182" s="18">
        <v>0</v>
      </c>
      <c r="BE182" s="18">
        <v>0</v>
      </c>
      <c r="BF182" s="18">
        <f>SUM(BH182:BH182)</f>
        <v>0</v>
      </c>
      <c r="BG182" s="18">
        <v>0</v>
      </c>
      <c r="BH182" s="18">
        <v>0</v>
      </c>
      <c r="BI182" s="18">
        <v>0</v>
      </c>
      <c r="BJ182" s="18">
        <v>0</v>
      </c>
      <c r="BK182" s="18">
        <f t="shared" si="357"/>
        <v>0</v>
      </c>
      <c r="BL182" s="18">
        <v>0</v>
      </c>
      <c r="BM182" s="18">
        <v>0</v>
      </c>
      <c r="BN182" s="18">
        <f>SUM(BO182:BY182)</f>
        <v>90737293</v>
      </c>
      <c r="BO182" s="56">
        <f>48330768-80000</f>
        <v>48250768</v>
      </c>
      <c r="BP182" s="56">
        <v>0</v>
      </c>
      <c r="BQ182" s="56">
        <v>0</v>
      </c>
      <c r="BR182" s="56">
        <v>0</v>
      </c>
      <c r="BS182" s="56">
        <v>0</v>
      </c>
      <c r="BT182" s="56">
        <v>0</v>
      </c>
      <c r="BU182" s="56">
        <v>0</v>
      </c>
      <c r="BV182" s="56">
        <v>0</v>
      </c>
      <c r="BW182" s="56">
        <v>0</v>
      </c>
      <c r="BX182" s="56">
        <f>41971945-83743</f>
        <v>41888202</v>
      </c>
      <c r="BY182" s="56">
        <v>598323</v>
      </c>
      <c r="BZ182" s="18">
        <f>SUM(CA182+CS182)</f>
        <v>0</v>
      </c>
      <c r="CA182" s="18">
        <f>SUM(CB182+CE182+CK182)</f>
        <v>0</v>
      </c>
      <c r="CB182" s="18">
        <f t="shared" si="358"/>
        <v>0</v>
      </c>
      <c r="CC182" s="18">
        <v>0</v>
      </c>
      <c r="CD182" s="18">
        <v>0</v>
      </c>
      <c r="CE182" s="18">
        <f>SUM(CF182:CJ182)</f>
        <v>0</v>
      </c>
      <c r="CF182" s="18">
        <v>0</v>
      </c>
      <c r="CG182" s="18">
        <v>0</v>
      </c>
      <c r="CH182" s="18">
        <v>0</v>
      </c>
      <c r="CI182" s="18">
        <v>0</v>
      </c>
      <c r="CJ182" s="18">
        <v>0</v>
      </c>
      <c r="CK182" s="18">
        <f>SUM(CL182:CP182)</f>
        <v>0</v>
      </c>
      <c r="CL182" s="18">
        <v>0</v>
      </c>
      <c r="CM182" s="18">
        <v>0</v>
      </c>
      <c r="CN182" s="18">
        <v>0</v>
      </c>
      <c r="CO182" s="18"/>
      <c r="CP182" s="18"/>
      <c r="CQ182" s="18"/>
      <c r="CR182" s="18"/>
      <c r="CS182" s="18">
        <v>0</v>
      </c>
      <c r="CT182" s="18"/>
      <c r="CU182" s="18"/>
      <c r="CV182" s="18"/>
      <c r="CW182" s="18">
        <f t="shared" si="360"/>
        <v>0</v>
      </c>
      <c r="CX182" s="18">
        <f t="shared" si="361"/>
        <v>0</v>
      </c>
      <c r="CY182" s="18">
        <v>0</v>
      </c>
      <c r="CZ182" s="46">
        <v>0</v>
      </c>
      <c r="DA182" s="57"/>
    </row>
    <row r="183" spans="1:105" s="58" customFormat="1" ht="31.5" x14ac:dyDescent="0.25">
      <c r="A183" s="79" t="s">
        <v>279</v>
      </c>
      <c r="B183" s="16" t="s">
        <v>1</v>
      </c>
      <c r="C183" s="17" t="s">
        <v>280</v>
      </c>
      <c r="D183" s="18">
        <f>SUM(E183+BZ183+CW183)</f>
        <v>17432983</v>
      </c>
      <c r="E183" s="18">
        <f>SUM(F183+BA183)</f>
        <v>17432983</v>
      </c>
      <c r="F183" s="18">
        <f t="shared" si="544"/>
        <v>0</v>
      </c>
      <c r="G183" s="18">
        <v>0</v>
      </c>
      <c r="H183" s="18">
        <v>0</v>
      </c>
      <c r="I183" s="18">
        <f t="shared" si="354"/>
        <v>0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f t="shared" si="355"/>
        <v>0</v>
      </c>
      <c r="Q183" s="18">
        <v>0</v>
      </c>
      <c r="R183" s="18">
        <v>0</v>
      </c>
      <c r="S183" s="18">
        <v>0</v>
      </c>
      <c r="T183" s="18">
        <v>0</v>
      </c>
      <c r="U183" s="18">
        <f t="shared" si="545"/>
        <v>0</v>
      </c>
      <c r="V183" s="18">
        <v>0</v>
      </c>
      <c r="W183" s="18">
        <v>0</v>
      </c>
      <c r="X183" s="18">
        <v>0</v>
      </c>
      <c r="Y183" s="18">
        <v>0</v>
      </c>
      <c r="Z183" s="18">
        <v>0</v>
      </c>
      <c r="AA183" s="18">
        <v>0</v>
      </c>
      <c r="AB183" s="18">
        <v>0</v>
      </c>
      <c r="AC183" s="18">
        <v>0</v>
      </c>
      <c r="AD183" s="18">
        <f>SUM(AE183:AZ183)</f>
        <v>0</v>
      </c>
      <c r="AE183" s="18">
        <v>0</v>
      </c>
      <c r="AF183" s="18">
        <v>0</v>
      </c>
      <c r="AG183" s="18">
        <v>0</v>
      </c>
      <c r="AH183" s="18">
        <v>0</v>
      </c>
      <c r="AI183" s="18">
        <v>0</v>
      </c>
      <c r="AJ183" s="18">
        <v>0</v>
      </c>
      <c r="AK183" s="18">
        <v>0</v>
      </c>
      <c r="AL183" s="18">
        <v>0</v>
      </c>
      <c r="AM183" s="18">
        <v>0</v>
      </c>
      <c r="AN183" s="18">
        <v>0</v>
      </c>
      <c r="AO183" s="18">
        <v>0</v>
      </c>
      <c r="AP183" s="18"/>
      <c r="AQ183" s="18">
        <v>0</v>
      </c>
      <c r="AR183" s="18">
        <v>0</v>
      </c>
      <c r="AS183" s="18">
        <v>0</v>
      </c>
      <c r="AT183" s="18"/>
      <c r="AU183" s="18"/>
      <c r="AV183" s="18">
        <v>0</v>
      </c>
      <c r="AW183" s="18">
        <v>0</v>
      </c>
      <c r="AX183" s="18">
        <v>0</v>
      </c>
      <c r="AY183" s="18"/>
      <c r="AZ183" s="18">
        <v>0</v>
      </c>
      <c r="BA183" s="18">
        <f>SUM(BB183+BF183+BI183+BK183+BN183)</f>
        <v>17432983</v>
      </c>
      <c r="BB183" s="18">
        <f>SUM(BC183:BE183)</f>
        <v>0</v>
      </c>
      <c r="BC183" s="18">
        <v>0</v>
      </c>
      <c r="BD183" s="18">
        <v>0</v>
      </c>
      <c r="BE183" s="18">
        <v>0</v>
      </c>
      <c r="BF183" s="18">
        <f>SUM(BH183:BH183)</f>
        <v>0</v>
      </c>
      <c r="BG183" s="18">
        <v>0</v>
      </c>
      <c r="BH183" s="18">
        <v>0</v>
      </c>
      <c r="BI183" s="18">
        <v>0</v>
      </c>
      <c r="BJ183" s="18">
        <v>0</v>
      </c>
      <c r="BK183" s="18">
        <f t="shared" si="357"/>
        <v>0</v>
      </c>
      <c r="BL183" s="18">
        <v>0</v>
      </c>
      <c r="BM183" s="18">
        <v>0</v>
      </c>
      <c r="BN183" s="18">
        <f>SUM(BO183:BY183)</f>
        <v>17432983</v>
      </c>
      <c r="BO183" s="56">
        <v>13460894</v>
      </c>
      <c r="BP183" s="56">
        <v>0</v>
      </c>
      <c r="BQ183" s="56">
        <v>0</v>
      </c>
      <c r="BR183" s="56">
        <v>0</v>
      </c>
      <c r="BS183" s="56">
        <v>0</v>
      </c>
      <c r="BT183" s="56">
        <v>0</v>
      </c>
      <c r="BU183" s="56">
        <v>0</v>
      </c>
      <c r="BV183" s="56">
        <v>0</v>
      </c>
      <c r="BW183" s="56">
        <v>0</v>
      </c>
      <c r="BX183" s="56">
        <v>3404430</v>
      </c>
      <c r="BY183" s="56">
        <v>567659</v>
      </c>
      <c r="BZ183" s="18">
        <f>SUM(CA183+CS183)</f>
        <v>0</v>
      </c>
      <c r="CA183" s="18">
        <f>SUM(CB183+CE183+CK183)</f>
        <v>0</v>
      </c>
      <c r="CB183" s="18">
        <f t="shared" si="358"/>
        <v>0</v>
      </c>
      <c r="CC183" s="18">
        <v>0</v>
      </c>
      <c r="CD183" s="18">
        <v>0</v>
      </c>
      <c r="CE183" s="18">
        <f>SUM(CF183:CJ183)</f>
        <v>0</v>
      </c>
      <c r="CF183" s="18">
        <v>0</v>
      </c>
      <c r="CG183" s="18">
        <v>0</v>
      </c>
      <c r="CH183" s="18">
        <v>0</v>
      </c>
      <c r="CI183" s="18">
        <v>0</v>
      </c>
      <c r="CJ183" s="18">
        <v>0</v>
      </c>
      <c r="CK183" s="18">
        <f>SUM(CL183:CP183)</f>
        <v>0</v>
      </c>
      <c r="CL183" s="18">
        <v>0</v>
      </c>
      <c r="CM183" s="18">
        <v>0</v>
      </c>
      <c r="CN183" s="18">
        <v>0</v>
      </c>
      <c r="CO183" s="18"/>
      <c r="CP183" s="18"/>
      <c r="CQ183" s="18"/>
      <c r="CR183" s="18"/>
      <c r="CS183" s="18">
        <v>0</v>
      </c>
      <c r="CT183" s="18"/>
      <c r="CU183" s="18"/>
      <c r="CV183" s="18"/>
      <c r="CW183" s="18">
        <f t="shared" si="360"/>
        <v>0</v>
      </c>
      <c r="CX183" s="18">
        <f t="shared" si="361"/>
        <v>0</v>
      </c>
      <c r="CY183" s="18">
        <v>0</v>
      </c>
      <c r="CZ183" s="46">
        <v>0</v>
      </c>
      <c r="DA183" s="57"/>
    </row>
    <row r="184" spans="1:105" s="58" customFormat="1" ht="21.75" customHeight="1" x14ac:dyDescent="0.25">
      <c r="A184" s="79" t="s">
        <v>281</v>
      </c>
      <c r="B184" s="16" t="s">
        <v>1</v>
      </c>
      <c r="C184" s="17" t="s">
        <v>282</v>
      </c>
      <c r="D184" s="18">
        <f>SUM(D185:D187)</f>
        <v>37929471</v>
      </c>
      <c r="E184" s="18">
        <f t="shared" ref="E184:BT184" si="546">SUM(E185:E187)</f>
        <v>37067718</v>
      </c>
      <c r="F184" s="18">
        <f t="shared" si="546"/>
        <v>37067718</v>
      </c>
      <c r="G184" s="18">
        <f>SUM(G185:G187)</f>
        <v>21562877</v>
      </c>
      <c r="H184" s="18">
        <f>SUM(H185:H187)</f>
        <v>4936705</v>
      </c>
      <c r="I184" s="18">
        <f t="shared" si="546"/>
        <v>8033598</v>
      </c>
      <c r="J184" s="18">
        <f t="shared" si="546"/>
        <v>1148283</v>
      </c>
      <c r="K184" s="18">
        <f t="shared" si="546"/>
        <v>555329</v>
      </c>
      <c r="L184" s="18">
        <f t="shared" si="546"/>
        <v>5307529</v>
      </c>
      <c r="M184" s="18">
        <f t="shared" si="546"/>
        <v>0</v>
      </c>
      <c r="N184" s="18">
        <f t="shared" si="546"/>
        <v>849552</v>
      </c>
      <c r="O184" s="18">
        <f t="shared" si="546"/>
        <v>172905</v>
      </c>
      <c r="P184" s="18">
        <f t="shared" si="546"/>
        <v>0</v>
      </c>
      <c r="Q184" s="18">
        <f t="shared" si="546"/>
        <v>0</v>
      </c>
      <c r="R184" s="18">
        <f t="shared" si="546"/>
        <v>0</v>
      </c>
      <c r="S184" s="18">
        <f t="shared" si="546"/>
        <v>0</v>
      </c>
      <c r="T184" s="18">
        <f t="shared" si="546"/>
        <v>64972</v>
      </c>
      <c r="U184" s="18">
        <f t="shared" si="546"/>
        <v>2211961</v>
      </c>
      <c r="V184" s="18">
        <f t="shared" si="546"/>
        <v>68465</v>
      </c>
      <c r="W184" s="18">
        <f t="shared" si="546"/>
        <v>883358</v>
      </c>
      <c r="X184" s="18">
        <f t="shared" si="546"/>
        <v>384335</v>
      </c>
      <c r="Y184" s="18">
        <f t="shared" si="546"/>
        <v>759681</v>
      </c>
      <c r="Z184" s="18">
        <f t="shared" si="546"/>
        <v>83507</v>
      </c>
      <c r="AA184" s="18">
        <f t="shared" si="546"/>
        <v>0</v>
      </c>
      <c r="AB184" s="18">
        <f t="shared" si="546"/>
        <v>0</v>
      </c>
      <c r="AC184" s="18">
        <f t="shared" si="546"/>
        <v>32615</v>
      </c>
      <c r="AD184" s="18">
        <f t="shared" si="546"/>
        <v>257605</v>
      </c>
      <c r="AE184" s="18">
        <f t="shared" si="546"/>
        <v>0</v>
      </c>
      <c r="AF184" s="18">
        <f t="shared" si="546"/>
        <v>0</v>
      </c>
      <c r="AG184" s="18">
        <f t="shared" si="546"/>
        <v>1500</v>
      </c>
      <c r="AH184" s="18">
        <f t="shared" si="546"/>
        <v>79207</v>
      </c>
      <c r="AI184" s="18">
        <f t="shared" si="546"/>
        <v>0</v>
      </c>
      <c r="AJ184" s="18">
        <f t="shared" si="546"/>
        <v>2858</v>
      </c>
      <c r="AK184" s="18">
        <f t="shared" si="546"/>
        <v>0</v>
      </c>
      <c r="AL184" s="18">
        <f t="shared" si="546"/>
        <v>13253</v>
      </c>
      <c r="AM184" s="18">
        <f t="shared" si="546"/>
        <v>0</v>
      </c>
      <c r="AN184" s="18">
        <f t="shared" si="546"/>
        <v>0</v>
      </c>
      <c r="AO184" s="18">
        <f t="shared" si="546"/>
        <v>0</v>
      </c>
      <c r="AP184" s="18"/>
      <c r="AQ184" s="18">
        <f t="shared" si="546"/>
        <v>0</v>
      </c>
      <c r="AR184" s="18">
        <f t="shared" si="546"/>
        <v>89856</v>
      </c>
      <c r="AS184" s="18">
        <f t="shared" si="546"/>
        <v>54879</v>
      </c>
      <c r="AT184" s="18"/>
      <c r="AU184" s="18"/>
      <c r="AV184" s="18">
        <f t="shared" si="546"/>
        <v>6304</v>
      </c>
      <c r="AW184" s="18">
        <f t="shared" si="546"/>
        <v>0</v>
      </c>
      <c r="AX184" s="18">
        <f t="shared" si="546"/>
        <v>0</v>
      </c>
      <c r="AY184" s="18"/>
      <c r="AZ184" s="18">
        <f t="shared" si="546"/>
        <v>9748</v>
      </c>
      <c r="BA184" s="18">
        <f t="shared" si="546"/>
        <v>0</v>
      </c>
      <c r="BB184" s="18">
        <f t="shared" si="546"/>
        <v>0</v>
      </c>
      <c r="BC184" s="18">
        <f t="shared" si="546"/>
        <v>0</v>
      </c>
      <c r="BD184" s="18">
        <f t="shared" si="546"/>
        <v>0</v>
      </c>
      <c r="BE184" s="18">
        <f t="shared" si="546"/>
        <v>0</v>
      </c>
      <c r="BF184" s="18">
        <f t="shared" si="546"/>
        <v>0</v>
      </c>
      <c r="BG184" s="18">
        <f t="shared" si="546"/>
        <v>0</v>
      </c>
      <c r="BH184" s="18">
        <f t="shared" si="546"/>
        <v>0</v>
      </c>
      <c r="BI184" s="18">
        <f t="shared" si="546"/>
        <v>0</v>
      </c>
      <c r="BJ184" s="18">
        <f t="shared" ref="BJ184" si="547">SUM(BJ185:BJ187)</f>
        <v>0</v>
      </c>
      <c r="BK184" s="18">
        <f t="shared" si="546"/>
        <v>0</v>
      </c>
      <c r="BL184" s="18">
        <f t="shared" si="546"/>
        <v>0</v>
      </c>
      <c r="BM184" s="18">
        <f t="shared" ref="BM184" si="548">SUM(BM185:BM187)</f>
        <v>0</v>
      </c>
      <c r="BN184" s="18">
        <f t="shared" si="546"/>
        <v>0</v>
      </c>
      <c r="BO184" s="18">
        <f t="shared" si="546"/>
        <v>0</v>
      </c>
      <c r="BP184" s="18">
        <f t="shared" si="546"/>
        <v>0</v>
      </c>
      <c r="BQ184" s="18">
        <f t="shared" si="546"/>
        <v>0</v>
      </c>
      <c r="BR184" s="18">
        <f t="shared" si="546"/>
        <v>0</v>
      </c>
      <c r="BS184" s="18">
        <f t="shared" si="546"/>
        <v>0</v>
      </c>
      <c r="BT184" s="18">
        <f t="shared" si="546"/>
        <v>0</v>
      </c>
      <c r="BU184" s="18">
        <f t="shared" ref="BU184:CZ184" si="549">SUM(BU185:BU187)</f>
        <v>0</v>
      </c>
      <c r="BV184" s="18">
        <f t="shared" si="549"/>
        <v>0</v>
      </c>
      <c r="BW184" s="18">
        <f t="shared" si="549"/>
        <v>0</v>
      </c>
      <c r="BX184" s="18">
        <f t="shared" si="549"/>
        <v>0</v>
      </c>
      <c r="BY184" s="18">
        <f t="shared" si="549"/>
        <v>0</v>
      </c>
      <c r="BZ184" s="18">
        <f t="shared" si="549"/>
        <v>861753</v>
      </c>
      <c r="CA184" s="18">
        <f t="shared" si="549"/>
        <v>861753</v>
      </c>
      <c r="CB184" s="18">
        <f t="shared" si="549"/>
        <v>764700</v>
      </c>
      <c r="CC184" s="18">
        <f t="shared" si="549"/>
        <v>0</v>
      </c>
      <c r="CD184" s="18">
        <f t="shared" si="549"/>
        <v>764700</v>
      </c>
      <c r="CE184" s="18">
        <f t="shared" si="549"/>
        <v>0</v>
      </c>
      <c r="CF184" s="18">
        <f t="shared" si="549"/>
        <v>0</v>
      </c>
      <c r="CG184" s="18">
        <f t="shared" ref="CG184:CH184" si="550">SUM(CG185:CG187)</f>
        <v>0</v>
      </c>
      <c r="CH184" s="18">
        <f t="shared" si="550"/>
        <v>0</v>
      </c>
      <c r="CI184" s="18">
        <f t="shared" si="549"/>
        <v>0</v>
      </c>
      <c r="CJ184" s="18">
        <f t="shared" ref="CJ184" si="551">SUM(CJ185:CJ187)</f>
        <v>0</v>
      </c>
      <c r="CK184" s="18">
        <f t="shared" si="549"/>
        <v>97053</v>
      </c>
      <c r="CL184" s="18">
        <f t="shared" si="549"/>
        <v>0</v>
      </c>
      <c r="CM184" s="18">
        <f t="shared" ref="CM184" si="552">SUM(CM185:CM187)</f>
        <v>97053</v>
      </c>
      <c r="CN184" s="18">
        <f t="shared" si="549"/>
        <v>0</v>
      </c>
      <c r="CO184" s="18"/>
      <c r="CP184" s="18"/>
      <c r="CQ184" s="18"/>
      <c r="CR184" s="18"/>
      <c r="CS184" s="18">
        <f t="shared" si="549"/>
        <v>0</v>
      </c>
      <c r="CT184" s="18"/>
      <c r="CU184" s="18"/>
      <c r="CV184" s="18"/>
      <c r="CW184" s="18">
        <f t="shared" si="549"/>
        <v>0</v>
      </c>
      <c r="CX184" s="18">
        <f t="shared" si="549"/>
        <v>0</v>
      </c>
      <c r="CY184" s="18">
        <f t="shared" si="549"/>
        <v>0</v>
      </c>
      <c r="CZ184" s="46">
        <f t="shared" si="549"/>
        <v>0</v>
      </c>
      <c r="DA184" s="57"/>
    </row>
    <row r="185" spans="1:105" ht="31.5" x14ac:dyDescent="0.25">
      <c r="A185" s="80" t="s">
        <v>1</v>
      </c>
      <c r="B185" s="21" t="s">
        <v>82</v>
      </c>
      <c r="C185" s="22" t="s">
        <v>283</v>
      </c>
      <c r="D185" s="18">
        <f>SUM(E185+BZ185+CW185)</f>
        <v>6772474</v>
      </c>
      <c r="E185" s="19">
        <f>SUM(F185+BA185)</f>
        <v>6622491</v>
      </c>
      <c r="F185" s="19">
        <f t="shared" ref="F185:F187" si="553">SUM(G185+H185+I185+P185+S185+T185+U185+AD185)</f>
        <v>6622491</v>
      </c>
      <c r="G185" s="23">
        <f>3445625+789622</f>
        <v>4235247</v>
      </c>
      <c r="H185" s="23">
        <f>808033+185175</f>
        <v>993208</v>
      </c>
      <c r="I185" s="19">
        <f t="shared" si="354"/>
        <v>1176028</v>
      </c>
      <c r="J185" s="23">
        <v>267480</v>
      </c>
      <c r="K185" s="23">
        <v>30348</v>
      </c>
      <c r="L185" s="23">
        <v>632612</v>
      </c>
      <c r="M185" s="23">
        <v>0</v>
      </c>
      <c r="N185" s="23">
        <v>182274</v>
      </c>
      <c r="O185" s="23">
        <v>63314</v>
      </c>
      <c r="P185" s="19">
        <f t="shared" si="355"/>
        <v>0</v>
      </c>
      <c r="Q185" s="19">
        <v>0</v>
      </c>
      <c r="R185" s="19">
        <v>0</v>
      </c>
      <c r="S185" s="19">
        <v>0</v>
      </c>
      <c r="T185" s="23">
        <v>8869</v>
      </c>
      <c r="U185" s="19">
        <f t="shared" ref="U185:U187" si="554">SUM(V185:AC185)</f>
        <v>173708</v>
      </c>
      <c r="V185" s="23">
        <f>7136+16472</f>
        <v>23608</v>
      </c>
      <c r="W185" s="23">
        <f>28893+941</f>
        <v>29834</v>
      </c>
      <c r="X185" s="23">
        <v>47695</v>
      </c>
      <c r="Y185" s="23">
        <v>36642</v>
      </c>
      <c r="Z185" s="23">
        <v>19570</v>
      </c>
      <c r="AA185" s="23">
        <v>0</v>
      </c>
      <c r="AB185" s="23">
        <v>0</v>
      </c>
      <c r="AC185" s="23">
        <v>16359</v>
      </c>
      <c r="AD185" s="19">
        <f>SUM(AE185:AZ185)</f>
        <v>35431</v>
      </c>
      <c r="AE185" s="19">
        <v>0</v>
      </c>
      <c r="AF185" s="19">
        <v>0</v>
      </c>
      <c r="AG185" s="19">
        <v>0</v>
      </c>
      <c r="AH185" s="23">
        <v>4130</v>
      </c>
      <c r="AI185" s="23">
        <v>0</v>
      </c>
      <c r="AJ185" s="23">
        <v>0</v>
      </c>
      <c r="AK185" s="23">
        <v>0</v>
      </c>
      <c r="AL185" s="23">
        <v>101</v>
      </c>
      <c r="AM185" s="23">
        <v>0</v>
      </c>
      <c r="AN185" s="23">
        <v>0</v>
      </c>
      <c r="AO185" s="23">
        <v>0</v>
      </c>
      <c r="AP185" s="23"/>
      <c r="AQ185" s="23">
        <v>0</v>
      </c>
      <c r="AR185" s="23">
        <v>19200</v>
      </c>
      <c r="AS185" s="23">
        <v>12000</v>
      </c>
      <c r="AT185" s="23">
        <v>0</v>
      </c>
      <c r="AU185" s="23">
        <v>0</v>
      </c>
      <c r="AV185" s="23">
        <v>0</v>
      </c>
      <c r="AW185" s="23">
        <v>0</v>
      </c>
      <c r="AX185" s="23">
        <v>0</v>
      </c>
      <c r="AY185" s="23">
        <v>0</v>
      </c>
      <c r="AZ185" s="23">
        <v>0</v>
      </c>
      <c r="BA185" s="19">
        <f>SUM(BB185+BF185+BI185+BK185+BN185)</f>
        <v>0</v>
      </c>
      <c r="BB185" s="19">
        <f>SUM(BC185:BE185)</f>
        <v>0</v>
      </c>
      <c r="BC185" s="19">
        <v>0</v>
      </c>
      <c r="BD185" s="19">
        <v>0</v>
      </c>
      <c r="BE185" s="19">
        <v>0</v>
      </c>
      <c r="BF185" s="19">
        <f>SUM(BH185:BH185)</f>
        <v>0</v>
      </c>
      <c r="BG185" s="19">
        <v>0</v>
      </c>
      <c r="BH185" s="19">
        <v>0</v>
      </c>
      <c r="BI185" s="19">
        <v>0</v>
      </c>
      <c r="BJ185" s="19">
        <v>0</v>
      </c>
      <c r="BK185" s="19">
        <f t="shared" si="357"/>
        <v>0</v>
      </c>
      <c r="BL185" s="19">
        <v>0</v>
      </c>
      <c r="BM185" s="19">
        <v>0</v>
      </c>
      <c r="BN185" s="19">
        <f>SUM(BO185:BY185)</f>
        <v>0</v>
      </c>
      <c r="BO185" s="19">
        <v>0</v>
      </c>
      <c r="BP185" s="19">
        <v>0</v>
      </c>
      <c r="BQ185" s="19">
        <v>0</v>
      </c>
      <c r="BR185" s="19">
        <v>0</v>
      </c>
      <c r="BS185" s="19">
        <v>0</v>
      </c>
      <c r="BT185" s="19">
        <v>0</v>
      </c>
      <c r="BU185" s="19">
        <v>0</v>
      </c>
      <c r="BV185" s="19">
        <v>0</v>
      </c>
      <c r="BW185" s="19">
        <v>0</v>
      </c>
      <c r="BX185" s="19">
        <v>0</v>
      </c>
      <c r="BY185" s="19">
        <v>0</v>
      </c>
      <c r="BZ185" s="19">
        <f>SUM(CA185+CS185)</f>
        <v>149983</v>
      </c>
      <c r="CA185" s="19">
        <f>SUM(CB185+CE185+CK185)</f>
        <v>149983</v>
      </c>
      <c r="CB185" s="19">
        <f t="shared" si="358"/>
        <v>52930</v>
      </c>
      <c r="CC185" s="19">
        <v>0</v>
      </c>
      <c r="CD185" s="23">
        <v>52930</v>
      </c>
      <c r="CE185" s="19">
        <f t="shared" ref="CE185:CE187" si="555">SUM(CF185:CJ185)</f>
        <v>0</v>
      </c>
      <c r="CF185" s="19">
        <v>0</v>
      </c>
      <c r="CG185" s="19">
        <v>0</v>
      </c>
      <c r="CH185" s="19">
        <v>0</v>
      </c>
      <c r="CI185" s="19">
        <v>0</v>
      </c>
      <c r="CJ185" s="19">
        <v>0</v>
      </c>
      <c r="CK185" s="19">
        <f>SUM(CL185:CP185)</f>
        <v>97053</v>
      </c>
      <c r="CL185" s="19">
        <v>0</v>
      </c>
      <c r="CM185" s="19">
        <f>0+97053</f>
        <v>97053</v>
      </c>
      <c r="CN185" s="19">
        <v>0</v>
      </c>
      <c r="CO185" s="19"/>
      <c r="CP185" s="19"/>
      <c r="CQ185" s="19"/>
      <c r="CR185" s="19"/>
      <c r="CS185" s="19">
        <v>0</v>
      </c>
      <c r="CT185" s="19"/>
      <c r="CU185" s="19"/>
      <c r="CV185" s="19"/>
      <c r="CW185" s="19">
        <f t="shared" si="360"/>
        <v>0</v>
      </c>
      <c r="CX185" s="19">
        <f t="shared" si="361"/>
        <v>0</v>
      </c>
      <c r="CY185" s="19">
        <v>0</v>
      </c>
      <c r="CZ185" s="20">
        <v>0</v>
      </c>
    </row>
    <row r="186" spans="1:105" ht="31.5" x14ac:dyDescent="0.25">
      <c r="A186" s="80" t="s">
        <v>1</v>
      </c>
      <c r="B186" s="21" t="s">
        <v>82</v>
      </c>
      <c r="C186" s="22" t="s">
        <v>284</v>
      </c>
      <c r="D186" s="18">
        <f>SUM(E186+BZ186+CW186)</f>
        <v>30135806</v>
      </c>
      <c r="E186" s="19">
        <f>SUM(F186+BA186)</f>
        <v>29424036</v>
      </c>
      <c r="F186" s="19">
        <f t="shared" si="553"/>
        <v>29424036</v>
      </c>
      <c r="G186" s="23">
        <f>13378472+3163343</f>
        <v>16541815</v>
      </c>
      <c r="H186" s="23">
        <f>3051964+722583</f>
        <v>3774547</v>
      </c>
      <c r="I186" s="19">
        <f t="shared" si="354"/>
        <v>6802853</v>
      </c>
      <c r="J186" s="23">
        <v>880803</v>
      </c>
      <c r="K186" s="23">
        <v>524981</v>
      </c>
      <c r="L186" s="23">
        <v>4674917</v>
      </c>
      <c r="M186" s="23">
        <v>0</v>
      </c>
      <c r="N186" s="23">
        <v>618348</v>
      </c>
      <c r="O186" s="23">
        <v>103804</v>
      </c>
      <c r="P186" s="19">
        <f t="shared" si="355"/>
        <v>0</v>
      </c>
      <c r="Q186" s="19">
        <v>0</v>
      </c>
      <c r="R186" s="19">
        <v>0</v>
      </c>
      <c r="S186" s="19">
        <v>0</v>
      </c>
      <c r="T186" s="23">
        <v>49435</v>
      </c>
      <c r="U186" s="19">
        <f t="shared" si="554"/>
        <v>2035483</v>
      </c>
      <c r="V186" s="23">
        <v>44857</v>
      </c>
      <c r="W186" s="23">
        <f>835865+15955</f>
        <v>851820</v>
      </c>
      <c r="X186" s="23">
        <v>335857</v>
      </c>
      <c r="Y186" s="23">
        <v>722756</v>
      </c>
      <c r="Z186" s="23">
        <v>63937</v>
      </c>
      <c r="AA186" s="23">
        <v>0</v>
      </c>
      <c r="AB186" s="23">
        <v>0</v>
      </c>
      <c r="AC186" s="23">
        <v>16256</v>
      </c>
      <c r="AD186" s="19">
        <f>SUM(AE186:AZ186)</f>
        <v>219903</v>
      </c>
      <c r="AE186" s="19">
        <v>0</v>
      </c>
      <c r="AF186" s="19">
        <v>0</v>
      </c>
      <c r="AG186" s="19">
        <v>1500</v>
      </c>
      <c r="AH186" s="23">
        <v>75077</v>
      </c>
      <c r="AI186" s="23">
        <v>0</v>
      </c>
      <c r="AJ186" s="23">
        <v>2858</v>
      </c>
      <c r="AK186" s="23">
        <v>0</v>
      </c>
      <c r="AL186" s="23">
        <v>13152</v>
      </c>
      <c r="AM186" s="23">
        <v>0</v>
      </c>
      <c r="AN186" s="23">
        <v>0</v>
      </c>
      <c r="AO186" s="23">
        <v>0</v>
      </c>
      <c r="AP186" s="23"/>
      <c r="AQ186" s="23">
        <v>0</v>
      </c>
      <c r="AR186" s="23">
        <v>70656</v>
      </c>
      <c r="AS186" s="23">
        <v>42879</v>
      </c>
      <c r="AT186" s="23">
        <v>0</v>
      </c>
      <c r="AU186" s="23">
        <v>0</v>
      </c>
      <c r="AV186" s="23">
        <v>6304</v>
      </c>
      <c r="AW186" s="23">
        <v>0</v>
      </c>
      <c r="AX186" s="23">
        <v>0</v>
      </c>
      <c r="AY186" s="23">
        <v>0</v>
      </c>
      <c r="AZ186" s="23">
        <v>7477</v>
      </c>
      <c r="BA186" s="19">
        <f>SUM(BB186+BF186+BI186+BK186+BN186)</f>
        <v>0</v>
      </c>
      <c r="BB186" s="19">
        <f>SUM(BC186:BE186)</f>
        <v>0</v>
      </c>
      <c r="BC186" s="19">
        <v>0</v>
      </c>
      <c r="BD186" s="19">
        <v>0</v>
      </c>
      <c r="BE186" s="19">
        <v>0</v>
      </c>
      <c r="BF186" s="19">
        <f>SUM(BH186:BH186)</f>
        <v>0</v>
      </c>
      <c r="BG186" s="19">
        <v>0</v>
      </c>
      <c r="BH186" s="19">
        <v>0</v>
      </c>
      <c r="BI186" s="19">
        <v>0</v>
      </c>
      <c r="BJ186" s="19">
        <v>0</v>
      </c>
      <c r="BK186" s="19">
        <f t="shared" si="357"/>
        <v>0</v>
      </c>
      <c r="BL186" s="19">
        <v>0</v>
      </c>
      <c r="BM186" s="19">
        <v>0</v>
      </c>
      <c r="BN186" s="19">
        <f>SUM(BO186:BY186)</f>
        <v>0</v>
      </c>
      <c r="BO186" s="19">
        <v>0</v>
      </c>
      <c r="BP186" s="19">
        <v>0</v>
      </c>
      <c r="BQ186" s="19">
        <v>0</v>
      </c>
      <c r="BR186" s="19">
        <v>0</v>
      </c>
      <c r="BS186" s="19">
        <v>0</v>
      </c>
      <c r="BT186" s="19">
        <v>0</v>
      </c>
      <c r="BU186" s="19">
        <v>0</v>
      </c>
      <c r="BV186" s="19">
        <v>0</v>
      </c>
      <c r="BW186" s="19">
        <v>0</v>
      </c>
      <c r="BX186" s="19">
        <v>0</v>
      </c>
      <c r="BY186" s="19">
        <v>0</v>
      </c>
      <c r="BZ186" s="19">
        <f>SUM(CA186+CS186)</f>
        <v>711770</v>
      </c>
      <c r="CA186" s="19">
        <f>SUM(CB186+CE186+CK186)</f>
        <v>711770</v>
      </c>
      <c r="CB186" s="19">
        <f t="shared" si="358"/>
        <v>711770</v>
      </c>
      <c r="CC186" s="19">
        <v>0</v>
      </c>
      <c r="CD186" s="23">
        <v>711770</v>
      </c>
      <c r="CE186" s="19">
        <f t="shared" si="555"/>
        <v>0</v>
      </c>
      <c r="CF186" s="19">
        <v>0</v>
      </c>
      <c r="CG186" s="19">
        <v>0</v>
      </c>
      <c r="CH186" s="19">
        <v>0</v>
      </c>
      <c r="CI186" s="19">
        <v>0</v>
      </c>
      <c r="CJ186" s="19">
        <v>0</v>
      </c>
      <c r="CK186" s="19">
        <f>SUM(CL186:CP186)</f>
        <v>0</v>
      </c>
      <c r="CL186" s="19">
        <v>0</v>
      </c>
      <c r="CM186" s="19">
        <v>0</v>
      </c>
      <c r="CN186" s="19">
        <v>0</v>
      </c>
      <c r="CO186" s="19"/>
      <c r="CP186" s="19"/>
      <c r="CQ186" s="19"/>
      <c r="CR186" s="19"/>
      <c r="CS186" s="19">
        <v>0</v>
      </c>
      <c r="CT186" s="19"/>
      <c r="CU186" s="19"/>
      <c r="CV186" s="19"/>
      <c r="CW186" s="19">
        <f t="shared" si="360"/>
        <v>0</v>
      </c>
      <c r="CX186" s="19">
        <f t="shared" si="361"/>
        <v>0</v>
      </c>
      <c r="CY186" s="19">
        <v>0</v>
      </c>
      <c r="CZ186" s="20">
        <v>0</v>
      </c>
    </row>
    <row r="187" spans="1:105" ht="31.5" x14ac:dyDescent="0.25">
      <c r="A187" s="80" t="s">
        <v>1</v>
      </c>
      <c r="B187" s="21" t="s">
        <v>82</v>
      </c>
      <c r="C187" s="22" t="s">
        <v>285</v>
      </c>
      <c r="D187" s="18">
        <f>SUM(E187+BZ187+CW187)</f>
        <v>1021191</v>
      </c>
      <c r="E187" s="19">
        <f>SUM(F187+BA187)</f>
        <v>1021191</v>
      </c>
      <c r="F187" s="19">
        <f t="shared" si="553"/>
        <v>1021191</v>
      </c>
      <c r="G187" s="23">
        <f>639307+146508</f>
        <v>785815</v>
      </c>
      <c r="H187" s="23">
        <f>137451+31499</f>
        <v>168950</v>
      </c>
      <c r="I187" s="19">
        <f t="shared" si="354"/>
        <v>54717</v>
      </c>
      <c r="J187" s="23">
        <v>0</v>
      </c>
      <c r="K187" s="23">
        <v>0</v>
      </c>
      <c r="L187" s="23">
        <v>0</v>
      </c>
      <c r="M187" s="23">
        <v>0</v>
      </c>
      <c r="N187" s="23">
        <v>48930</v>
      </c>
      <c r="O187" s="23">
        <v>5787</v>
      </c>
      <c r="P187" s="19">
        <f t="shared" si="355"/>
        <v>0</v>
      </c>
      <c r="Q187" s="19">
        <v>0</v>
      </c>
      <c r="R187" s="19">
        <v>0</v>
      </c>
      <c r="S187" s="19">
        <v>0</v>
      </c>
      <c r="T187" s="23">
        <v>6668</v>
      </c>
      <c r="U187" s="19">
        <f t="shared" si="554"/>
        <v>2770</v>
      </c>
      <c r="V187" s="23">
        <v>0</v>
      </c>
      <c r="W187" s="23">
        <v>1704</v>
      </c>
      <c r="X187" s="23">
        <v>783</v>
      </c>
      <c r="Y187" s="23">
        <v>283</v>
      </c>
      <c r="Z187" s="23">
        <v>0</v>
      </c>
      <c r="AA187" s="23">
        <v>0</v>
      </c>
      <c r="AB187" s="23">
        <v>0</v>
      </c>
      <c r="AC187" s="23">
        <v>0</v>
      </c>
      <c r="AD187" s="19">
        <f>SUM(AE187:AZ187)</f>
        <v>2271</v>
      </c>
      <c r="AE187" s="19">
        <v>0</v>
      </c>
      <c r="AF187" s="19">
        <v>0</v>
      </c>
      <c r="AG187" s="19">
        <v>0</v>
      </c>
      <c r="AH187" s="23">
        <v>0</v>
      </c>
      <c r="AI187" s="23">
        <v>0</v>
      </c>
      <c r="AJ187" s="23">
        <v>0</v>
      </c>
      <c r="AK187" s="23">
        <v>0</v>
      </c>
      <c r="AL187" s="23">
        <v>0</v>
      </c>
      <c r="AM187" s="23">
        <v>0</v>
      </c>
      <c r="AN187" s="23">
        <v>0</v>
      </c>
      <c r="AO187" s="23">
        <v>0</v>
      </c>
      <c r="AP187" s="23"/>
      <c r="AQ187" s="23">
        <v>0</v>
      </c>
      <c r="AR187" s="23">
        <v>0</v>
      </c>
      <c r="AS187" s="23">
        <v>0</v>
      </c>
      <c r="AT187" s="23">
        <v>0</v>
      </c>
      <c r="AU187" s="23">
        <v>0</v>
      </c>
      <c r="AV187" s="23">
        <v>0</v>
      </c>
      <c r="AW187" s="23">
        <v>0</v>
      </c>
      <c r="AX187" s="23">
        <v>0</v>
      </c>
      <c r="AY187" s="23">
        <v>0</v>
      </c>
      <c r="AZ187" s="23">
        <v>2271</v>
      </c>
      <c r="BA187" s="19">
        <f>SUM(BB187+BF187+BI187+BK187+BN187)</f>
        <v>0</v>
      </c>
      <c r="BB187" s="19">
        <f>SUM(BC187:BE187)</f>
        <v>0</v>
      </c>
      <c r="BC187" s="19">
        <v>0</v>
      </c>
      <c r="BD187" s="19">
        <v>0</v>
      </c>
      <c r="BE187" s="19">
        <v>0</v>
      </c>
      <c r="BF187" s="19">
        <f>SUM(BH187:BH187)</f>
        <v>0</v>
      </c>
      <c r="BG187" s="19">
        <v>0</v>
      </c>
      <c r="BH187" s="19">
        <v>0</v>
      </c>
      <c r="BI187" s="19">
        <v>0</v>
      </c>
      <c r="BJ187" s="19">
        <v>0</v>
      </c>
      <c r="BK187" s="19">
        <f t="shared" si="357"/>
        <v>0</v>
      </c>
      <c r="BL187" s="19">
        <v>0</v>
      </c>
      <c r="BM187" s="19">
        <v>0</v>
      </c>
      <c r="BN187" s="19">
        <f>SUM(BO187:BY187)</f>
        <v>0</v>
      </c>
      <c r="BO187" s="19">
        <v>0</v>
      </c>
      <c r="BP187" s="19">
        <v>0</v>
      </c>
      <c r="BQ187" s="19">
        <v>0</v>
      </c>
      <c r="BR187" s="19">
        <v>0</v>
      </c>
      <c r="BS187" s="19">
        <v>0</v>
      </c>
      <c r="BT187" s="19">
        <v>0</v>
      </c>
      <c r="BU187" s="19">
        <v>0</v>
      </c>
      <c r="BV187" s="19">
        <v>0</v>
      </c>
      <c r="BW187" s="19">
        <v>0</v>
      </c>
      <c r="BX187" s="19">
        <v>0</v>
      </c>
      <c r="BY187" s="19">
        <v>0</v>
      </c>
      <c r="BZ187" s="19">
        <f>SUM(CA187+CS187)</f>
        <v>0</v>
      </c>
      <c r="CA187" s="19">
        <f>SUM(CB187+CE187+CK187)</f>
        <v>0</v>
      </c>
      <c r="CB187" s="19">
        <f t="shared" si="358"/>
        <v>0</v>
      </c>
      <c r="CC187" s="19">
        <v>0</v>
      </c>
      <c r="CD187" s="23"/>
      <c r="CE187" s="19">
        <f t="shared" si="555"/>
        <v>0</v>
      </c>
      <c r="CF187" s="19">
        <v>0</v>
      </c>
      <c r="CG187" s="19">
        <v>0</v>
      </c>
      <c r="CH187" s="19">
        <v>0</v>
      </c>
      <c r="CI187" s="19">
        <v>0</v>
      </c>
      <c r="CJ187" s="19">
        <v>0</v>
      </c>
      <c r="CK187" s="19">
        <f>SUM(CL187:CP187)</f>
        <v>0</v>
      </c>
      <c r="CL187" s="19">
        <v>0</v>
      </c>
      <c r="CM187" s="19">
        <v>0</v>
      </c>
      <c r="CN187" s="19">
        <v>0</v>
      </c>
      <c r="CO187" s="19"/>
      <c r="CP187" s="19"/>
      <c r="CQ187" s="19"/>
      <c r="CR187" s="19"/>
      <c r="CS187" s="19">
        <v>0</v>
      </c>
      <c r="CT187" s="19"/>
      <c r="CU187" s="19"/>
      <c r="CV187" s="19"/>
      <c r="CW187" s="19">
        <f t="shared" si="360"/>
        <v>0</v>
      </c>
      <c r="CX187" s="19">
        <f t="shared" si="361"/>
        <v>0</v>
      </c>
      <c r="CY187" s="19">
        <v>0</v>
      </c>
      <c r="CZ187" s="20">
        <v>0</v>
      </c>
    </row>
    <row r="188" spans="1:105" s="58" customFormat="1" ht="31.5" x14ac:dyDescent="0.25">
      <c r="A188" s="79" t="s">
        <v>286</v>
      </c>
      <c r="B188" s="16" t="s">
        <v>1</v>
      </c>
      <c r="C188" s="17" t="s">
        <v>15</v>
      </c>
      <c r="D188" s="18">
        <f>SUM(D189)</f>
        <v>223807284</v>
      </c>
      <c r="E188" s="18">
        <f t="shared" ref="E188:BT188" si="556">SUM(E189)</f>
        <v>223807284</v>
      </c>
      <c r="F188" s="18">
        <f t="shared" si="556"/>
        <v>0</v>
      </c>
      <c r="G188" s="18">
        <f t="shared" si="556"/>
        <v>0</v>
      </c>
      <c r="H188" s="18">
        <f t="shared" si="556"/>
        <v>0</v>
      </c>
      <c r="I188" s="18">
        <f t="shared" si="556"/>
        <v>0</v>
      </c>
      <c r="J188" s="18">
        <f t="shared" si="556"/>
        <v>0</v>
      </c>
      <c r="K188" s="18">
        <f t="shared" si="556"/>
        <v>0</v>
      </c>
      <c r="L188" s="18">
        <f t="shared" si="556"/>
        <v>0</v>
      </c>
      <c r="M188" s="18">
        <f t="shared" si="556"/>
        <v>0</v>
      </c>
      <c r="N188" s="18">
        <f t="shared" si="556"/>
        <v>0</v>
      </c>
      <c r="O188" s="18">
        <f t="shared" si="556"/>
        <v>0</v>
      </c>
      <c r="P188" s="18">
        <f t="shared" si="556"/>
        <v>0</v>
      </c>
      <c r="Q188" s="18">
        <f t="shared" si="556"/>
        <v>0</v>
      </c>
      <c r="R188" s="18">
        <f t="shared" si="556"/>
        <v>0</v>
      </c>
      <c r="S188" s="18">
        <f t="shared" si="556"/>
        <v>0</v>
      </c>
      <c r="T188" s="18">
        <f t="shared" si="556"/>
        <v>0</v>
      </c>
      <c r="U188" s="18">
        <f t="shared" si="556"/>
        <v>0</v>
      </c>
      <c r="V188" s="18">
        <f t="shared" si="556"/>
        <v>0</v>
      </c>
      <c r="W188" s="18">
        <f t="shared" si="556"/>
        <v>0</v>
      </c>
      <c r="X188" s="18">
        <f t="shared" si="556"/>
        <v>0</v>
      </c>
      <c r="Y188" s="18">
        <f t="shared" si="556"/>
        <v>0</v>
      </c>
      <c r="Z188" s="18">
        <f t="shared" si="556"/>
        <v>0</v>
      </c>
      <c r="AA188" s="18">
        <f t="shared" si="556"/>
        <v>0</v>
      </c>
      <c r="AB188" s="18">
        <f t="shared" si="556"/>
        <v>0</v>
      </c>
      <c r="AC188" s="18">
        <f t="shared" si="556"/>
        <v>0</v>
      </c>
      <c r="AD188" s="18">
        <f t="shared" si="556"/>
        <v>0</v>
      </c>
      <c r="AE188" s="18">
        <f t="shared" si="556"/>
        <v>0</v>
      </c>
      <c r="AF188" s="18">
        <f t="shared" si="556"/>
        <v>0</v>
      </c>
      <c r="AG188" s="18">
        <f t="shared" si="556"/>
        <v>0</v>
      </c>
      <c r="AH188" s="18">
        <f t="shared" si="556"/>
        <v>0</v>
      </c>
      <c r="AI188" s="18">
        <f t="shared" si="556"/>
        <v>0</v>
      </c>
      <c r="AJ188" s="18">
        <f t="shared" si="556"/>
        <v>0</v>
      </c>
      <c r="AK188" s="18">
        <f t="shared" si="556"/>
        <v>0</v>
      </c>
      <c r="AL188" s="18">
        <f t="shared" si="556"/>
        <v>0</v>
      </c>
      <c r="AM188" s="18">
        <f t="shared" si="556"/>
        <v>0</v>
      </c>
      <c r="AN188" s="18">
        <f t="shared" si="556"/>
        <v>0</v>
      </c>
      <c r="AO188" s="18">
        <f t="shared" si="556"/>
        <v>0</v>
      </c>
      <c r="AP188" s="18"/>
      <c r="AQ188" s="18">
        <f t="shared" si="556"/>
        <v>0</v>
      </c>
      <c r="AR188" s="18">
        <f t="shared" si="556"/>
        <v>0</v>
      </c>
      <c r="AS188" s="18">
        <f t="shared" si="556"/>
        <v>0</v>
      </c>
      <c r="AT188" s="18"/>
      <c r="AU188" s="18"/>
      <c r="AV188" s="18">
        <f t="shared" si="556"/>
        <v>0</v>
      </c>
      <c r="AW188" s="18">
        <f t="shared" si="556"/>
        <v>0</v>
      </c>
      <c r="AX188" s="18">
        <f t="shared" si="556"/>
        <v>0</v>
      </c>
      <c r="AY188" s="18"/>
      <c r="AZ188" s="18">
        <f t="shared" si="556"/>
        <v>0</v>
      </c>
      <c r="BA188" s="18">
        <f t="shared" si="556"/>
        <v>223807284</v>
      </c>
      <c r="BB188" s="18">
        <f t="shared" si="556"/>
        <v>0</v>
      </c>
      <c r="BC188" s="18">
        <f t="shared" si="556"/>
        <v>0</v>
      </c>
      <c r="BD188" s="18">
        <f t="shared" si="556"/>
        <v>0</v>
      </c>
      <c r="BE188" s="18">
        <f t="shared" si="556"/>
        <v>0</v>
      </c>
      <c r="BF188" s="18">
        <f t="shared" si="556"/>
        <v>0</v>
      </c>
      <c r="BG188" s="18">
        <f t="shared" si="556"/>
        <v>0</v>
      </c>
      <c r="BH188" s="18">
        <f t="shared" si="556"/>
        <v>0</v>
      </c>
      <c r="BI188" s="18">
        <f t="shared" si="556"/>
        <v>0</v>
      </c>
      <c r="BJ188" s="18">
        <f t="shared" si="556"/>
        <v>0</v>
      </c>
      <c r="BK188" s="18">
        <f t="shared" si="556"/>
        <v>0</v>
      </c>
      <c r="BL188" s="18">
        <f t="shared" si="556"/>
        <v>0</v>
      </c>
      <c r="BM188" s="18">
        <f t="shared" si="556"/>
        <v>0</v>
      </c>
      <c r="BN188" s="18">
        <f t="shared" si="556"/>
        <v>223807284</v>
      </c>
      <c r="BO188" s="18">
        <f t="shared" si="556"/>
        <v>0</v>
      </c>
      <c r="BP188" s="18">
        <f t="shared" si="556"/>
        <v>0</v>
      </c>
      <c r="BQ188" s="18">
        <f t="shared" si="556"/>
        <v>0</v>
      </c>
      <c r="BR188" s="18">
        <f t="shared" si="556"/>
        <v>0</v>
      </c>
      <c r="BS188" s="18">
        <f t="shared" si="556"/>
        <v>0</v>
      </c>
      <c r="BT188" s="18">
        <f t="shared" si="556"/>
        <v>0</v>
      </c>
      <c r="BU188" s="18">
        <f t="shared" ref="BU188:CZ188" si="557">SUM(BU189)</f>
        <v>177892396</v>
      </c>
      <c r="BV188" s="18">
        <f t="shared" si="557"/>
        <v>0</v>
      </c>
      <c r="BW188" s="18">
        <f t="shared" si="557"/>
        <v>0</v>
      </c>
      <c r="BX188" s="18">
        <f t="shared" si="557"/>
        <v>45914888</v>
      </c>
      <c r="BY188" s="18">
        <f t="shared" si="557"/>
        <v>0</v>
      </c>
      <c r="BZ188" s="18">
        <f t="shared" si="557"/>
        <v>0</v>
      </c>
      <c r="CA188" s="18">
        <f t="shared" si="557"/>
        <v>0</v>
      </c>
      <c r="CB188" s="18">
        <f t="shared" si="557"/>
        <v>0</v>
      </c>
      <c r="CC188" s="18">
        <f t="shared" si="557"/>
        <v>0</v>
      </c>
      <c r="CD188" s="18">
        <f t="shared" si="557"/>
        <v>0</v>
      </c>
      <c r="CE188" s="18">
        <f t="shared" si="557"/>
        <v>0</v>
      </c>
      <c r="CF188" s="18">
        <f t="shared" si="557"/>
        <v>0</v>
      </c>
      <c r="CG188" s="18">
        <f t="shared" si="557"/>
        <v>0</v>
      </c>
      <c r="CH188" s="18">
        <f t="shared" si="557"/>
        <v>0</v>
      </c>
      <c r="CI188" s="18">
        <f t="shared" si="557"/>
        <v>0</v>
      </c>
      <c r="CJ188" s="18">
        <f t="shared" si="557"/>
        <v>0</v>
      </c>
      <c r="CK188" s="18">
        <f t="shared" si="557"/>
        <v>0</v>
      </c>
      <c r="CL188" s="18">
        <f t="shared" si="557"/>
        <v>0</v>
      </c>
      <c r="CM188" s="18">
        <f t="shared" si="557"/>
        <v>0</v>
      </c>
      <c r="CN188" s="18">
        <f t="shared" si="557"/>
        <v>0</v>
      </c>
      <c r="CO188" s="18"/>
      <c r="CP188" s="18"/>
      <c r="CQ188" s="18"/>
      <c r="CR188" s="18"/>
      <c r="CS188" s="18">
        <f t="shared" si="557"/>
        <v>0</v>
      </c>
      <c r="CT188" s="18"/>
      <c r="CU188" s="18"/>
      <c r="CV188" s="18"/>
      <c r="CW188" s="18">
        <f t="shared" si="557"/>
        <v>0</v>
      </c>
      <c r="CX188" s="18">
        <f t="shared" si="557"/>
        <v>0</v>
      </c>
      <c r="CY188" s="18">
        <f t="shared" si="557"/>
        <v>0</v>
      </c>
      <c r="CZ188" s="46">
        <f t="shared" si="557"/>
        <v>0</v>
      </c>
      <c r="DA188" s="57"/>
    </row>
    <row r="189" spans="1:105" ht="31.5" x14ac:dyDescent="0.25">
      <c r="A189" s="80" t="s">
        <v>1</v>
      </c>
      <c r="B189" s="21" t="s">
        <v>82</v>
      </c>
      <c r="C189" s="22" t="s">
        <v>287</v>
      </c>
      <c r="D189" s="18">
        <f>SUM(E189+BZ189+CW189)</f>
        <v>223807284</v>
      </c>
      <c r="E189" s="19">
        <f>SUM(F189+BA189)</f>
        <v>223807284</v>
      </c>
      <c r="F189" s="19">
        <f>SUM(G189+H189+I189+P189+S189+T189+U189+AD189)</f>
        <v>0</v>
      </c>
      <c r="G189" s="19">
        <v>0</v>
      </c>
      <c r="H189" s="19">
        <v>0</v>
      </c>
      <c r="I189" s="19">
        <f t="shared" si="354"/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9">
        <f t="shared" si="355"/>
        <v>0</v>
      </c>
      <c r="Q189" s="19">
        <v>0</v>
      </c>
      <c r="R189" s="19">
        <v>0</v>
      </c>
      <c r="S189" s="19">
        <v>0</v>
      </c>
      <c r="T189" s="19">
        <v>0</v>
      </c>
      <c r="U189" s="19">
        <f t="shared" ref="U189" si="558">SUM(V189:AC189)</f>
        <v>0</v>
      </c>
      <c r="V189" s="19">
        <v>0</v>
      </c>
      <c r="W189" s="19">
        <v>0</v>
      </c>
      <c r="X189" s="19">
        <v>0</v>
      </c>
      <c r="Y189" s="19">
        <v>0</v>
      </c>
      <c r="Z189" s="19">
        <v>0</v>
      </c>
      <c r="AA189" s="19">
        <v>0</v>
      </c>
      <c r="AB189" s="19">
        <v>0</v>
      </c>
      <c r="AC189" s="19">
        <v>0</v>
      </c>
      <c r="AD189" s="19">
        <f>SUM(AE189:AZ189)</f>
        <v>0</v>
      </c>
      <c r="AE189" s="19">
        <v>0</v>
      </c>
      <c r="AF189" s="19">
        <v>0</v>
      </c>
      <c r="AG189" s="19">
        <v>0</v>
      </c>
      <c r="AH189" s="19">
        <v>0</v>
      </c>
      <c r="AI189" s="19">
        <v>0</v>
      </c>
      <c r="AJ189" s="19">
        <v>0</v>
      </c>
      <c r="AK189" s="19">
        <v>0</v>
      </c>
      <c r="AL189" s="19">
        <v>0</v>
      </c>
      <c r="AM189" s="19">
        <v>0</v>
      </c>
      <c r="AN189" s="19">
        <v>0</v>
      </c>
      <c r="AO189" s="19">
        <v>0</v>
      </c>
      <c r="AP189" s="19"/>
      <c r="AQ189" s="19">
        <v>0</v>
      </c>
      <c r="AR189" s="19">
        <v>0</v>
      </c>
      <c r="AS189" s="19">
        <v>0</v>
      </c>
      <c r="AT189" s="19"/>
      <c r="AU189" s="19"/>
      <c r="AV189" s="19">
        <v>0</v>
      </c>
      <c r="AW189" s="19">
        <v>0</v>
      </c>
      <c r="AX189" s="19">
        <v>0</v>
      </c>
      <c r="AY189" s="19"/>
      <c r="AZ189" s="19">
        <v>0</v>
      </c>
      <c r="BA189" s="19">
        <f>SUM(BB189+BF189+BI189+BK189+BN189)</f>
        <v>223807284</v>
      </c>
      <c r="BB189" s="19">
        <f>SUM(BC189:BE189)</f>
        <v>0</v>
      </c>
      <c r="BC189" s="19">
        <v>0</v>
      </c>
      <c r="BD189" s="19">
        <v>0</v>
      </c>
      <c r="BE189" s="19">
        <v>0</v>
      </c>
      <c r="BF189" s="19">
        <f>SUM(BH189:BH189)</f>
        <v>0</v>
      </c>
      <c r="BG189" s="19">
        <v>0</v>
      </c>
      <c r="BH189" s="19">
        <v>0</v>
      </c>
      <c r="BI189" s="19">
        <v>0</v>
      </c>
      <c r="BJ189" s="19">
        <v>0</v>
      </c>
      <c r="BK189" s="19">
        <f t="shared" si="357"/>
        <v>0</v>
      </c>
      <c r="BL189" s="19">
        <v>0</v>
      </c>
      <c r="BM189" s="19">
        <v>0</v>
      </c>
      <c r="BN189" s="19">
        <f>SUM(BO189:BY189)</f>
        <v>223807284</v>
      </c>
      <c r="BO189" s="19">
        <v>0</v>
      </c>
      <c r="BP189" s="19">
        <v>0</v>
      </c>
      <c r="BQ189" s="19">
        <v>0</v>
      </c>
      <c r="BR189" s="19">
        <v>0</v>
      </c>
      <c r="BS189" s="19">
        <v>0</v>
      </c>
      <c r="BT189" s="19">
        <v>0</v>
      </c>
      <c r="BU189" s="23">
        <f>165631665+12260731</f>
        <v>177892396</v>
      </c>
      <c r="BV189" s="19">
        <v>0</v>
      </c>
      <c r="BW189" s="19">
        <v>0</v>
      </c>
      <c r="BX189" s="23">
        <f>45960743-45855</f>
        <v>45914888</v>
      </c>
      <c r="BY189" s="19">
        <v>0</v>
      </c>
      <c r="BZ189" s="19">
        <f>SUM(CA189+CS189)</f>
        <v>0</v>
      </c>
      <c r="CA189" s="19">
        <f>SUM(CB189+CE189+CK189)</f>
        <v>0</v>
      </c>
      <c r="CB189" s="19">
        <f t="shared" si="358"/>
        <v>0</v>
      </c>
      <c r="CC189" s="19">
        <v>0</v>
      </c>
      <c r="CD189" s="19">
        <v>0</v>
      </c>
      <c r="CE189" s="19">
        <f>SUM(CF189:CJ189)</f>
        <v>0</v>
      </c>
      <c r="CF189" s="19">
        <v>0</v>
      </c>
      <c r="CG189" s="19">
        <v>0</v>
      </c>
      <c r="CH189" s="19">
        <v>0</v>
      </c>
      <c r="CI189" s="19">
        <v>0</v>
      </c>
      <c r="CJ189" s="19">
        <v>0</v>
      </c>
      <c r="CK189" s="19">
        <f>SUM(CL189:CP189)</f>
        <v>0</v>
      </c>
      <c r="CL189" s="19">
        <v>0</v>
      </c>
      <c r="CM189" s="19">
        <v>0</v>
      </c>
      <c r="CN189" s="19">
        <v>0</v>
      </c>
      <c r="CO189" s="19"/>
      <c r="CP189" s="19"/>
      <c r="CQ189" s="19"/>
      <c r="CR189" s="19"/>
      <c r="CS189" s="19">
        <v>0</v>
      </c>
      <c r="CT189" s="19"/>
      <c r="CU189" s="19"/>
      <c r="CV189" s="19"/>
      <c r="CW189" s="19">
        <f t="shared" si="360"/>
        <v>0</v>
      </c>
      <c r="CX189" s="19">
        <f t="shared" si="361"/>
        <v>0</v>
      </c>
      <c r="CY189" s="19">
        <v>0</v>
      </c>
      <c r="CZ189" s="20">
        <v>0</v>
      </c>
    </row>
    <row r="190" spans="1:105" s="58" customFormat="1" ht="31.5" x14ac:dyDescent="0.25">
      <c r="A190" s="79" t="s">
        <v>288</v>
      </c>
      <c r="B190" s="16" t="s">
        <v>1</v>
      </c>
      <c r="C190" s="17" t="s">
        <v>289</v>
      </c>
      <c r="D190" s="18">
        <f t="shared" ref="D190:AJ190" si="559">SUM(D191)</f>
        <v>25504374</v>
      </c>
      <c r="E190" s="18">
        <f t="shared" si="559"/>
        <v>25504374</v>
      </c>
      <c r="F190" s="18">
        <f t="shared" si="559"/>
        <v>0</v>
      </c>
      <c r="G190" s="18">
        <f t="shared" si="559"/>
        <v>0</v>
      </c>
      <c r="H190" s="18">
        <f t="shared" si="559"/>
        <v>0</v>
      </c>
      <c r="I190" s="18">
        <f t="shared" si="559"/>
        <v>0</v>
      </c>
      <c r="J190" s="18">
        <f t="shared" si="559"/>
        <v>0</v>
      </c>
      <c r="K190" s="18">
        <f t="shared" si="559"/>
        <v>0</v>
      </c>
      <c r="L190" s="18">
        <f t="shared" si="559"/>
        <v>0</v>
      </c>
      <c r="M190" s="18">
        <f t="shared" si="559"/>
        <v>0</v>
      </c>
      <c r="N190" s="18">
        <f t="shared" si="559"/>
        <v>0</v>
      </c>
      <c r="O190" s="18">
        <f t="shared" si="559"/>
        <v>0</v>
      </c>
      <c r="P190" s="18">
        <f t="shared" si="559"/>
        <v>0</v>
      </c>
      <c r="Q190" s="18">
        <f t="shared" si="559"/>
        <v>0</v>
      </c>
      <c r="R190" s="18">
        <f t="shared" si="559"/>
        <v>0</v>
      </c>
      <c r="S190" s="18">
        <f t="shared" si="559"/>
        <v>0</v>
      </c>
      <c r="T190" s="18">
        <f t="shared" si="559"/>
        <v>0</v>
      </c>
      <c r="U190" s="18">
        <f t="shared" si="559"/>
        <v>0</v>
      </c>
      <c r="V190" s="18">
        <f t="shared" si="559"/>
        <v>0</v>
      </c>
      <c r="W190" s="18">
        <f t="shared" si="559"/>
        <v>0</v>
      </c>
      <c r="X190" s="18">
        <f t="shared" si="559"/>
        <v>0</v>
      </c>
      <c r="Y190" s="18">
        <f t="shared" si="559"/>
        <v>0</v>
      </c>
      <c r="Z190" s="18">
        <f t="shared" si="559"/>
        <v>0</v>
      </c>
      <c r="AA190" s="18">
        <f t="shared" si="559"/>
        <v>0</v>
      </c>
      <c r="AB190" s="18">
        <f t="shared" si="559"/>
        <v>0</v>
      </c>
      <c r="AC190" s="18">
        <f t="shared" si="559"/>
        <v>0</v>
      </c>
      <c r="AD190" s="18">
        <f t="shared" si="559"/>
        <v>0</v>
      </c>
      <c r="AE190" s="18">
        <f t="shared" si="559"/>
        <v>0</v>
      </c>
      <c r="AF190" s="18">
        <f t="shared" si="559"/>
        <v>0</v>
      </c>
      <c r="AG190" s="18">
        <f t="shared" si="559"/>
        <v>0</v>
      </c>
      <c r="AH190" s="18">
        <f t="shared" si="559"/>
        <v>0</v>
      </c>
      <c r="AI190" s="18">
        <f t="shared" si="559"/>
        <v>0</v>
      </c>
      <c r="AJ190" s="18">
        <f t="shared" si="559"/>
        <v>0</v>
      </c>
      <c r="AK190" s="18">
        <f t="shared" ref="AK190:CZ190" si="560">SUM(AK191)</f>
        <v>0</v>
      </c>
      <c r="AL190" s="18">
        <f t="shared" si="560"/>
        <v>0</v>
      </c>
      <c r="AM190" s="18">
        <f t="shared" si="560"/>
        <v>0</v>
      </c>
      <c r="AN190" s="18">
        <f t="shared" si="560"/>
        <v>0</v>
      </c>
      <c r="AO190" s="18">
        <f t="shared" si="560"/>
        <v>0</v>
      </c>
      <c r="AP190" s="18"/>
      <c r="AQ190" s="18">
        <f t="shared" si="560"/>
        <v>0</v>
      </c>
      <c r="AR190" s="18">
        <f t="shared" si="560"/>
        <v>0</v>
      </c>
      <c r="AS190" s="18">
        <f t="shared" si="560"/>
        <v>0</v>
      </c>
      <c r="AT190" s="18"/>
      <c r="AU190" s="18"/>
      <c r="AV190" s="18">
        <f t="shared" si="560"/>
        <v>0</v>
      </c>
      <c r="AW190" s="18">
        <f t="shared" si="560"/>
        <v>0</v>
      </c>
      <c r="AX190" s="18">
        <f t="shared" si="560"/>
        <v>0</v>
      </c>
      <c r="AY190" s="18"/>
      <c r="AZ190" s="18">
        <f t="shared" si="560"/>
        <v>0</v>
      </c>
      <c r="BA190" s="18">
        <f t="shared" si="560"/>
        <v>25504374</v>
      </c>
      <c r="BB190" s="18">
        <f t="shared" si="560"/>
        <v>0</v>
      </c>
      <c r="BC190" s="18">
        <f t="shared" si="560"/>
        <v>0</v>
      </c>
      <c r="BD190" s="18">
        <f t="shared" si="560"/>
        <v>0</v>
      </c>
      <c r="BE190" s="18">
        <f t="shared" si="560"/>
        <v>0</v>
      </c>
      <c r="BF190" s="18">
        <f t="shared" si="560"/>
        <v>0</v>
      </c>
      <c r="BG190" s="18">
        <f t="shared" si="560"/>
        <v>0</v>
      </c>
      <c r="BH190" s="18">
        <f t="shared" si="560"/>
        <v>0</v>
      </c>
      <c r="BI190" s="18">
        <f t="shared" si="560"/>
        <v>0</v>
      </c>
      <c r="BJ190" s="18">
        <f t="shared" si="560"/>
        <v>0</v>
      </c>
      <c r="BK190" s="18">
        <f t="shared" si="560"/>
        <v>0</v>
      </c>
      <c r="BL190" s="18">
        <f t="shared" si="560"/>
        <v>0</v>
      </c>
      <c r="BM190" s="18">
        <f t="shared" si="560"/>
        <v>0</v>
      </c>
      <c r="BN190" s="18">
        <f t="shared" si="560"/>
        <v>25504374</v>
      </c>
      <c r="BO190" s="18">
        <f t="shared" si="560"/>
        <v>0</v>
      </c>
      <c r="BP190" s="18">
        <f t="shared" si="560"/>
        <v>0</v>
      </c>
      <c r="BQ190" s="18">
        <f t="shared" si="560"/>
        <v>0</v>
      </c>
      <c r="BR190" s="18">
        <f t="shared" si="560"/>
        <v>25504374</v>
      </c>
      <c r="BS190" s="18">
        <f t="shared" si="560"/>
        <v>0</v>
      </c>
      <c r="BT190" s="18">
        <f t="shared" si="560"/>
        <v>0</v>
      </c>
      <c r="BU190" s="18">
        <f t="shared" si="560"/>
        <v>0</v>
      </c>
      <c r="BV190" s="18">
        <f t="shared" si="560"/>
        <v>0</v>
      </c>
      <c r="BW190" s="18">
        <f t="shared" si="560"/>
        <v>0</v>
      </c>
      <c r="BX190" s="18">
        <f t="shared" si="560"/>
        <v>0</v>
      </c>
      <c r="BY190" s="18">
        <f t="shared" si="560"/>
        <v>0</v>
      </c>
      <c r="BZ190" s="18">
        <f t="shared" si="560"/>
        <v>0</v>
      </c>
      <c r="CA190" s="18">
        <f t="shared" si="560"/>
        <v>0</v>
      </c>
      <c r="CB190" s="18">
        <f t="shared" si="560"/>
        <v>0</v>
      </c>
      <c r="CC190" s="18">
        <f t="shared" si="560"/>
        <v>0</v>
      </c>
      <c r="CD190" s="18">
        <f t="shared" si="560"/>
        <v>0</v>
      </c>
      <c r="CE190" s="18">
        <f t="shared" si="560"/>
        <v>0</v>
      </c>
      <c r="CF190" s="18">
        <f t="shared" si="560"/>
        <v>0</v>
      </c>
      <c r="CG190" s="18">
        <f t="shared" si="560"/>
        <v>0</v>
      </c>
      <c r="CH190" s="18">
        <f t="shared" si="560"/>
        <v>0</v>
      </c>
      <c r="CI190" s="18">
        <f t="shared" si="560"/>
        <v>0</v>
      </c>
      <c r="CJ190" s="18">
        <f t="shared" si="560"/>
        <v>0</v>
      </c>
      <c r="CK190" s="18">
        <f t="shared" si="560"/>
        <v>0</v>
      </c>
      <c r="CL190" s="18">
        <f t="shared" si="560"/>
        <v>0</v>
      </c>
      <c r="CM190" s="18">
        <f t="shared" si="560"/>
        <v>0</v>
      </c>
      <c r="CN190" s="18">
        <f t="shared" si="560"/>
        <v>0</v>
      </c>
      <c r="CO190" s="18"/>
      <c r="CP190" s="18"/>
      <c r="CQ190" s="18"/>
      <c r="CR190" s="18"/>
      <c r="CS190" s="18">
        <f t="shared" si="560"/>
        <v>0</v>
      </c>
      <c r="CT190" s="18"/>
      <c r="CU190" s="18"/>
      <c r="CV190" s="18"/>
      <c r="CW190" s="18">
        <f t="shared" si="560"/>
        <v>0</v>
      </c>
      <c r="CX190" s="18">
        <f t="shared" si="560"/>
        <v>0</v>
      </c>
      <c r="CY190" s="18">
        <f t="shared" si="560"/>
        <v>0</v>
      </c>
      <c r="CZ190" s="46">
        <f t="shared" si="560"/>
        <v>0</v>
      </c>
      <c r="DA190" s="57"/>
    </row>
    <row r="191" spans="1:105" ht="15.75" x14ac:dyDescent="0.25">
      <c r="A191" s="80" t="s">
        <v>1</v>
      </c>
      <c r="B191" s="21" t="s">
        <v>103</v>
      </c>
      <c r="C191" s="22" t="s">
        <v>53</v>
      </c>
      <c r="D191" s="18">
        <f>SUM(E191+BZ191+CW191)</f>
        <v>25504374</v>
      </c>
      <c r="E191" s="19">
        <f>SUM(F191+BA191)</f>
        <v>25504374</v>
      </c>
      <c r="F191" s="19">
        <f>SUM(G191+H191+I191+P191+S191+T191+U191+AD191)</f>
        <v>0</v>
      </c>
      <c r="G191" s="19">
        <v>0</v>
      </c>
      <c r="H191" s="19">
        <v>0</v>
      </c>
      <c r="I191" s="19">
        <f t="shared" si="354"/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9">
        <f t="shared" si="355"/>
        <v>0</v>
      </c>
      <c r="Q191" s="19">
        <v>0</v>
      </c>
      <c r="R191" s="19">
        <v>0</v>
      </c>
      <c r="S191" s="19">
        <v>0</v>
      </c>
      <c r="T191" s="19">
        <v>0</v>
      </c>
      <c r="U191" s="19">
        <f t="shared" ref="U191" si="561">SUM(V191:AC191)</f>
        <v>0</v>
      </c>
      <c r="V191" s="19">
        <v>0</v>
      </c>
      <c r="W191" s="19">
        <v>0</v>
      </c>
      <c r="X191" s="19">
        <v>0</v>
      </c>
      <c r="Y191" s="19">
        <v>0</v>
      </c>
      <c r="Z191" s="19">
        <v>0</v>
      </c>
      <c r="AA191" s="19">
        <v>0</v>
      </c>
      <c r="AB191" s="19">
        <v>0</v>
      </c>
      <c r="AC191" s="19">
        <v>0</v>
      </c>
      <c r="AD191" s="19">
        <f>SUM(AE191:AZ191)</f>
        <v>0</v>
      </c>
      <c r="AE191" s="19">
        <v>0</v>
      </c>
      <c r="AF191" s="19">
        <v>0</v>
      </c>
      <c r="AG191" s="19">
        <v>0</v>
      </c>
      <c r="AH191" s="19">
        <v>0</v>
      </c>
      <c r="AI191" s="19">
        <v>0</v>
      </c>
      <c r="AJ191" s="19">
        <v>0</v>
      </c>
      <c r="AK191" s="19">
        <v>0</v>
      </c>
      <c r="AL191" s="19">
        <v>0</v>
      </c>
      <c r="AM191" s="19">
        <v>0</v>
      </c>
      <c r="AN191" s="19">
        <v>0</v>
      </c>
      <c r="AO191" s="19">
        <v>0</v>
      </c>
      <c r="AP191" s="19"/>
      <c r="AQ191" s="19">
        <v>0</v>
      </c>
      <c r="AR191" s="19">
        <v>0</v>
      </c>
      <c r="AS191" s="19">
        <v>0</v>
      </c>
      <c r="AT191" s="19"/>
      <c r="AU191" s="19"/>
      <c r="AV191" s="19">
        <v>0</v>
      </c>
      <c r="AW191" s="19">
        <v>0</v>
      </c>
      <c r="AX191" s="19">
        <v>0</v>
      </c>
      <c r="AY191" s="19"/>
      <c r="AZ191" s="19">
        <v>0</v>
      </c>
      <c r="BA191" s="19">
        <f>SUM(BB191+BF191+BI191+BK191+BN191)</f>
        <v>25504374</v>
      </c>
      <c r="BB191" s="19">
        <f>SUM(BC191:BE191)</f>
        <v>0</v>
      </c>
      <c r="BC191" s="19">
        <v>0</v>
      </c>
      <c r="BD191" s="19">
        <v>0</v>
      </c>
      <c r="BE191" s="19">
        <v>0</v>
      </c>
      <c r="BF191" s="19">
        <f>SUM(BH191:BH191)</f>
        <v>0</v>
      </c>
      <c r="BG191" s="19">
        <v>0</v>
      </c>
      <c r="BH191" s="19">
        <v>0</v>
      </c>
      <c r="BI191" s="19">
        <v>0</v>
      </c>
      <c r="BJ191" s="19">
        <v>0</v>
      </c>
      <c r="BK191" s="19">
        <f t="shared" si="357"/>
        <v>0</v>
      </c>
      <c r="BL191" s="19">
        <v>0</v>
      </c>
      <c r="BM191" s="19">
        <v>0</v>
      </c>
      <c r="BN191" s="19">
        <f>SUM(BO191:BY191)</f>
        <v>25504374</v>
      </c>
      <c r="BO191" s="19">
        <v>0</v>
      </c>
      <c r="BP191" s="19">
        <v>0</v>
      </c>
      <c r="BQ191" s="19">
        <v>0</v>
      </c>
      <c r="BR191" s="23">
        <v>25504374</v>
      </c>
      <c r="BS191" s="19">
        <v>0</v>
      </c>
      <c r="BT191" s="19">
        <v>0</v>
      </c>
      <c r="BU191" s="19">
        <v>0</v>
      </c>
      <c r="BV191" s="19">
        <v>0</v>
      </c>
      <c r="BW191" s="19">
        <v>0</v>
      </c>
      <c r="BX191" s="19">
        <v>0</v>
      </c>
      <c r="BY191" s="19">
        <v>0</v>
      </c>
      <c r="BZ191" s="19">
        <f>SUM(CA191+CS191)</f>
        <v>0</v>
      </c>
      <c r="CA191" s="19">
        <f>SUM(CB191+CE191+CK191)</f>
        <v>0</v>
      </c>
      <c r="CB191" s="19">
        <f t="shared" si="358"/>
        <v>0</v>
      </c>
      <c r="CC191" s="19">
        <v>0</v>
      </c>
      <c r="CD191" s="19">
        <v>0</v>
      </c>
      <c r="CE191" s="19">
        <f>SUM(CF191:CJ191)</f>
        <v>0</v>
      </c>
      <c r="CF191" s="19">
        <v>0</v>
      </c>
      <c r="CG191" s="19">
        <v>0</v>
      </c>
      <c r="CH191" s="19">
        <v>0</v>
      </c>
      <c r="CI191" s="19">
        <v>0</v>
      </c>
      <c r="CJ191" s="19">
        <v>0</v>
      </c>
      <c r="CK191" s="19">
        <f>SUM(CL191:CP191)</f>
        <v>0</v>
      </c>
      <c r="CL191" s="19">
        <v>0</v>
      </c>
      <c r="CM191" s="19">
        <v>0</v>
      </c>
      <c r="CN191" s="19">
        <v>0</v>
      </c>
      <c r="CO191" s="19"/>
      <c r="CP191" s="19"/>
      <c r="CQ191" s="19"/>
      <c r="CR191" s="19"/>
      <c r="CS191" s="19">
        <v>0</v>
      </c>
      <c r="CT191" s="19"/>
      <c r="CU191" s="19"/>
      <c r="CV191" s="19"/>
      <c r="CW191" s="19">
        <f t="shared" si="360"/>
        <v>0</v>
      </c>
      <c r="CX191" s="19">
        <f t="shared" si="361"/>
        <v>0</v>
      </c>
      <c r="CY191" s="19">
        <v>0</v>
      </c>
      <c r="CZ191" s="20">
        <v>0</v>
      </c>
    </row>
    <row r="192" spans="1:105" s="58" customFormat="1" ht="47.25" x14ac:dyDescent="0.25">
      <c r="A192" s="79" t="s">
        <v>290</v>
      </c>
      <c r="B192" s="16" t="s">
        <v>1</v>
      </c>
      <c r="C192" s="17" t="s">
        <v>591</v>
      </c>
      <c r="D192" s="18">
        <f t="shared" ref="D192:AJ192" si="562">SUM(D193)</f>
        <v>100000</v>
      </c>
      <c r="E192" s="18">
        <f t="shared" si="562"/>
        <v>100000</v>
      </c>
      <c r="F192" s="18">
        <f t="shared" si="562"/>
        <v>0</v>
      </c>
      <c r="G192" s="18">
        <f t="shared" si="562"/>
        <v>0</v>
      </c>
      <c r="H192" s="18">
        <f t="shared" si="562"/>
        <v>0</v>
      </c>
      <c r="I192" s="18">
        <f t="shared" si="562"/>
        <v>0</v>
      </c>
      <c r="J192" s="18">
        <f t="shared" si="562"/>
        <v>0</v>
      </c>
      <c r="K192" s="18">
        <f t="shared" si="562"/>
        <v>0</v>
      </c>
      <c r="L192" s="18">
        <f t="shared" si="562"/>
        <v>0</v>
      </c>
      <c r="M192" s="18">
        <f t="shared" si="562"/>
        <v>0</v>
      </c>
      <c r="N192" s="18">
        <f t="shared" si="562"/>
        <v>0</v>
      </c>
      <c r="O192" s="18">
        <f t="shared" si="562"/>
        <v>0</v>
      </c>
      <c r="P192" s="18">
        <f t="shared" si="562"/>
        <v>0</v>
      </c>
      <c r="Q192" s="18">
        <f t="shared" si="562"/>
        <v>0</v>
      </c>
      <c r="R192" s="18">
        <f t="shared" si="562"/>
        <v>0</v>
      </c>
      <c r="S192" s="18">
        <f t="shared" si="562"/>
        <v>0</v>
      </c>
      <c r="T192" s="18">
        <f t="shared" si="562"/>
        <v>0</v>
      </c>
      <c r="U192" s="18">
        <f t="shared" si="562"/>
        <v>0</v>
      </c>
      <c r="V192" s="18">
        <f t="shared" si="562"/>
        <v>0</v>
      </c>
      <c r="W192" s="18">
        <f t="shared" si="562"/>
        <v>0</v>
      </c>
      <c r="X192" s="18">
        <f t="shared" si="562"/>
        <v>0</v>
      </c>
      <c r="Y192" s="18">
        <f t="shared" si="562"/>
        <v>0</v>
      </c>
      <c r="Z192" s="18">
        <f t="shared" si="562"/>
        <v>0</v>
      </c>
      <c r="AA192" s="18">
        <f t="shared" si="562"/>
        <v>0</v>
      </c>
      <c r="AB192" s="18">
        <f t="shared" si="562"/>
        <v>0</v>
      </c>
      <c r="AC192" s="18">
        <f t="shared" si="562"/>
        <v>0</v>
      </c>
      <c r="AD192" s="18">
        <f t="shared" si="562"/>
        <v>0</v>
      </c>
      <c r="AE192" s="18">
        <f t="shared" si="562"/>
        <v>0</v>
      </c>
      <c r="AF192" s="18">
        <f t="shared" si="562"/>
        <v>0</v>
      </c>
      <c r="AG192" s="18">
        <f t="shared" si="562"/>
        <v>0</v>
      </c>
      <c r="AH192" s="18">
        <f t="shared" si="562"/>
        <v>0</v>
      </c>
      <c r="AI192" s="18">
        <f t="shared" si="562"/>
        <v>0</v>
      </c>
      <c r="AJ192" s="18">
        <f t="shared" si="562"/>
        <v>0</v>
      </c>
      <c r="AK192" s="18">
        <f t="shared" ref="AK192:CZ192" si="563">SUM(AK193)</f>
        <v>0</v>
      </c>
      <c r="AL192" s="18">
        <f t="shared" si="563"/>
        <v>0</v>
      </c>
      <c r="AM192" s="18">
        <f t="shared" si="563"/>
        <v>0</v>
      </c>
      <c r="AN192" s="18">
        <f t="shared" si="563"/>
        <v>0</v>
      </c>
      <c r="AO192" s="18">
        <f t="shared" si="563"/>
        <v>0</v>
      </c>
      <c r="AP192" s="18"/>
      <c r="AQ192" s="18">
        <f t="shared" si="563"/>
        <v>0</v>
      </c>
      <c r="AR192" s="18">
        <f t="shared" si="563"/>
        <v>0</v>
      </c>
      <c r="AS192" s="18">
        <f t="shared" si="563"/>
        <v>0</v>
      </c>
      <c r="AT192" s="18"/>
      <c r="AU192" s="18"/>
      <c r="AV192" s="18">
        <f t="shared" si="563"/>
        <v>0</v>
      </c>
      <c r="AW192" s="18">
        <f t="shared" si="563"/>
        <v>0</v>
      </c>
      <c r="AX192" s="18">
        <f t="shared" si="563"/>
        <v>0</v>
      </c>
      <c r="AY192" s="18"/>
      <c r="AZ192" s="18">
        <f t="shared" si="563"/>
        <v>0</v>
      </c>
      <c r="BA192" s="18">
        <f t="shared" si="563"/>
        <v>100000</v>
      </c>
      <c r="BB192" s="18">
        <f t="shared" si="563"/>
        <v>0</v>
      </c>
      <c r="BC192" s="18">
        <f t="shared" si="563"/>
        <v>0</v>
      </c>
      <c r="BD192" s="18">
        <f t="shared" si="563"/>
        <v>0</v>
      </c>
      <c r="BE192" s="18">
        <f t="shared" si="563"/>
        <v>0</v>
      </c>
      <c r="BF192" s="18">
        <f t="shared" si="563"/>
        <v>0</v>
      </c>
      <c r="BG192" s="18">
        <f t="shared" si="563"/>
        <v>0</v>
      </c>
      <c r="BH192" s="18">
        <f t="shared" si="563"/>
        <v>0</v>
      </c>
      <c r="BI192" s="18">
        <f t="shared" si="563"/>
        <v>0</v>
      </c>
      <c r="BJ192" s="18">
        <f t="shared" si="563"/>
        <v>0</v>
      </c>
      <c r="BK192" s="18">
        <f t="shared" si="563"/>
        <v>0</v>
      </c>
      <c r="BL192" s="18">
        <f t="shared" si="563"/>
        <v>0</v>
      </c>
      <c r="BM192" s="18">
        <f t="shared" si="563"/>
        <v>0</v>
      </c>
      <c r="BN192" s="18">
        <f t="shared" si="563"/>
        <v>100000</v>
      </c>
      <c r="BO192" s="18">
        <f t="shared" si="563"/>
        <v>0</v>
      </c>
      <c r="BP192" s="18">
        <f t="shared" si="563"/>
        <v>0</v>
      </c>
      <c r="BQ192" s="18">
        <f t="shared" si="563"/>
        <v>0</v>
      </c>
      <c r="BR192" s="18">
        <f t="shared" si="563"/>
        <v>0</v>
      </c>
      <c r="BS192" s="18">
        <f t="shared" si="563"/>
        <v>100000</v>
      </c>
      <c r="BT192" s="18">
        <f t="shared" si="563"/>
        <v>0</v>
      </c>
      <c r="BU192" s="18">
        <f t="shared" si="563"/>
        <v>0</v>
      </c>
      <c r="BV192" s="18">
        <f t="shared" si="563"/>
        <v>0</v>
      </c>
      <c r="BW192" s="18">
        <f t="shared" si="563"/>
        <v>0</v>
      </c>
      <c r="BX192" s="18">
        <f t="shared" si="563"/>
        <v>0</v>
      </c>
      <c r="BY192" s="18">
        <f t="shared" si="563"/>
        <v>0</v>
      </c>
      <c r="BZ192" s="18">
        <f t="shared" si="563"/>
        <v>0</v>
      </c>
      <c r="CA192" s="18">
        <f t="shared" si="563"/>
        <v>0</v>
      </c>
      <c r="CB192" s="18">
        <f t="shared" si="563"/>
        <v>0</v>
      </c>
      <c r="CC192" s="18">
        <f t="shared" si="563"/>
        <v>0</v>
      </c>
      <c r="CD192" s="18">
        <f t="shared" si="563"/>
        <v>0</v>
      </c>
      <c r="CE192" s="18">
        <f t="shared" si="563"/>
        <v>0</v>
      </c>
      <c r="CF192" s="18">
        <f t="shared" si="563"/>
        <v>0</v>
      </c>
      <c r="CG192" s="18">
        <f t="shared" si="563"/>
        <v>0</v>
      </c>
      <c r="CH192" s="18">
        <f t="shared" si="563"/>
        <v>0</v>
      </c>
      <c r="CI192" s="18">
        <f t="shared" si="563"/>
        <v>0</v>
      </c>
      <c r="CJ192" s="18">
        <f t="shared" si="563"/>
        <v>0</v>
      </c>
      <c r="CK192" s="18">
        <f t="shared" si="563"/>
        <v>0</v>
      </c>
      <c r="CL192" s="18">
        <f t="shared" si="563"/>
        <v>0</v>
      </c>
      <c r="CM192" s="18">
        <f t="shared" si="563"/>
        <v>0</v>
      </c>
      <c r="CN192" s="18">
        <f t="shared" si="563"/>
        <v>0</v>
      </c>
      <c r="CO192" s="18"/>
      <c r="CP192" s="18"/>
      <c r="CQ192" s="18"/>
      <c r="CR192" s="18"/>
      <c r="CS192" s="18">
        <f t="shared" si="563"/>
        <v>0</v>
      </c>
      <c r="CT192" s="18"/>
      <c r="CU192" s="18"/>
      <c r="CV192" s="18"/>
      <c r="CW192" s="18">
        <f t="shared" si="563"/>
        <v>0</v>
      </c>
      <c r="CX192" s="18">
        <f t="shared" si="563"/>
        <v>0</v>
      </c>
      <c r="CY192" s="18">
        <f t="shared" si="563"/>
        <v>0</v>
      </c>
      <c r="CZ192" s="46">
        <f t="shared" si="563"/>
        <v>0</v>
      </c>
      <c r="DA192" s="57"/>
    </row>
    <row r="193" spans="1:105" ht="31.5" x14ac:dyDescent="0.25">
      <c r="A193" s="80" t="s">
        <v>1</v>
      </c>
      <c r="B193" s="21" t="s">
        <v>103</v>
      </c>
      <c r="C193" s="22" t="s">
        <v>291</v>
      </c>
      <c r="D193" s="18">
        <f>SUM(E193+BZ193+CW193)</f>
        <v>100000</v>
      </c>
      <c r="E193" s="19">
        <f>SUM(F193+BA193)</f>
        <v>100000</v>
      </c>
      <c r="F193" s="19">
        <f>SUM(G193+H193+I193+P193+S193+T193+U193+AD193)</f>
        <v>0</v>
      </c>
      <c r="G193" s="19">
        <v>0</v>
      </c>
      <c r="H193" s="19">
        <v>0</v>
      </c>
      <c r="I193" s="19">
        <f t="shared" si="354"/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9">
        <f t="shared" si="355"/>
        <v>0</v>
      </c>
      <c r="Q193" s="19">
        <v>0</v>
      </c>
      <c r="R193" s="19">
        <v>0</v>
      </c>
      <c r="S193" s="19">
        <v>0</v>
      </c>
      <c r="T193" s="19">
        <v>0</v>
      </c>
      <c r="U193" s="19">
        <f t="shared" ref="U193" si="564">SUM(V193:AC193)</f>
        <v>0</v>
      </c>
      <c r="V193" s="19">
        <v>0</v>
      </c>
      <c r="W193" s="19">
        <v>0</v>
      </c>
      <c r="X193" s="19">
        <v>0</v>
      </c>
      <c r="Y193" s="19">
        <v>0</v>
      </c>
      <c r="Z193" s="19">
        <v>0</v>
      </c>
      <c r="AA193" s="19">
        <v>0</v>
      </c>
      <c r="AB193" s="19">
        <v>0</v>
      </c>
      <c r="AC193" s="19">
        <v>0</v>
      </c>
      <c r="AD193" s="19">
        <f>SUM(AE193:AZ193)</f>
        <v>0</v>
      </c>
      <c r="AE193" s="19">
        <v>0</v>
      </c>
      <c r="AF193" s="19">
        <v>0</v>
      </c>
      <c r="AG193" s="19">
        <v>0</v>
      </c>
      <c r="AH193" s="19">
        <v>0</v>
      </c>
      <c r="AI193" s="19">
        <v>0</v>
      </c>
      <c r="AJ193" s="19">
        <v>0</v>
      </c>
      <c r="AK193" s="19">
        <v>0</v>
      </c>
      <c r="AL193" s="19">
        <v>0</v>
      </c>
      <c r="AM193" s="19">
        <v>0</v>
      </c>
      <c r="AN193" s="19">
        <v>0</v>
      </c>
      <c r="AO193" s="19">
        <v>0</v>
      </c>
      <c r="AP193" s="19"/>
      <c r="AQ193" s="19">
        <v>0</v>
      </c>
      <c r="AR193" s="19">
        <v>0</v>
      </c>
      <c r="AS193" s="19">
        <v>0</v>
      </c>
      <c r="AT193" s="19"/>
      <c r="AU193" s="19"/>
      <c r="AV193" s="19">
        <v>0</v>
      </c>
      <c r="AW193" s="19">
        <v>0</v>
      </c>
      <c r="AX193" s="19">
        <v>0</v>
      </c>
      <c r="AY193" s="19"/>
      <c r="AZ193" s="19">
        <v>0</v>
      </c>
      <c r="BA193" s="19">
        <f>SUM(BB193+BF193+BI193+BK193+BN193)</f>
        <v>100000</v>
      </c>
      <c r="BB193" s="19">
        <f>SUM(BC193:BE193)</f>
        <v>0</v>
      </c>
      <c r="BC193" s="19">
        <v>0</v>
      </c>
      <c r="BD193" s="19">
        <v>0</v>
      </c>
      <c r="BE193" s="19">
        <v>0</v>
      </c>
      <c r="BF193" s="19">
        <f>SUM(BH193:BH193)</f>
        <v>0</v>
      </c>
      <c r="BG193" s="19">
        <v>0</v>
      </c>
      <c r="BH193" s="19">
        <v>0</v>
      </c>
      <c r="BI193" s="19">
        <v>0</v>
      </c>
      <c r="BJ193" s="19">
        <v>0</v>
      </c>
      <c r="BK193" s="19">
        <f t="shared" si="357"/>
        <v>0</v>
      </c>
      <c r="BL193" s="19">
        <v>0</v>
      </c>
      <c r="BM193" s="19">
        <v>0</v>
      </c>
      <c r="BN193" s="19">
        <f>SUM(BO193:BY193)</f>
        <v>100000</v>
      </c>
      <c r="BO193" s="19">
        <v>0</v>
      </c>
      <c r="BP193" s="19">
        <v>0</v>
      </c>
      <c r="BQ193" s="19">
        <v>0</v>
      </c>
      <c r="BR193" s="19">
        <v>0</v>
      </c>
      <c r="BS193" s="19">
        <v>100000</v>
      </c>
      <c r="BT193" s="19">
        <v>0</v>
      </c>
      <c r="BU193" s="19">
        <v>0</v>
      </c>
      <c r="BV193" s="19">
        <v>0</v>
      </c>
      <c r="BW193" s="19">
        <v>0</v>
      </c>
      <c r="BX193" s="19">
        <v>0</v>
      </c>
      <c r="BY193" s="19">
        <v>0</v>
      </c>
      <c r="BZ193" s="19">
        <f>SUM(CA193+CS193)</f>
        <v>0</v>
      </c>
      <c r="CA193" s="19">
        <f>SUM(CB193+CE193+CK193)</f>
        <v>0</v>
      </c>
      <c r="CB193" s="19">
        <f t="shared" si="358"/>
        <v>0</v>
      </c>
      <c r="CC193" s="19">
        <v>0</v>
      </c>
      <c r="CD193" s="19">
        <v>0</v>
      </c>
      <c r="CE193" s="19">
        <f>SUM(CF193:CJ193)</f>
        <v>0</v>
      </c>
      <c r="CF193" s="19">
        <v>0</v>
      </c>
      <c r="CG193" s="19">
        <v>0</v>
      </c>
      <c r="CH193" s="19">
        <v>0</v>
      </c>
      <c r="CI193" s="19">
        <v>0</v>
      </c>
      <c r="CJ193" s="19">
        <v>0</v>
      </c>
      <c r="CK193" s="19">
        <f>SUM(CL193:CP193)</f>
        <v>0</v>
      </c>
      <c r="CL193" s="19">
        <v>0</v>
      </c>
      <c r="CM193" s="19">
        <v>0</v>
      </c>
      <c r="CN193" s="19">
        <v>0</v>
      </c>
      <c r="CO193" s="19"/>
      <c r="CP193" s="19"/>
      <c r="CQ193" s="19"/>
      <c r="CR193" s="19"/>
      <c r="CS193" s="19">
        <v>0</v>
      </c>
      <c r="CT193" s="19"/>
      <c r="CU193" s="19"/>
      <c r="CV193" s="19"/>
      <c r="CW193" s="19">
        <f t="shared" si="360"/>
        <v>0</v>
      </c>
      <c r="CX193" s="19">
        <f t="shared" si="361"/>
        <v>0</v>
      </c>
      <c r="CY193" s="19">
        <v>0</v>
      </c>
      <c r="CZ193" s="20">
        <v>0</v>
      </c>
    </row>
    <row r="194" spans="1:105" s="58" customFormat="1" ht="31.5" x14ac:dyDescent="0.25">
      <c r="A194" s="79" t="s">
        <v>292</v>
      </c>
      <c r="B194" s="16" t="s">
        <v>1</v>
      </c>
      <c r="C194" s="17" t="s">
        <v>293</v>
      </c>
      <c r="D194" s="18">
        <f t="shared" ref="D194:AJ194" si="565">SUM(D195)</f>
        <v>4471200</v>
      </c>
      <c r="E194" s="18">
        <f t="shared" si="565"/>
        <v>4471200</v>
      </c>
      <c r="F194" s="18">
        <f t="shared" si="565"/>
        <v>0</v>
      </c>
      <c r="G194" s="18">
        <f t="shared" si="565"/>
        <v>0</v>
      </c>
      <c r="H194" s="18">
        <f t="shared" si="565"/>
        <v>0</v>
      </c>
      <c r="I194" s="18">
        <f t="shared" si="565"/>
        <v>0</v>
      </c>
      <c r="J194" s="18">
        <f t="shared" si="565"/>
        <v>0</v>
      </c>
      <c r="K194" s="18">
        <f t="shared" si="565"/>
        <v>0</v>
      </c>
      <c r="L194" s="18">
        <f t="shared" si="565"/>
        <v>0</v>
      </c>
      <c r="M194" s="18">
        <f t="shared" si="565"/>
        <v>0</v>
      </c>
      <c r="N194" s="18">
        <f t="shared" si="565"/>
        <v>0</v>
      </c>
      <c r="O194" s="18">
        <f t="shared" si="565"/>
        <v>0</v>
      </c>
      <c r="P194" s="18">
        <f t="shared" si="565"/>
        <v>0</v>
      </c>
      <c r="Q194" s="18">
        <f t="shared" si="565"/>
        <v>0</v>
      </c>
      <c r="R194" s="18">
        <f t="shared" si="565"/>
        <v>0</v>
      </c>
      <c r="S194" s="18">
        <f t="shared" si="565"/>
        <v>0</v>
      </c>
      <c r="T194" s="18">
        <f t="shared" si="565"/>
        <v>0</v>
      </c>
      <c r="U194" s="18">
        <f t="shared" si="565"/>
        <v>0</v>
      </c>
      <c r="V194" s="18">
        <f t="shared" si="565"/>
        <v>0</v>
      </c>
      <c r="W194" s="18">
        <f t="shared" si="565"/>
        <v>0</v>
      </c>
      <c r="X194" s="18">
        <f t="shared" si="565"/>
        <v>0</v>
      </c>
      <c r="Y194" s="18">
        <f t="shared" si="565"/>
        <v>0</v>
      </c>
      <c r="Z194" s="18">
        <f t="shared" si="565"/>
        <v>0</v>
      </c>
      <c r="AA194" s="18">
        <f t="shared" si="565"/>
        <v>0</v>
      </c>
      <c r="AB194" s="18">
        <f t="shared" si="565"/>
        <v>0</v>
      </c>
      <c r="AC194" s="18">
        <f t="shared" si="565"/>
        <v>0</v>
      </c>
      <c r="AD194" s="18">
        <f t="shared" si="565"/>
        <v>0</v>
      </c>
      <c r="AE194" s="18">
        <f t="shared" si="565"/>
        <v>0</v>
      </c>
      <c r="AF194" s="18">
        <f t="shared" si="565"/>
        <v>0</v>
      </c>
      <c r="AG194" s="18">
        <f t="shared" si="565"/>
        <v>0</v>
      </c>
      <c r="AH194" s="18">
        <f t="shared" si="565"/>
        <v>0</v>
      </c>
      <c r="AI194" s="18">
        <f t="shared" si="565"/>
        <v>0</v>
      </c>
      <c r="AJ194" s="18">
        <f t="shared" si="565"/>
        <v>0</v>
      </c>
      <c r="AK194" s="18">
        <f t="shared" ref="AK194:CZ194" si="566">SUM(AK195)</f>
        <v>0</v>
      </c>
      <c r="AL194" s="18">
        <f t="shared" si="566"/>
        <v>0</v>
      </c>
      <c r="AM194" s="18">
        <f t="shared" si="566"/>
        <v>0</v>
      </c>
      <c r="AN194" s="18">
        <f t="shared" si="566"/>
        <v>0</v>
      </c>
      <c r="AO194" s="18">
        <f t="shared" si="566"/>
        <v>0</v>
      </c>
      <c r="AP194" s="18"/>
      <c r="AQ194" s="18">
        <f t="shared" si="566"/>
        <v>0</v>
      </c>
      <c r="AR194" s="18">
        <f t="shared" si="566"/>
        <v>0</v>
      </c>
      <c r="AS194" s="18">
        <f t="shared" si="566"/>
        <v>0</v>
      </c>
      <c r="AT194" s="18"/>
      <c r="AU194" s="18"/>
      <c r="AV194" s="18">
        <f t="shared" si="566"/>
        <v>0</v>
      </c>
      <c r="AW194" s="18">
        <f t="shared" si="566"/>
        <v>0</v>
      </c>
      <c r="AX194" s="18">
        <f t="shared" si="566"/>
        <v>0</v>
      </c>
      <c r="AY194" s="18"/>
      <c r="AZ194" s="18">
        <f t="shared" si="566"/>
        <v>0</v>
      </c>
      <c r="BA194" s="18">
        <f t="shared" si="566"/>
        <v>4471200</v>
      </c>
      <c r="BB194" s="18">
        <f t="shared" si="566"/>
        <v>0</v>
      </c>
      <c r="BC194" s="18">
        <f t="shared" si="566"/>
        <v>0</v>
      </c>
      <c r="BD194" s="18">
        <f t="shared" si="566"/>
        <v>0</v>
      </c>
      <c r="BE194" s="18">
        <f t="shared" si="566"/>
        <v>0</v>
      </c>
      <c r="BF194" s="18">
        <f t="shared" si="566"/>
        <v>0</v>
      </c>
      <c r="BG194" s="18">
        <f t="shared" si="566"/>
        <v>0</v>
      </c>
      <c r="BH194" s="18">
        <f t="shared" si="566"/>
        <v>0</v>
      </c>
      <c r="BI194" s="18">
        <f t="shared" si="566"/>
        <v>0</v>
      </c>
      <c r="BJ194" s="18">
        <f t="shared" si="566"/>
        <v>0</v>
      </c>
      <c r="BK194" s="18">
        <f t="shared" si="566"/>
        <v>0</v>
      </c>
      <c r="BL194" s="18">
        <f t="shared" si="566"/>
        <v>0</v>
      </c>
      <c r="BM194" s="18">
        <f t="shared" si="566"/>
        <v>0</v>
      </c>
      <c r="BN194" s="18">
        <f t="shared" si="566"/>
        <v>4471200</v>
      </c>
      <c r="BO194" s="18">
        <f t="shared" si="566"/>
        <v>0</v>
      </c>
      <c r="BP194" s="18">
        <f t="shared" si="566"/>
        <v>4471200</v>
      </c>
      <c r="BQ194" s="18">
        <f t="shared" si="566"/>
        <v>0</v>
      </c>
      <c r="BR194" s="18">
        <f t="shared" si="566"/>
        <v>0</v>
      </c>
      <c r="BS194" s="18">
        <f t="shared" si="566"/>
        <v>0</v>
      </c>
      <c r="BT194" s="18">
        <f t="shared" si="566"/>
        <v>0</v>
      </c>
      <c r="BU194" s="18">
        <f t="shared" si="566"/>
        <v>0</v>
      </c>
      <c r="BV194" s="18">
        <f t="shared" si="566"/>
        <v>0</v>
      </c>
      <c r="BW194" s="18">
        <f t="shared" si="566"/>
        <v>0</v>
      </c>
      <c r="BX194" s="18">
        <f t="shared" si="566"/>
        <v>0</v>
      </c>
      <c r="BY194" s="18">
        <f t="shared" si="566"/>
        <v>0</v>
      </c>
      <c r="BZ194" s="18">
        <f t="shared" si="566"/>
        <v>0</v>
      </c>
      <c r="CA194" s="18">
        <f t="shared" si="566"/>
        <v>0</v>
      </c>
      <c r="CB194" s="18">
        <f t="shared" si="566"/>
        <v>0</v>
      </c>
      <c r="CC194" s="18">
        <f t="shared" si="566"/>
        <v>0</v>
      </c>
      <c r="CD194" s="18">
        <f t="shared" si="566"/>
        <v>0</v>
      </c>
      <c r="CE194" s="18">
        <f t="shared" si="566"/>
        <v>0</v>
      </c>
      <c r="CF194" s="18">
        <f t="shared" si="566"/>
        <v>0</v>
      </c>
      <c r="CG194" s="18">
        <f t="shared" si="566"/>
        <v>0</v>
      </c>
      <c r="CH194" s="18">
        <f t="shared" si="566"/>
        <v>0</v>
      </c>
      <c r="CI194" s="18">
        <f t="shared" si="566"/>
        <v>0</v>
      </c>
      <c r="CJ194" s="18">
        <f t="shared" si="566"/>
        <v>0</v>
      </c>
      <c r="CK194" s="18">
        <f t="shared" si="566"/>
        <v>0</v>
      </c>
      <c r="CL194" s="18">
        <f t="shared" si="566"/>
        <v>0</v>
      </c>
      <c r="CM194" s="18">
        <f t="shared" si="566"/>
        <v>0</v>
      </c>
      <c r="CN194" s="18">
        <f t="shared" si="566"/>
        <v>0</v>
      </c>
      <c r="CO194" s="18"/>
      <c r="CP194" s="18"/>
      <c r="CQ194" s="18"/>
      <c r="CR194" s="18"/>
      <c r="CS194" s="18">
        <f t="shared" si="566"/>
        <v>0</v>
      </c>
      <c r="CT194" s="18"/>
      <c r="CU194" s="18"/>
      <c r="CV194" s="18"/>
      <c r="CW194" s="18">
        <f t="shared" si="566"/>
        <v>0</v>
      </c>
      <c r="CX194" s="18">
        <f t="shared" si="566"/>
        <v>0</v>
      </c>
      <c r="CY194" s="18">
        <f t="shared" si="566"/>
        <v>0</v>
      </c>
      <c r="CZ194" s="46">
        <f t="shared" si="566"/>
        <v>0</v>
      </c>
      <c r="DA194" s="57"/>
    </row>
    <row r="195" spans="1:105" ht="15.75" x14ac:dyDescent="0.25">
      <c r="A195" s="80" t="s">
        <v>1</v>
      </c>
      <c r="B195" s="21" t="s">
        <v>82</v>
      </c>
      <c r="C195" s="22" t="s">
        <v>294</v>
      </c>
      <c r="D195" s="18">
        <f>SUM(E195+BZ195+CW195)</f>
        <v>4471200</v>
      </c>
      <c r="E195" s="19">
        <f>SUM(F195+BA195)</f>
        <v>4471200</v>
      </c>
      <c r="F195" s="19">
        <f>SUM(G195+H195+I195+P195+S195+T195+U195+AD195)</f>
        <v>0</v>
      </c>
      <c r="G195" s="19">
        <v>0</v>
      </c>
      <c r="H195" s="19">
        <v>0</v>
      </c>
      <c r="I195" s="19">
        <f t="shared" si="354"/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f t="shared" si="355"/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f t="shared" ref="U195" si="567">SUM(V195:AC195)</f>
        <v>0</v>
      </c>
      <c r="V195" s="19">
        <v>0</v>
      </c>
      <c r="W195" s="19">
        <v>0</v>
      </c>
      <c r="X195" s="19">
        <v>0</v>
      </c>
      <c r="Y195" s="19">
        <v>0</v>
      </c>
      <c r="Z195" s="19">
        <v>0</v>
      </c>
      <c r="AA195" s="19">
        <v>0</v>
      </c>
      <c r="AB195" s="19">
        <v>0</v>
      </c>
      <c r="AC195" s="19">
        <v>0</v>
      </c>
      <c r="AD195" s="19">
        <f>SUM(AE195:AZ195)</f>
        <v>0</v>
      </c>
      <c r="AE195" s="19">
        <v>0</v>
      </c>
      <c r="AF195" s="19">
        <v>0</v>
      </c>
      <c r="AG195" s="19">
        <v>0</v>
      </c>
      <c r="AH195" s="19">
        <v>0</v>
      </c>
      <c r="AI195" s="19">
        <v>0</v>
      </c>
      <c r="AJ195" s="19">
        <v>0</v>
      </c>
      <c r="AK195" s="19">
        <v>0</v>
      </c>
      <c r="AL195" s="19">
        <v>0</v>
      </c>
      <c r="AM195" s="19">
        <v>0</v>
      </c>
      <c r="AN195" s="19">
        <v>0</v>
      </c>
      <c r="AO195" s="19">
        <v>0</v>
      </c>
      <c r="AP195" s="19"/>
      <c r="AQ195" s="19">
        <v>0</v>
      </c>
      <c r="AR195" s="19">
        <v>0</v>
      </c>
      <c r="AS195" s="19">
        <v>0</v>
      </c>
      <c r="AT195" s="19"/>
      <c r="AU195" s="19"/>
      <c r="AV195" s="19">
        <v>0</v>
      </c>
      <c r="AW195" s="19">
        <v>0</v>
      </c>
      <c r="AX195" s="19">
        <v>0</v>
      </c>
      <c r="AY195" s="19"/>
      <c r="AZ195" s="19">
        <v>0</v>
      </c>
      <c r="BA195" s="19">
        <f>SUM(BB195+BF195+BI195+BK195+BN195)</f>
        <v>4471200</v>
      </c>
      <c r="BB195" s="19">
        <f>SUM(BC195:BE195)</f>
        <v>0</v>
      </c>
      <c r="BC195" s="19">
        <v>0</v>
      </c>
      <c r="BD195" s="19">
        <v>0</v>
      </c>
      <c r="BE195" s="19">
        <v>0</v>
      </c>
      <c r="BF195" s="19">
        <f>SUM(BH195:BH195)</f>
        <v>0</v>
      </c>
      <c r="BG195" s="19">
        <v>0</v>
      </c>
      <c r="BH195" s="19">
        <v>0</v>
      </c>
      <c r="BI195" s="19">
        <v>0</v>
      </c>
      <c r="BJ195" s="19">
        <v>0</v>
      </c>
      <c r="BK195" s="19">
        <f t="shared" si="357"/>
        <v>0</v>
      </c>
      <c r="BL195" s="19">
        <v>0</v>
      </c>
      <c r="BM195" s="19">
        <v>0</v>
      </c>
      <c r="BN195" s="19">
        <f>SUM(BO195:BY195)</f>
        <v>4471200</v>
      </c>
      <c r="BO195" s="19">
        <v>0</v>
      </c>
      <c r="BP195" s="23">
        <v>4471200</v>
      </c>
      <c r="BQ195" s="19">
        <v>0</v>
      </c>
      <c r="BR195" s="19">
        <v>0</v>
      </c>
      <c r="BS195" s="19">
        <v>0</v>
      </c>
      <c r="BT195" s="19">
        <v>0</v>
      </c>
      <c r="BU195" s="19">
        <v>0</v>
      </c>
      <c r="BV195" s="19">
        <v>0</v>
      </c>
      <c r="BW195" s="19">
        <v>0</v>
      </c>
      <c r="BX195" s="19">
        <v>0</v>
      </c>
      <c r="BY195" s="19">
        <v>0</v>
      </c>
      <c r="BZ195" s="19">
        <f>SUM(CA195+CS195)</f>
        <v>0</v>
      </c>
      <c r="CA195" s="19">
        <f>SUM(CB195+CE195+CK195)</f>
        <v>0</v>
      </c>
      <c r="CB195" s="19">
        <f t="shared" si="358"/>
        <v>0</v>
      </c>
      <c r="CC195" s="19">
        <v>0</v>
      </c>
      <c r="CD195" s="19">
        <v>0</v>
      </c>
      <c r="CE195" s="19">
        <f>SUM(CF195:CJ195)</f>
        <v>0</v>
      </c>
      <c r="CF195" s="19">
        <v>0</v>
      </c>
      <c r="CG195" s="19">
        <v>0</v>
      </c>
      <c r="CH195" s="19">
        <v>0</v>
      </c>
      <c r="CI195" s="19">
        <v>0</v>
      </c>
      <c r="CJ195" s="19">
        <v>0</v>
      </c>
      <c r="CK195" s="19">
        <f>SUM(CL195:CP195)</f>
        <v>0</v>
      </c>
      <c r="CL195" s="19">
        <v>0</v>
      </c>
      <c r="CM195" s="19">
        <v>0</v>
      </c>
      <c r="CN195" s="19">
        <v>0</v>
      </c>
      <c r="CO195" s="19"/>
      <c r="CP195" s="19"/>
      <c r="CQ195" s="19"/>
      <c r="CR195" s="19"/>
      <c r="CS195" s="19">
        <v>0</v>
      </c>
      <c r="CT195" s="19"/>
      <c r="CU195" s="19"/>
      <c r="CV195" s="19"/>
      <c r="CW195" s="19">
        <f t="shared" si="360"/>
        <v>0</v>
      </c>
      <c r="CX195" s="19">
        <f t="shared" si="361"/>
        <v>0</v>
      </c>
      <c r="CY195" s="19">
        <v>0</v>
      </c>
      <c r="CZ195" s="20">
        <v>0</v>
      </c>
    </row>
    <row r="196" spans="1:105" s="58" customFormat="1" ht="31.5" x14ac:dyDescent="0.25">
      <c r="A196" s="79" t="s">
        <v>295</v>
      </c>
      <c r="B196" s="16" t="s">
        <v>1</v>
      </c>
      <c r="C196" s="17" t="s">
        <v>592</v>
      </c>
      <c r="D196" s="18">
        <f t="shared" ref="D196:AS196" si="568">SUM(D197:D203)</f>
        <v>134523002</v>
      </c>
      <c r="E196" s="18">
        <f t="shared" si="568"/>
        <v>134480680</v>
      </c>
      <c r="F196" s="18">
        <f t="shared" si="568"/>
        <v>20357906</v>
      </c>
      <c r="G196" s="18">
        <f t="shared" si="568"/>
        <v>1906797</v>
      </c>
      <c r="H196" s="18">
        <f t="shared" si="568"/>
        <v>199235</v>
      </c>
      <c r="I196" s="18">
        <f t="shared" si="568"/>
        <v>3242898</v>
      </c>
      <c r="J196" s="18">
        <f t="shared" si="568"/>
        <v>0</v>
      </c>
      <c r="K196" s="18">
        <f t="shared" si="568"/>
        <v>10000</v>
      </c>
      <c r="L196" s="18">
        <f t="shared" si="568"/>
        <v>0</v>
      </c>
      <c r="M196" s="18">
        <f t="shared" si="568"/>
        <v>0</v>
      </c>
      <c r="N196" s="18">
        <f t="shared" si="568"/>
        <v>985214</v>
      </c>
      <c r="O196" s="18">
        <f t="shared" si="568"/>
        <v>2247684</v>
      </c>
      <c r="P196" s="18">
        <f t="shared" si="568"/>
        <v>0</v>
      </c>
      <c r="Q196" s="18">
        <f t="shared" si="568"/>
        <v>0</v>
      </c>
      <c r="R196" s="18">
        <f t="shared" si="568"/>
        <v>0</v>
      </c>
      <c r="S196" s="18">
        <f t="shared" si="568"/>
        <v>0</v>
      </c>
      <c r="T196" s="18">
        <f t="shared" si="568"/>
        <v>71833</v>
      </c>
      <c r="U196" s="18">
        <f t="shared" si="568"/>
        <v>0</v>
      </c>
      <c r="V196" s="18">
        <f t="shared" si="568"/>
        <v>0</v>
      </c>
      <c r="W196" s="18">
        <f t="shared" si="568"/>
        <v>0</v>
      </c>
      <c r="X196" s="18">
        <f t="shared" si="568"/>
        <v>0</v>
      </c>
      <c r="Y196" s="18">
        <f t="shared" si="568"/>
        <v>0</v>
      </c>
      <c r="Z196" s="18">
        <f t="shared" si="568"/>
        <v>0</v>
      </c>
      <c r="AA196" s="18">
        <f t="shared" si="568"/>
        <v>0</v>
      </c>
      <c r="AB196" s="18">
        <f t="shared" si="568"/>
        <v>0</v>
      </c>
      <c r="AC196" s="18">
        <f t="shared" si="568"/>
        <v>0</v>
      </c>
      <c r="AD196" s="18">
        <f t="shared" si="568"/>
        <v>14937143</v>
      </c>
      <c r="AE196" s="18">
        <f t="shared" si="568"/>
        <v>0</v>
      </c>
      <c r="AF196" s="18">
        <f t="shared" si="568"/>
        <v>0</v>
      </c>
      <c r="AG196" s="18">
        <f t="shared" si="568"/>
        <v>0</v>
      </c>
      <c r="AH196" s="18">
        <f t="shared" si="568"/>
        <v>0</v>
      </c>
      <c r="AI196" s="18">
        <f t="shared" si="568"/>
        <v>0</v>
      </c>
      <c r="AJ196" s="18">
        <f t="shared" si="568"/>
        <v>0</v>
      </c>
      <c r="AK196" s="18">
        <f t="shared" si="568"/>
        <v>0</v>
      </c>
      <c r="AL196" s="18">
        <f t="shared" si="568"/>
        <v>0</v>
      </c>
      <c r="AM196" s="18">
        <f t="shared" si="568"/>
        <v>0</v>
      </c>
      <c r="AN196" s="18">
        <f t="shared" si="568"/>
        <v>0</v>
      </c>
      <c r="AO196" s="18">
        <f t="shared" si="568"/>
        <v>0</v>
      </c>
      <c r="AP196" s="18"/>
      <c r="AQ196" s="18">
        <f t="shared" si="568"/>
        <v>0</v>
      </c>
      <c r="AR196" s="18">
        <f t="shared" si="568"/>
        <v>0</v>
      </c>
      <c r="AS196" s="18">
        <f t="shared" si="568"/>
        <v>0</v>
      </c>
      <c r="AT196" s="18"/>
      <c r="AU196" s="18"/>
      <c r="AV196" s="18">
        <f>SUM(AV197:AV203)</f>
        <v>14082208</v>
      </c>
      <c r="AW196" s="18">
        <f>SUM(AW197:AW203)</f>
        <v>23367</v>
      </c>
      <c r="AX196" s="18">
        <f>SUM(AX197:AX203)</f>
        <v>0</v>
      </c>
      <c r="AY196" s="18"/>
      <c r="AZ196" s="18">
        <f t="shared" ref="AZ196:CN196" si="569">SUM(AZ197:AZ203)</f>
        <v>831568</v>
      </c>
      <c r="BA196" s="18">
        <f t="shared" si="569"/>
        <v>114122774</v>
      </c>
      <c r="BB196" s="18">
        <f t="shared" si="569"/>
        <v>0</v>
      </c>
      <c r="BC196" s="18">
        <f t="shared" si="569"/>
        <v>0</v>
      </c>
      <c r="BD196" s="18">
        <f t="shared" si="569"/>
        <v>0</v>
      </c>
      <c r="BE196" s="18">
        <f t="shared" si="569"/>
        <v>0</v>
      </c>
      <c r="BF196" s="18">
        <f t="shared" si="569"/>
        <v>0</v>
      </c>
      <c r="BG196" s="18">
        <f t="shared" si="569"/>
        <v>0</v>
      </c>
      <c r="BH196" s="18">
        <f t="shared" si="569"/>
        <v>0</v>
      </c>
      <c r="BI196" s="18">
        <f t="shared" si="569"/>
        <v>0</v>
      </c>
      <c r="BJ196" s="18">
        <f t="shared" ref="BJ196" si="570">SUM(BJ197:BJ203)</f>
        <v>0</v>
      </c>
      <c r="BK196" s="18">
        <f t="shared" si="569"/>
        <v>0</v>
      </c>
      <c r="BL196" s="18">
        <f t="shared" si="569"/>
        <v>0</v>
      </c>
      <c r="BM196" s="18">
        <f t="shared" si="569"/>
        <v>0</v>
      </c>
      <c r="BN196" s="18">
        <f t="shared" si="569"/>
        <v>114122774</v>
      </c>
      <c r="BO196" s="18">
        <f t="shared" si="569"/>
        <v>0</v>
      </c>
      <c r="BP196" s="18">
        <f t="shared" si="569"/>
        <v>0</v>
      </c>
      <c r="BQ196" s="18">
        <f t="shared" si="569"/>
        <v>0</v>
      </c>
      <c r="BR196" s="18">
        <f t="shared" si="569"/>
        <v>0</v>
      </c>
      <c r="BS196" s="18">
        <f t="shared" si="569"/>
        <v>0</v>
      </c>
      <c r="BT196" s="18">
        <f t="shared" si="569"/>
        <v>0</v>
      </c>
      <c r="BU196" s="18">
        <f t="shared" si="569"/>
        <v>0</v>
      </c>
      <c r="BV196" s="18">
        <f t="shared" si="569"/>
        <v>1910000</v>
      </c>
      <c r="BW196" s="18">
        <f t="shared" si="569"/>
        <v>296784</v>
      </c>
      <c r="BX196" s="18">
        <f t="shared" si="569"/>
        <v>95428965</v>
      </c>
      <c r="BY196" s="18">
        <f t="shared" si="569"/>
        <v>16487025</v>
      </c>
      <c r="BZ196" s="18">
        <f t="shared" si="569"/>
        <v>42322</v>
      </c>
      <c r="CA196" s="18">
        <f t="shared" si="569"/>
        <v>42322</v>
      </c>
      <c r="CB196" s="18">
        <f t="shared" si="569"/>
        <v>42322</v>
      </c>
      <c r="CC196" s="18">
        <f t="shared" si="569"/>
        <v>0</v>
      </c>
      <c r="CD196" s="18">
        <f t="shared" si="569"/>
        <v>42322</v>
      </c>
      <c r="CE196" s="18">
        <f t="shared" si="569"/>
        <v>0</v>
      </c>
      <c r="CF196" s="18">
        <f t="shared" si="569"/>
        <v>0</v>
      </c>
      <c r="CG196" s="18">
        <f t="shared" si="569"/>
        <v>0</v>
      </c>
      <c r="CH196" s="18">
        <f t="shared" si="569"/>
        <v>0</v>
      </c>
      <c r="CI196" s="18">
        <f t="shared" si="569"/>
        <v>0</v>
      </c>
      <c r="CJ196" s="18">
        <f t="shared" ref="CJ196" si="571">SUM(CJ197:CJ203)</f>
        <v>0</v>
      </c>
      <c r="CK196" s="18">
        <f t="shared" si="569"/>
        <v>0</v>
      </c>
      <c r="CL196" s="18">
        <f t="shared" si="569"/>
        <v>0</v>
      </c>
      <c r="CM196" s="18">
        <f t="shared" si="569"/>
        <v>0</v>
      </c>
      <c r="CN196" s="18">
        <f t="shared" si="569"/>
        <v>0</v>
      </c>
      <c r="CO196" s="18"/>
      <c r="CP196" s="18"/>
      <c r="CQ196" s="18"/>
      <c r="CR196" s="18"/>
      <c r="CS196" s="18">
        <f t="shared" ref="CS196:CZ196" si="572">SUM(CS197:CS203)</f>
        <v>0</v>
      </c>
      <c r="CT196" s="18"/>
      <c r="CU196" s="18"/>
      <c r="CV196" s="18"/>
      <c r="CW196" s="18">
        <f t="shared" si="572"/>
        <v>0</v>
      </c>
      <c r="CX196" s="18">
        <f t="shared" si="572"/>
        <v>0</v>
      </c>
      <c r="CY196" s="18">
        <f t="shared" si="572"/>
        <v>0</v>
      </c>
      <c r="CZ196" s="46">
        <f t="shared" si="572"/>
        <v>0</v>
      </c>
      <c r="DA196" s="57"/>
    </row>
    <row r="197" spans="1:105" ht="31.5" x14ac:dyDescent="0.25">
      <c r="A197" s="80" t="s">
        <v>1</v>
      </c>
      <c r="B197" s="21" t="s">
        <v>73</v>
      </c>
      <c r="C197" s="22" t="s">
        <v>546</v>
      </c>
      <c r="D197" s="18">
        <f t="shared" ref="D197:D203" si="573">SUM(E197+BZ197+CW197)</f>
        <v>1611049</v>
      </c>
      <c r="E197" s="19">
        <f t="shared" ref="E197:E203" si="574">SUM(F197+BA197)</f>
        <v>1611049</v>
      </c>
      <c r="F197" s="19">
        <f t="shared" ref="F197:F203" si="575">SUM(G197+H197+I197+P197+S197+T197+U197+AD197)</f>
        <v>998120</v>
      </c>
      <c r="G197" s="23">
        <v>532230</v>
      </c>
      <c r="H197" s="23">
        <v>129208</v>
      </c>
      <c r="I197" s="19">
        <f t="shared" si="354"/>
        <v>336682</v>
      </c>
      <c r="J197" s="23">
        <v>0</v>
      </c>
      <c r="K197" s="23">
        <v>0</v>
      </c>
      <c r="L197" s="23">
        <v>0</v>
      </c>
      <c r="M197" s="23">
        <v>0</v>
      </c>
      <c r="N197" s="23">
        <v>336682</v>
      </c>
      <c r="O197" s="23">
        <v>0</v>
      </c>
      <c r="P197" s="19">
        <f t="shared" si="355"/>
        <v>0</v>
      </c>
      <c r="Q197" s="23">
        <v>0</v>
      </c>
      <c r="R197" s="23">
        <v>0</v>
      </c>
      <c r="S197" s="23">
        <v>0</v>
      </c>
      <c r="T197" s="23">
        <v>0</v>
      </c>
      <c r="U197" s="19">
        <f t="shared" ref="U197:U203" si="576">SUM(V197:AC197)</f>
        <v>0</v>
      </c>
      <c r="V197" s="19">
        <v>0</v>
      </c>
      <c r="W197" s="19">
        <v>0</v>
      </c>
      <c r="X197" s="19">
        <v>0</v>
      </c>
      <c r="Y197" s="19">
        <v>0</v>
      </c>
      <c r="Z197" s="19">
        <v>0</v>
      </c>
      <c r="AA197" s="19">
        <v>0</v>
      </c>
      <c r="AB197" s="19">
        <v>0</v>
      </c>
      <c r="AC197" s="19">
        <v>0</v>
      </c>
      <c r="AD197" s="19">
        <f t="shared" ref="AD197:AD203" si="577">SUM(AE197:AZ197)</f>
        <v>0</v>
      </c>
      <c r="AE197" s="19">
        <v>0</v>
      </c>
      <c r="AF197" s="19">
        <v>0</v>
      </c>
      <c r="AG197" s="19">
        <v>0</v>
      </c>
      <c r="AH197" s="19">
        <v>0</v>
      </c>
      <c r="AI197" s="19">
        <v>0</v>
      </c>
      <c r="AJ197" s="19">
        <v>0</v>
      </c>
      <c r="AK197" s="19">
        <v>0</v>
      </c>
      <c r="AL197" s="19">
        <v>0</v>
      </c>
      <c r="AM197" s="19">
        <v>0</v>
      </c>
      <c r="AN197" s="19">
        <v>0</v>
      </c>
      <c r="AO197" s="19">
        <v>0</v>
      </c>
      <c r="AP197" s="19"/>
      <c r="AQ197" s="19">
        <v>0</v>
      </c>
      <c r="AR197" s="19">
        <v>0</v>
      </c>
      <c r="AS197" s="19">
        <v>0</v>
      </c>
      <c r="AT197" s="19">
        <v>0</v>
      </c>
      <c r="AU197" s="19">
        <v>0</v>
      </c>
      <c r="AV197" s="19">
        <v>0</v>
      </c>
      <c r="AW197" s="23">
        <v>0</v>
      </c>
      <c r="AX197" s="23">
        <v>0</v>
      </c>
      <c r="AY197" s="23">
        <v>0</v>
      </c>
      <c r="AZ197" s="23">
        <v>0</v>
      </c>
      <c r="BA197" s="19">
        <f t="shared" ref="BA197:BA203" si="578">SUM(BB197+BF197+BI197+BK197+BN197)</f>
        <v>612929</v>
      </c>
      <c r="BB197" s="19">
        <f t="shared" ref="BB197:BB203" si="579">SUM(BC197:BE197)</f>
        <v>0</v>
      </c>
      <c r="BC197" s="19">
        <v>0</v>
      </c>
      <c r="BD197" s="19">
        <v>0</v>
      </c>
      <c r="BE197" s="19">
        <v>0</v>
      </c>
      <c r="BF197" s="19">
        <f t="shared" ref="BF197:BF203" si="580">SUM(BH197:BH197)</f>
        <v>0</v>
      </c>
      <c r="BG197" s="19">
        <v>0</v>
      </c>
      <c r="BH197" s="19">
        <v>0</v>
      </c>
      <c r="BI197" s="19">
        <v>0</v>
      </c>
      <c r="BJ197" s="19">
        <v>0</v>
      </c>
      <c r="BK197" s="19">
        <f t="shared" si="357"/>
        <v>0</v>
      </c>
      <c r="BL197" s="19">
        <v>0</v>
      </c>
      <c r="BM197" s="19">
        <v>0</v>
      </c>
      <c r="BN197" s="19">
        <f t="shared" ref="BN197:BN203" si="581">SUM(BO197:BY197)</f>
        <v>612929</v>
      </c>
      <c r="BO197" s="19">
        <v>0</v>
      </c>
      <c r="BP197" s="19">
        <v>0</v>
      </c>
      <c r="BQ197" s="19">
        <v>0</v>
      </c>
      <c r="BR197" s="19">
        <v>0</v>
      </c>
      <c r="BS197" s="19">
        <v>0</v>
      </c>
      <c r="BT197" s="19">
        <v>0</v>
      </c>
      <c r="BU197" s="19">
        <v>0</v>
      </c>
      <c r="BV197" s="19">
        <v>0</v>
      </c>
      <c r="BW197" s="23">
        <v>0</v>
      </c>
      <c r="BX197" s="23">
        <v>612929</v>
      </c>
      <c r="BY197" s="23">
        <v>0</v>
      </c>
      <c r="BZ197" s="19">
        <f t="shared" ref="BZ197:BZ203" si="582">SUM(CA197+CS197)</f>
        <v>0</v>
      </c>
      <c r="CA197" s="19">
        <f t="shared" ref="CA197:CA203" si="583">SUM(CB197+CE197+CK197)</f>
        <v>0</v>
      </c>
      <c r="CB197" s="19">
        <f t="shared" si="358"/>
        <v>0</v>
      </c>
      <c r="CC197" s="19">
        <v>0</v>
      </c>
      <c r="CD197" s="19">
        <v>0</v>
      </c>
      <c r="CE197" s="19">
        <f t="shared" ref="CE197:CE203" si="584">SUM(CF197:CJ197)</f>
        <v>0</v>
      </c>
      <c r="CF197" s="19">
        <v>0</v>
      </c>
      <c r="CG197" s="19">
        <v>0</v>
      </c>
      <c r="CH197" s="19">
        <v>0</v>
      </c>
      <c r="CI197" s="19">
        <v>0</v>
      </c>
      <c r="CJ197" s="19">
        <v>0</v>
      </c>
      <c r="CK197" s="19">
        <f t="shared" ref="CK197:CK203" si="585">SUM(CL197:CP197)</f>
        <v>0</v>
      </c>
      <c r="CL197" s="19">
        <v>0</v>
      </c>
      <c r="CM197" s="19">
        <v>0</v>
      </c>
      <c r="CN197" s="19">
        <v>0</v>
      </c>
      <c r="CO197" s="19"/>
      <c r="CP197" s="19"/>
      <c r="CQ197" s="19"/>
      <c r="CR197" s="19"/>
      <c r="CS197" s="19">
        <v>0</v>
      </c>
      <c r="CT197" s="19"/>
      <c r="CU197" s="19"/>
      <c r="CV197" s="19"/>
      <c r="CW197" s="19">
        <f t="shared" si="360"/>
        <v>0</v>
      </c>
      <c r="CX197" s="19">
        <f t="shared" si="361"/>
        <v>0</v>
      </c>
      <c r="CY197" s="19">
        <v>0</v>
      </c>
      <c r="CZ197" s="20">
        <v>0</v>
      </c>
    </row>
    <row r="198" spans="1:105" ht="31.5" x14ac:dyDescent="0.25">
      <c r="A198" s="80" t="s">
        <v>1</v>
      </c>
      <c r="B198" s="21" t="s">
        <v>69</v>
      </c>
      <c r="C198" s="22" t="s">
        <v>543</v>
      </c>
      <c r="D198" s="18">
        <f t="shared" si="573"/>
        <v>2125002</v>
      </c>
      <c r="E198" s="19">
        <f t="shared" si="574"/>
        <v>2082680</v>
      </c>
      <c r="F198" s="19">
        <f t="shared" si="575"/>
        <v>1324838</v>
      </c>
      <c r="G198" s="23">
        <v>534446</v>
      </c>
      <c r="H198" s="23">
        <v>70027</v>
      </c>
      <c r="I198" s="19">
        <f t="shared" si="354"/>
        <v>648532</v>
      </c>
      <c r="J198" s="23">
        <v>0</v>
      </c>
      <c r="K198" s="23">
        <v>0</v>
      </c>
      <c r="L198" s="23">
        <v>0</v>
      </c>
      <c r="M198" s="23">
        <v>0</v>
      </c>
      <c r="N198" s="23">
        <v>648532</v>
      </c>
      <c r="O198" s="23">
        <v>0</v>
      </c>
      <c r="P198" s="19">
        <f t="shared" si="355"/>
        <v>0</v>
      </c>
      <c r="Q198" s="23">
        <v>0</v>
      </c>
      <c r="R198" s="23">
        <v>0</v>
      </c>
      <c r="S198" s="23">
        <v>0</v>
      </c>
      <c r="T198" s="23">
        <v>71833</v>
      </c>
      <c r="U198" s="19">
        <f t="shared" si="576"/>
        <v>0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0</v>
      </c>
      <c r="AB198" s="19">
        <v>0</v>
      </c>
      <c r="AC198" s="19">
        <v>0</v>
      </c>
      <c r="AD198" s="19">
        <f t="shared" si="577"/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/>
      <c r="AQ198" s="19">
        <v>0</v>
      </c>
      <c r="AR198" s="19">
        <v>0</v>
      </c>
      <c r="AS198" s="19">
        <v>0</v>
      </c>
      <c r="AT198" s="19">
        <v>0</v>
      </c>
      <c r="AU198" s="19">
        <v>0</v>
      </c>
      <c r="AV198" s="19">
        <v>0</v>
      </c>
      <c r="AW198" s="23">
        <v>0</v>
      </c>
      <c r="AX198" s="23">
        <v>0</v>
      </c>
      <c r="AY198" s="23">
        <v>0</v>
      </c>
      <c r="AZ198" s="23">
        <v>0</v>
      </c>
      <c r="BA198" s="19">
        <f t="shared" si="578"/>
        <v>757842</v>
      </c>
      <c r="BB198" s="19">
        <f t="shared" si="579"/>
        <v>0</v>
      </c>
      <c r="BC198" s="19">
        <v>0</v>
      </c>
      <c r="BD198" s="19">
        <v>0</v>
      </c>
      <c r="BE198" s="19">
        <v>0</v>
      </c>
      <c r="BF198" s="19">
        <f t="shared" si="580"/>
        <v>0</v>
      </c>
      <c r="BG198" s="19">
        <v>0</v>
      </c>
      <c r="BH198" s="19">
        <v>0</v>
      </c>
      <c r="BI198" s="19">
        <v>0</v>
      </c>
      <c r="BJ198" s="19">
        <v>0</v>
      </c>
      <c r="BK198" s="19">
        <f t="shared" si="357"/>
        <v>0</v>
      </c>
      <c r="BL198" s="19">
        <v>0</v>
      </c>
      <c r="BM198" s="19">
        <v>0</v>
      </c>
      <c r="BN198" s="19">
        <f t="shared" si="581"/>
        <v>757842</v>
      </c>
      <c r="BO198" s="19">
        <v>0</v>
      </c>
      <c r="BP198" s="19">
        <v>0</v>
      </c>
      <c r="BQ198" s="19">
        <v>0</v>
      </c>
      <c r="BR198" s="19">
        <v>0</v>
      </c>
      <c r="BS198" s="19">
        <v>0</v>
      </c>
      <c r="BT198" s="19">
        <v>0</v>
      </c>
      <c r="BU198" s="19">
        <v>0</v>
      </c>
      <c r="BV198" s="19">
        <v>0</v>
      </c>
      <c r="BW198" s="23">
        <v>0</v>
      </c>
      <c r="BX198" s="23">
        <v>757842</v>
      </c>
      <c r="BY198" s="23">
        <v>0</v>
      </c>
      <c r="BZ198" s="19">
        <f t="shared" si="582"/>
        <v>42322</v>
      </c>
      <c r="CA198" s="19">
        <f t="shared" si="583"/>
        <v>42322</v>
      </c>
      <c r="CB198" s="19">
        <f t="shared" si="358"/>
        <v>42322</v>
      </c>
      <c r="CC198" s="19">
        <v>0</v>
      </c>
      <c r="CD198" s="23">
        <v>42322</v>
      </c>
      <c r="CE198" s="19">
        <f t="shared" si="584"/>
        <v>0</v>
      </c>
      <c r="CF198" s="19">
        <v>0</v>
      </c>
      <c r="CG198" s="19">
        <v>0</v>
      </c>
      <c r="CH198" s="19">
        <v>0</v>
      </c>
      <c r="CI198" s="19">
        <v>0</v>
      </c>
      <c r="CJ198" s="19">
        <v>0</v>
      </c>
      <c r="CK198" s="19">
        <f t="shared" si="585"/>
        <v>0</v>
      </c>
      <c r="CL198" s="19">
        <v>0</v>
      </c>
      <c r="CM198" s="19">
        <v>0</v>
      </c>
      <c r="CN198" s="19">
        <v>0</v>
      </c>
      <c r="CO198" s="19"/>
      <c r="CP198" s="19"/>
      <c r="CQ198" s="19"/>
      <c r="CR198" s="19"/>
      <c r="CS198" s="19">
        <v>0</v>
      </c>
      <c r="CT198" s="19"/>
      <c r="CU198" s="19"/>
      <c r="CV198" s="19"/>
      <c r="CW198" s="19">
        <f t="shared" si="360"/>
        <v>0</v>
      </c>
      <c r="CX198" s="19">
        <f t="shared" si="361"/>
        <v>0</v>
      </c>
      <c r="CY198" s="19">
        <v>0</v>
      </c>
      <c r="CZ198" s="20">
        <v>0</v>
      </c>
    </row>
    <row r="199" spans="1:105" ht="31.5" x14ac:dyDescent="0.25">
      <c r="A199" s="80" t="s">
        <v>1</v>
      </c>
      <c r="B199" s="21" t="s">
        <v>82</v>
      </c>
      <c r="C199" s="22" t="s">
        <v>544</v>
      </c>
      <c r="D199" s="18">
        <f t="shared" si="573"/>
        <v>51291723</v>
      </c>
      <c r="E199" s="19">
        <f t="shared" si="574"/>
        <v>51291723</v>
      </c>
      <c r="F199" s="19">
        <f t="shared" si="575"/>
        <v>17161460</v>
      </c>
      <c r="G199" s="23">
        <v>0</v>
      </c>
      <c r="H199" s="23">
        <v>0</v>
      </c>
      <c r="I199" s="19">
        <f>SUM(J199:O199)</f>
        <v>2247684</v>
      </c>
      <c r="J199" s="23"/>
      <c r="K199" s="23">
        <v>0</v>
      </c>
      <c r="L199" s="23">
        <v>0</v>
      </c>
      <c r="M199" s="23">
        <v>0</v>
      </c>
      <c r="N199" s="23">
        <v>0</v>
      </c>
      <c r="O199" s="23">
        <v>2247684</v>
      </c>
      <c r="P199" s="19">
        <f>SUM(Q199:R199)</f>
        <v>0</v>
      </c>
      <c r="Q199" s="23">
        <v>0</v>
      </c>
      <c r="R199" s="23">
        <v>0</v>
      </c>
      <c r="S199" s="23">
        <v>0</v>
      </c>
      <c r="T199" s="23">
        <v>0</v>
      </c>
      <c r="U199" s="19">
        <f t="shared" si="576"/>
        <v>0</v>
      </c>
      <c r="V199" s="19">
        <v>0</v>
      </c>
      <c r="W199" s="19">
        <v>0</v>
      </c>
      <c r="X199" s="19">
        <v>0</v>
      </c>
      <c r="Y199" s="19">
        <v>0</v>
      </c>
      <c r="Z199" s="19">
        <v>0</v>
      </c>
      <c r="AA199" s="19">
        <v>0</v>
      </c>
      <c r="AB199" s="19">
        <v>0</v>
      </c>
      <c r="AC199" s="19">
        <v>0</v>
      </c>
      <c r="AD199" s="19">
        <f t="shared" si="577"/>
        <v>14913776</v>
      </c>
      <c r="AE199" s="19">
        <v>0</v>
      </c>
      <c r="AF199" s="19">
        <v>0</v>
      </c>
      <c r="AG199" s="19">
        <v>0</v>
      </c>
      <c r="AH199" s="19">
        <v>0</v>
      </c>
      <c r="AI199" s="19">
        <v>0</v>
      </c>
      <c r="AJ199" s="19">
        <v>0</v>
      </c>
      <c r="AK199" s="19">
        <v>0</v>
      </c>
      <c r="AL199" s="19">
        <v>0</v>
      </c>
      <c r="AM199" s="19">
        <v>0</v>
      </c>
      <c r="AN199" s="19">
        <v>0</v>
      </c>
      <c r="AO199" s="19">
        <v>0</v>
      </c>
      <c r="AP199" s="19"/>
      <c r="AQ199" s="19">
        <v>0</v>
      </c>
      <c r="AR199" s="19">
        <v>0</v>
      </c>
      <c r="AS199" s="19">
        <v>0</v>
      </c>
      <c r="AT199" s="19">
        <v>0</v>
      </c>
      <c r="AU199" s="19">
        <v>0</v>
      </c>
      <c r="AV199" s="19">
        <v>14082208</v>
      </c>
      <c r="AW199" s="23">
        <v>0</v>
      </c>
      <c r="AX199" s="23">
        <v>0</v>
      </c>
      <c r="AY199" s="23">
        <v>0</v>
      </c>
      <c r="AZ199" s="23">
        <v>831568</v>
      </c>
      <c r="BA199" s="19">
        <f t="shared" si="578"/>
        <v>34130263</v>
      </c>
      <c r="BB199" s="19">
        <f t="shared" si="579"/>
        <v>0</v>
      </c>
      <c r="BC199" s="19">
        <v>0</v>
      </c>
      <c r="BD199" s="19">
        <v>0</v>
      </c>
      <c r="BE199" s="19">
        <v>0</v>
      </c>
      <c r="BF199" s="19">
        <f t="shared" si="580"/>
        <v>0</v>
      </c>
      <c r="BG199" s="19">
        <v>0</v>
      </c>
      <c r="BH199" s="19">
        <v>0</v>
      </c>
      <c r="BI199" s="19">
        <v>0</v>
      </c>
      <c r="BJ199" s="19">
        <v>0</v>
      </c>
      <c r="BK199" s="19">
        <f>SUM(BL199)</f>
        <v>0</v>
      </c>
      <c r="BL199" s="19">
        <v>0</v>
      </c>
      <c r="BM199" s="19">
        <v>0</v>
      </c>
      <c r="BN199" s="19">
        <f t="shared" si="581"/>
        <v>34130263</v>
      </c>
      <c r="BO199" s="19">
        <v>0</v>
      </c>
      <c r="BP199" s="19">
        <v>0</v>
      </c>
      <c r="BQ199" s="19">
        <v>0</v>
      </c>
      <c r="BR199" s="19">
        <v>0</v>
      </c>
      <c r="BS199" s="19">
        <v>0</v>
      </c>
      <c r="BT199" s="19">
        <v>0</v>
      </c>
      <c r="BU199" s="19">
        <v>0</v>
      </c>
      <c r="BV199" s="19">
        <v>1910000</v>
      </c>
      <c r="BW199" s="23">
        <v>296784</v>
      </c>
      <c r="BX199" s="23">
        <f>14794456+1343561</f>
        <v>16138017</v>
      </c>
      <c r="BY199" s="23">
        <f>15170760+614702</f>
        <v>15785462</v>
      </c>
      <c r="BZ199" s="19">
        <f t="shared" si="582"/>
        <v>0</v>
      </c>
      <c r="CA199" s="19">
        <f t="shared" si="583"/>
        <v>0</v>
      </c>
      <c r="CB199" s="19">
        <f>SUM(CC199:CD199)</f>
        <v>0</v>
      </c>
      <c r="CC199" s="19">
        <v>0</v>
      </c>
      <c r="CD199" s="19"/>
      <c r="CE199" s="19">
        <f t="shared" si="584"/>
        <v>0</v>
      </c>
      <c r="CF199" s="19">
        <v>0</v>
      </c>
      <c r="CG199" s="19">
        <v>0</v>
      </c>
      <c r="CH199" s="19">
        <v>0</v>
      </c>
      <c r="CI199" s="19">
        <v>0</v>
      </c>
      <c r="CJ199" s="19">
        <v>0</v>
      </c>
      <c r="CK199" s="19">
        <f t="shared" si="585"/>
        <v>0</v>
      </c>
      <c r="CL199" s="19">
        <v>0</v>
      </c>
      <c r="CM199" s="19">
        <v>0</v>
      </c>
      <c r="CN199" s="19">
        <v>0</v>
      </c>
      <c r="CO199" s="19"/>
      <c r="CP199" s="19"/>
      <c r="CQ199" s="19"/>
      <c r="CR199" s="19"/>
      <c r="CS199" s="19">
        <v>0</v>
      </c>
      <c r="CT199" s="19"/>
      <c r="CU199" s="19"/>
      <c r="CV199" s="19"/>
      <c r="CW199" s="19">
        <f>SUM(CX199)</f>
        <v>0</v>
      </c>
      <c r="CX199" s="19">
        <f>SUM(CY199:CZ199)</f>
        <v>0</v>
      </c>
      <c r="CY199" s="19">
        <v>0</v>
      </c>
      <c r="CZ199" s="20">
        <v>0</v>
      </c>
    </row>
    <row r="200" spans="1:105" ht="21" customHeight="1" x14ac:dyDescent="0.25">
      <c r="A200" s="80" t="s">
        <v>1</v>
      </c>
      <c r="B200" s="21" t="s">
        <v>82</v>
      </c>
      <c r="C200" s="22" t="s">
        <v>545</v>
      </c>
      <c r="D200" s="18">
        <f t="shared" si="573"/>
        <v>72146888</v>
      </c>
      <c r="E200" s="19">
        <f t="shared" si="574"/>
        <v>72146888</v>
      </c>
      <c r="F200" s="19">
        <f t="shared" si="575"/>
        <v>0</v>
      </c>
      <c r="G200" s="23">
        <v>0</v>
      </c>
      <c r="H200" s="23">
        <v>0</v>
      </c>
      <c r="I200" s="19">
        <f t="shared" si="354"/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19">
        <f t="shared" si="355"/>
        <v>0</v>
      </c>
      <c r="Q200" s="23">
        <v>0</v>
      </c>
      <c r="R200" s="23">
        <v>0</v>
      </c>
      <c r="S200" s="23">
        <v>0</v>
      </c>
      <c r="T200" s="23">
        <v>0</v>
      </c>
      <c r="U200" s="19">
        <f t="shared" si="576"/>
        <v>0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0</v>
      </c>
      <c r="AB200" s="19">
        <v>0</v>
      </c>
      <c r="AC200" s="19">
        <v>0</v>
      </c>
      <c r="AD200" s="19">
        <f t="shared" si="577"/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/>
      <c r="AQ200" s="19">
        <v>0</v>
      </c>
      <c r="AR200" s="19">
        <v>0</v>
      </c>
      <c r="AS200" s="19">
        <v>0</v>
      </c>
      <c r="AT200" s="19">
        <v>0</v>
      </c>
      <c r="AU200" s="19">
        <v>0</v>
      </c>
      <c r="AV200" s="19">
        <v>0</v>
      </c>
      <c r="AW200" s="23">
        <v>0</v>
      </c>
      <c r="AX200" s="23">
        <v>0</v>
      </c>
      <c r="AY200" s="23">
        <v>0</v>
      </c>
      <c r="AZ200" s="23">
        <v>0</v>
      </c>
      <c r="BA200" s="19">
        <f t="shared" si="578"/>
        <v>72146888</v>
      </c>
      <c r="BB200" s="19">
        <f t="shared" si="579"/>
        <v>0</v>
      </c>
      <c r="BC200" s="19">
        <v>0</v>
      </c>
      <c r="BD200" s="19">
        <v>0</v>
      </c>
      <c r="BE200" s="19">
        <v>0</v>
      </c>
      <c r="BF200" s="19">
        <f t="shared" si="580"/>
        <v>0</v>
      </c>
      <c r="BG200" s="19">
        <v>0</v>
      </c>
      <c r="BH200" s="19">
        <v>0</v>
      </c>
      <c r="BI200" s="19">
        <v>0</v>
      </c>
      <c r="BJ200" s="19">
        <v>0</v>
      </c>
      <c r="BK200" s="19">
        <f t="shared" si="357"/>
        <v>0</v>
      </c>
      <c r="BL200" s="19">
        <v>0</v>
      </c>
      <c r="BM200" s="19">
        <v>0</v>
      </c>
      <c r="BN200" s="19">
        <f t="shared" si="581"/>
        <v>72146888</v>
      </c>
      <c r="BO200" s="19">
        <v>0</v>
      </c>
      <c r="BP200" s="19">
        <v>0</v>
      </c>
      <c r="BQ200" s="19">
        <v>0</v>
      </c>
      <c r="BR200" s="19">
        <v>0</v>
      </c>
      <c r="BS200" s="19">
        <v>0</v>
      </c>
      <c r="BT200" s="19">
        <v>0</v>
      </c>
      <c r="BU200" s="19">
        <v>0</v>
      </c>
      <c r="BV200" s="19">
        <v>0</v>
      </c>
      <c r="BW200" s="23">
        <v>0</v>
      </c>
      <c r="BX200" s="23">
        <f>67173424+4603464</f>
        <v>71776888</v>
      </c>
      <c r="BY200" s="23">
        <v>370000</v>
      </c>
      <c r="BZ200" s="19">
        <f t="shared" si="582"/>
        <v>0</v>
      </c>
      <c r="CA200" s="19">
        <f t="shared" si="583"/>
        <v>0</v>
      </c>
      <c r="CB200" s="19">
        <f t="shared" si="358"/>
        <v>0</v>
      </c>
      <c r="CC200" s="19">
        <v>0</v>
      </c>
      <c r="CD200" s="19">
        <v>0</v>
      </c>
      <c r="CE200" s="19">
        <f t="shared" si="584"/>
        <v>0</v>
      </c>
      <c r="CF200" s="19">
        <v>0</v>
      </c>
      <c r="CG200" s="19">
        <v>0</v>
      </c>
      <c r="CH200" s="19">
        <v>0</v>
      </c>
      <c r="CI200" s="19">
        <v>0</v>
      </c>
      <c r="CJ200" s="19">
        <v>0</v>
      </c>
      <c r="CK200" s="19">
        <f t="shared" si="585"/>
        <v>0</v>
      </c>
      <c r="CL200" s="19">
        <v>0</v>
      </c>
      <c r="CM200" s="19">
        <v>0</v>
      </c>
      <c r="CN200" s="19">
        <v>0</v>
      </c>
      <c r="CO200" s="19"/>
      <c r="CP200" s="19"/>
      <c r="CQ200" s="19"/>
      <c r="CR200" s="19"/>
      <c r="CS200" s="19">
        <v>0</v>
      </c>
      <c r="CT200" s="19"/>
      <c r="CU200" s="19"/>
      <c r="CV200" s="19"/>
      <c r="CW200" s="19">
        <f t="shared" si="360"/>
        <v>0</v>
      </c>
      <c r="CX200" s="19">
        <f t="shared" si="361"/>
        <v>0</v>
      </c>
      <c r="CY200" s="19">
        <v>0</v>
      </c>
      <c r="CZ200" s="20">
        <v>0</v>
      </c>
    </row>
    <row r="201" spans="1:105" ht="31.5" x14ac:dyDescent="0.25">
      <c r="A201" s="80" t="s">
        <v>1</v>
      </c>
      <c r="B201" s="21" t="s">
        <v>82</v>
      </c>
      <c r="C201" s="22" t="s">
        <v>296</v>
      </c>
      <c r="D201" s="18">
        <f t="shared" si="573"/>
        <v>6143289</v>
      </c>
      <c r="E201" s="19">
        <f t="shared" si="574"/>
        <v>6143289</v>
      </c>
      <c r="F201" s="19">
        <f t="shared" si="575"/>
        <v>0</v>
      </c>
      <c r="G201" s="23">
        <v>0</v>
      </c>
      <c r="H201" s="23">
        <v>0</v>
      </c>
      <c r="I201" s="19">
        <f>SUM(J201:O201)</f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19">
        <f>SUM(Q201:R201)</f>
        <v>0</v>
      </c>
      <c r="Q201" s="23">
        <v>0</v>
      </c>
      <c r="R201" s="23">
        <v>0</v>
      </c>
      <c r="S201" s="23">
        <v>0</v>
      </c>
      <c r="T201" s="23">
        <v>0</v>
      </c>
      <c r="U201" s="19">
        <f t="shared" si="576"/>
        <v>0</v>
      </c>
      <c r="V201" s="19">
        <v>0</v>
      </c>
      <c r="W201" s="19">
        <v>0</v>
      </c>
      <c r="X201" s="19">
        <v>0</v>
      </c>
      <c r="Y201" s="19">
        <v>0</v>
      </c>
      <c r="Z201" s="19">
        <v>0</v>
      </c>
      <c r="AA201" s="19">
        <v>0</v>
      </c>
      <c r="AB201" s="19">
        <v>0</v>
      </c>
      <c r="AC201" s="19">
        <v>0</v>
      </c>
      <c r="AD201" s="19">
        <f t="shared" si="577"/>
        <v>0</v>
      </c>
      <c r="AE201" s="19">
        <v>0</v>
      </c>
      <c r="AF201" s="19">
        <v>0</v>
      </c>
      <c r="AG201" s="19">
        <v>0</v>
      </c>
      <c r="AH201" s="19">
        <v>0</v>
      </c>
      <c r="AI201" s="19">
        <v>0</v>
      </c>
      <c r="AJ201" s="19">
        <v>0</v>
      </c>
      <c r="AK201" s="19">
        <v>0</v>
      </c>
      <c r="AL201" s="19">
        <v>0</v>
      </c>
      <c r="AM201" s="19">
        <v>0</v>
      </c>
      <c r="AN201" s="19">
        <v>0</v>
      </c>
      <c r="AO201" s="19">
        <v>0</v>
      </c>
      <c r="AP201" s="19"/>
      <c r="AQ201" s="19">
        <v>0</v>
      </c>
      <c r="AR201" s="19">
        <v>0</v>
      </c>
      <c r="AS201" s="19">
        <v>0</v>
      </c>
      <c r="AT201" s="19">
        <v>0</v>
      </c>
      <c r="AU201" s="19">
        <v>0</v>
      </c>
      <c r="AV201" s="19">
        <v>0</v>
      </c>
      <c r="AW201" s="23">
        <v>0</v>
      </c>
      <c r="AX201" s="23">
        <v>0</v>
      </c>
      <c r="AY201" s="23">
        <v>0</v>
      </c>
      <c r="AZ201" s="23">
        <v>0</v>
      </c>
      <c r="BA201" s="19">
        <f t="shared" si="578"/>
        <v>6143289</v>
      </c>
      <c r="BB201" s="19">
        <f t="shared" si="579"/>
        <v>0</v>
      </c>
      <c r="BC201" s="19">
        <v>0</v>
      </c>
      <c r="BD201" s="19">
        <v>0</v>
      </c>
      <c r="BE201" s="19">
        <v>0</v>
      </c>
      <c r="BF201" s="19">
        <f t="shared" si="580"/>
        <v>0</v>
      </c>
      <c r="BG201" s="19">
        <v>0</v>
      </c>
      <c r="BH201" s="19">
        <v>0</v>
      </c>
      <c r="BI201" s="19">
        <v>0</v>
      </c>
      <c r="BJ201" s="19">
        <v>0</v>
      </c>
      <c r="BK201" s="19">
        <f>SUM(BL201)</f>
        <v>0</v>
      </c>
      <c r="BL201" s="19">
        <v>0</v>
      </c>
      <c r="BM201" s="19">
        <v>0</v>
      </c>
      <c r="BN201" s="19">
        <f t="shared" si="581"/>
        <v>6143289</v>
      </c>
      <c r="BO201" s="19">
        <v>0</v>
      </c>
      <c r="BP201" s="19">
        <v>0</v>
      </c>
      <c r="BQ201" s="19">
        <v>0</v>
      </c>
      <c r="BR201" s="19">
        <v>0</v>
      </c>
      <c r="BS201" s="19">
        <v>0</v>
      </c>
      <c r="BT201" s="19">
        <v>0</v>
      </c>
      <c r="BU201" s="19">
        <v>0</v>
      </c>
      <c r="BV201" s="19">
        <v>0</v>
      </c>
      <c r="BW201" s="23">
        <v>0</v>
      </c>
      <c r="BX201" s="23">
        <f>5614145+529144</f>
        <v>6143289</v>
      </c>
      <c r="BY201" s="23">
        <v>0</v>
      </c>
      <c r="BZ201" s="19">
        <f t="shared" si="582"/>
        <v>0</v>
      </c>
      <c r="CA201" s="19">
        <f t="shared" si="583"/>
        <v>0</v>
      </c>
      <c r="CB201" s="19">
        <f>SUM(CC201:CD201)</f>
        <v>0</v>
      </c>
      <c r="CC201" s="19">
        <v>0</v>
      </c>
      <c r="CD201" s="19">
        <v>0</v>
      </c>
      <c r="CE201" s="19">
        <f t="shared" si="584"/>
        <v>0</v>
      </c>
      <c r="CF201" s="19">
        <v>0</v>
      </c>
      <c r="CG201" s="19">
        <v>0</v>
      </c>
      <c r="CH201" s="19">
        <v>0</v>
      </c>
      <c r="CI201" s="19">
        <v>0</v>
      </c>
      <c r="CJ201" s="19">
        <v>0</v>
      </c>
      <c r="CK201" s="19">
        <f t="shared" si="585"/>
        <v>0</v>
      </c>
      <c r="CL201" s="19">
        <v>0</v>
      </c>
      <c r="CM201" s="19">
        <v>0</v>
      </c>
      <c r="CN201" s="19">
        <v>0</v>
      </c>
      <c r="CO201" s="19"/>
      <c r="CP201" s="19"/>
      <c r="CQ201" s="19"/>
      <c r="CR201" s="19"/>
      <c r="CS201" s="19">
        <v>0</v>
      </c>
      <c r="CT201" s="19"/>
      <c r="CU201" s="19"/>
      <c r="CV201" s="19"/>
      <c r="CW201" s="19">
        <f>SUM(CX201)</f>
        <v>0</v>
      </c>
      <c r="CX201" s="19">
        <f>SUM(CY201:CZ201)</f>
        <v>0</v>
      </c>
      <c r="CY201" s="19">
        <v>0</v>
      </c>
      <c r="CZ201" s="20">
        <v>0</v>
      </c>
    </row>
    <row r="202" spans="1:105" ht="31.5" x14ac:dyDescent="0.25">
      <c r="A202" s="80" t="s">
        <v>1</v>
      </c>
      <c r="B202" s="21" t="s">
        <v>82</v>
      </c>
      <c r="C202" s="22" t="s">
        <v>297</v>
      </c>
      <c r="D202" s="18">
        <f t="shared" si="573"/>
        <v>331563</v>
      </c>
      <c r="E202" s="19">
        <f t="shared" si="574"/>
        <v>331563</v>
      </c>
      <c r="F202" s="19">
        <f t="shared" si="575"/>
        <v>0</v>
      </c>
      <c r="G202" s="23">
        <v>0</v>
      </c>
      <c r="H202" s="23">
        <v>0</v>
      </c>
      <c r="I202" s="19">
        <f>SUM(J202:O202)</f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19">
        <f>SUM(Q202:R202)</f>
        <v>0</v>
      </c>
      <c r="Q202" s="23">
        <v>0</v>
      </c>
      <c r="R202" s="23">
        <v>0</v>
      </c>
      <c r="S202" s="23">
        <v>0</v>
      </c>
      <c r="T202" s="23">
        <v>0</v>
      </c>
      <c r="U202" s="19">
        <f t="shared" si="576"/>
        <v>0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0</v>
      </c>
      <c r="AB202" s="19">
        <v>0</v>
      </c>
      <c r="AC202" s="19">
        <v>0</v>
      </c>
      <c r="AD202" s="19">
        <f t="shared" si="577"/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/>
      <c r="AQ202" s="19">
        <v>0</v>
      </c>
      <c r="AR202" s="19">
        <v>0</v>
      </c>
      <c r="AS202" s="19">
        <v>0</v>
      </c>
      <c r="AT202" s="19">
        <v>0</v>
      </c>
      <c r="AU202" s="19">
        <v>0</v>
      </c>
      <c r="AV202" s="19">
        <v>0</v>
      </c>
      <c r="AW202" s="23">
        <v>0</v>
      </c>
      <c r="AX202" s="23">
        <v>0</v>
      </c>
      <c r="AY202" s="23">
        <v>0</v>
      </c>
      <c r="AZ202" s="23">
        <v>0</v>
      </c>
      <c r="BA202" s="19">
        <f t="shared" si="578"/>
        <v>331563</v>
      </c>
      <c r="BB202" s="19">
        <f t="shared" si="579"/>
        <v>0</v>
      </c>
      <c r="BC202" s="19">
        <v>0</v>
      </c>
      <c r="BD202" s="19">
        <v>0</v>
      </c>
      <c r="BE202" s="19">
        <v>0</v>
      </c>
      <c r="BF202" s="19">
        <f t="shared" si="580"/>
        <v>0</v>
      </c>
      <c r="BG202" s="19">
        <v>0</v>
      </c>
      <c r="BH202" s="19">
        <v>0</v>
      </c>
      <c r="BI202" s="19">
        <v>0</v>
      </c>
      <c r="BJ202" s="19">
        <v>0</v>
      </c>
      <c r="BK202" s="19">
        <f>SUM(BL202)</f>
        <v>0</v>
      </c>
      <c r="BL202" s="19">
        <v>0</v>
      </c>
      <c r="BM202" s="19">
        <v>0</v>
      </c>
      <c r="BN202" s="19">
        <f t="shared" si="581"/>
        <v>331563</v>
      </c>
      <c r="BO202" s="19">
        <v>0</v>
      </c>
      <c r="BP202" s="19">
        <v>0</v>
      </c>
      <c r="BQ202" s="19">
        <v>0</v>
      </c>
      <c r="BR202" s="19">
        <v>0</v>
      </c>
      <c r="BS202" s="19">
        <v>0</v>
      </c>
      <c r="BT202" s="19">
        <v>0</v>
      </c>
      <c r="BU202" s="19">
        <v>0</v>
      </c>
      <c r="BV202" s="19">
        <v>0</v>
      </c>
      <c r="BW202" s="23">
        <v>0</v>
      </c>
      <c r="BX202" s="23">
        <v>0</v>
      </c>
      <c r="BY202" s="23">
        <v>331563</v>
      </c>
      <c r="BZ202" s="19">
        <f t="shared" si="582"/>
        <v>0</v>
      </c>
      <c r="CA202" s="19">
        <f t="shared" si="583"/>
        <v>0</v>
      </c>
      <c r="CB202" s="19">
        <f>SUM(CC202:CD202)</f>
        <v>0</v>
      </c>
      <c r="CC202" s="19">
        <v>0</v>
      </c>
      <c r="CD202" s="19">
        <v>0</v>
      </c>
      <c r="CE202" s="19">
        <f t="shared" si="584"/>
        <v>0</v>
      </c>
      <c r="CF202" s="19">
        <v>0</v>
      </c>
      <c r="CG202" s="19">
        <v>0</v>
      </c>
      <c r="CH202" s="19">
        <v>0</v>
      </c>
      <c r="CI202" s="19">
        <v>0</v>
      </c>
      <c r="CJ202" s="19">
        <v>0</v>
      </c>
      <c r="CK202" s="19">
        <f t="shared" si="585"/>
        <v>0</v>
      </c>
      <c r="CL202" s="19">
        <v>0</v>
      </c>
      <c r="CM202" s="19">
        <v>0</v>
      </c>
      <c r="CN202" s="19">
        <v>0</v>
      </c>
      <c r="CO202" s="19"/>
      <c r="CP202" s="19"/>
      <c r="CQ202" s="19"/>
      <c r="CR202" s="19"/>
      <c r="CS202" s="19">
        <v>0</v>
      </c>
      <c r="CT202" s="19"/>
      <c r="CU202" s="19"/>
      <c r="CV202" s="19"/>
      <c r="CW202" s="19">
        <f>SUM(CX202)</f>
        <v>0</v>
      </c>
      <c r="CX202" s="19">
        <f>SUM(CY202:CZ202)</f>
        <v>0</v>
      </c>
      <c r="CY202" s="19">
        <v>0</v>
      </c>
      <c r="CZ202" s="20">
        <v>0</v>
      </c>
    </row>
    <row r="203" spans="1:105" ht="15.75" x14ac:dyDescent="0.25">
      <c r="A203" s="80" t="s">
        <v>1</v>
      </c>
      <c r="B203" s="21" t="s">
        <v>179</v>
      </c>
      <c r="C203" s="22" t="s">
        <v>180</v>
      </c>
      <c r="D203" s="18">
        <f t="shared" si="573"/>
        <v>873488</v>
      </c>
      <c r="E203" s="19">
        <f t="shared" si="574"/>
        <v>873488</v>
      </c>
      <c r="F203" s="19">
        <f t="shared" si="575"/>
        <v>873488</v>
      </c>
      <c r="G203" s="23">
        <v>840121</v>
      </c>
      <c r="H203" s="23">
        <v>0</v>
      </c>
      <c r="I203" s="19">
        <f t="shared" ref="I203" si="586">SUM(J203:O203)</f>
        <v>10000</v>
      </c>
      <c r="J203" s="23">
        <v>0</v>
      </c>
      <c r="K203" s="23">
        <v>10000</v>
      </c>
      <c r="L203" s="23">
        <v>0</v>
      </c>
      <c r="M203" s="23">
        <v>0</v>
      </c>
      <c r="N203" s="23">
        <v>0</v>
      </c>
      <c r="O203" s="23">
        <v>0</v>
      </c>
      <c r="P203" s="19">
        <f t="shared" ref="P203" si="587">SUM(Q203:R203)</f>
        <v>0</v>
      </c>
      <c r="Q203" s="23">
        <v>0</v>
      </c>
      <c r="R203" s="23">
        <v>0</v>
      </c>
      <c r="S203" s="23">
        <v>0</v>
      </c>
      <c r="T203" s="23">
        <v>0</v>
      </c>
      <c r="U203" s="19">
        <f t="shared" si="576"/>
        <v>0</v>
      </c>
      <c r="V203" s="19">
        <v>0</v>
      </c>
      <c r="W203" s="19">
        <v>0</v>
      </c>
      <c r="X203" s="19">
        <v>0</v>
      </c>
      <c r="Y203" s="19">
        <v>0</v>
      </c>
      <c r="Z203" s="19">
        <v>0</v>
      </c>
      <c r="AA203" s="19">
        <v>0</v>
      </c>
      <c r="AB203" s="19">
        <v>0</v>
      </c>
      <c r="AC203" s="19">
        <v>0</v>
      </c>
      <c r="AD203" s="19">
        <f t="shared" si="577"/>
        <v>23367</v>
      </c>
      <c r="AE203" s="19">
        <v>0</v>
      </c>
      <c r="AF203" s="19">
        <v>0</v>
      </c>
      <c r="AG203" s="19">
        <v>0</v>
      </c>
      <c r="AH203" s="19">
        <v>0</v>
      </c>
      <c r="AI203" s="19">
        <v>0</v>
      </c>
      <c r="AJ203" s="19">
        <v>0</v>
      </c>
      <c r="AK203" s="19">
        <v>0</v>
      </c>
      <c r="AL203" s="19">
        <v>0</v>
      </c>
      <c r="AM203" s="19">
        <v>0</v>
      </c>
      <c r="AN203" s="19">
        <v>0</v>
      </c>
      <c r="AO203" s="19">
        <v>0</v>
      </c>
      <c r="AP203" s="19"/>
      <c r="AQ203" s="19">
        <v>0</v>
      </c>
      <c r="AR203" s="19">
        <v>0</v>
      </c>
      <c r="AS203" s="19">
        <v>0</v>
      </c>
      <c r="AT203" s="19">
        <v>0</v>
      </c>
      <c r="AU203" s="19">
        <v>0</v>
      </c>
      <c r="AV203" s="19">
        <v>0</v>
      </c>
      <c r="AW203" s="23">
        <v>23367</v>
      </c>
      <c r="AX203" s="23">
        <v>0</v>
      </c>
      <c r="AY203" s="23">
        <v>0</v>
      </c>
      <c r="AZ203" s="23">
        <v>0</v>
      </c>
      <c r="BA203" s="19">
        <f t="shared" si="578"/>
        <v>0</v>
      </c>
      <c r="BB203" s="19">
        <f t="shared" si="579"/>
        <v>0</v>
      </c>
      <c r="BC203" s="19">
        <v>0</v>
      </c>
      <c r="BD203" s="19">
        <v>0</v>
      </c>
      <c r="BE203" s="19">
        <v>0</v>
      </c>
      <c r="BF203" s="19">
        <f t="shared" si="580"/>
        <v>0</v>
      </c>
      <c r="BG203" s="19">
        <v>0</v>
      </c>
      <c r="BH203" s="19">
        <v>0</v>
      </c>
      <c r="BI203" s="19">
        <v>0</v>
      </c>
      <c r="BJ203" s="19">
        <v>0</v>
      </c>
      <c r="BK203" s="19">
        <f t="shared" ref="BK203" si="588">SUM(BL203)</f>
        <v>0</v>
      </c>
      <c r="BL203" s="19">
        <v>0</v>
      </c>
      <c r="BM203" s="19">
        <v>0</v>
      </c>
      <c r="BN203" s="19">
        <f t="shared" si="581"/>
        <v>0</v>
      </c>
      <c r="BO203" s="19">
        <v>0</v>
      </c>
      <c r="BP203" s="19">
        <v>0</v>
      </c>
      <c r="BQ203" s="19">
        <v>0</v>
      </c>
      <c r="BR203" s="19">
        <v>0</v>
      </c>
      <c r="BS203" s="19">
        <v>0</v>
      </c>
      <c r="BT203" s="19">
        <v>0</v>
      </c>
      <c r="BU203" s="19">
        <v>0</v>
      </c>
      <c r="BV203" s="19">
        <v>0</v>
      </c>
      <c r="BW203" s="23">
        <v>0</v>
      </c>
      <c r="BX203" s="23">
        <v>0</v>
      </c>
      <c r="BY203" s="23">
        <v>0</v>
      </c>
      <c r="BZ203" s="19">
        <f t="shared" si="582"/>
        <v>0</v>
      </c>
      <c r="CA203" s="19">
        <f t="shared" si="583"/>
        <v>0</v>
      </c>
      <c r="CB203" s="19">
        <f t="shared" ref="CB203" si="589">SUM(CC203:CD203)</f>
        <v>0</v>
      </c>
      <c r="CC203" s="19">
        <v>0</v>
      </c>
      <c r="CD203" s="19"/>
      <c r="CE203" s="19">
        <f t="shared" si="584"/>
        <v>0</v>
      </c>
      <c r="CF203" s="19">
        <v>0</v>
      </c>
      <c r="CG203" s="19">
        <v>0</v>
      </c>
      <c r="CH203" s="19">
        <v>0</v>
      </c>
      <c r="CI203" s="19">
        <v>0</v>
      </c>
      <c r="CJ203" s="19">
        <v>0</v>
      </c>
      <c r="CK203" s="19">
        <f t="shared" si="585"/>
        <v>0</v>
      </c>
      <c r="CL203" s="19">
        <v>0</v>
      </c>
      <c r="CM203" s="19">
        <v>0</v>
      </c>
      <c r="CN203" s="19">
        <v>0</v>
      </c>
      <c r="CO203" s="19"/>
      <c r="CP203" s="19"/>
      <c r="CQ203" s="19"/>
      <c r="CR203" s="19"/>
      <c r="CS203" s="19">
        <v>0</v>
      </c>
      <c r="CT203" s="19"/>
      <c r="CU203" s="19"/>
      <c r="CV203" s="19"/>
      <c r="CW203" s="19">
        <f t="shared" ref="CW203" si="590">SUM(CX203)</f>
        <v>0</v>
      </c>
      <c r="CX203" s="19">
        <f t="shared" ref="CX203" si="591">SUM(CY203:CZ203)</f>
        <v>0</v>
      </c>
      <c r="CY203" s="19">
        <v>0</v>
      </c>
      <c r="CZ203" s="20">
        <v>0</v>
      </c>
    </row>
    <row r="204" spans="1:105" s="58" customFormat="1" ht="31.5" x14ac:dyDescent="0.25">
      <c r="A204" s="79" t="s">
        <v>299</v>
      </c>
      <c r="B204" s="16" t="s">
        <v>1</v>
      </c>
      <c r="C204" s="17" t="s">
        <v>365</v>
      </c>
      <c r="D204" s="18">
        <f t="shared" ref="D204:AS204" si="592">SUM(D205:D214)</f>
        <v>114696971</v>
      </c>
      <c r="E204" s="18">
        <f t="shared" si="592"/>
        <v>114696971</v>
      </c>
      <c r="F204" s="18">
        <f t="shared" si="592"/>
        <v>114696971</v>
      </c>
      <c r="G204" s="18">
        <f t="shared" si="592"/>
        <v>0</v>
      </c>
      <c r="H204" s="18">
        <f t="shared" si="592"/>
        <v>0</v>
      </c>
      <c r="I204" s="18">
        <f t="shared" si="592"/>
        <v>0</v>
      </c>
      <c r="J204" s="18">
        <f t="shared" si="592"/>
        <v>0</v>
      </c>
      <c r="K204" s="18">
        <f t="shared" si="592"/>
        <v>0</v>
      </c>
      <c r="L204" s="18">
        <f t="shared" si="592"/>
        <v>0</v>
      </c>
      <c r="M204" s="18">
        <f t="shared" si="592"/>
        <v>0</v>
      </c>
      <c r="N204" s="18">
        <f t="shared" si="592"/>
        <v>0</v>
      </c>
      <c r="O204" s="18">
        <f t="shared" si="592"/>
        <v>0</v>
      </c>
      <c r="P204" s="18">
        <f t="shared" si="592"/>
        <v>0</v>
      </c>
      <c r="Q204" s="18">
        <f t="shared" si="592"/>
        <v>0</v>
      </c>
      <c r="R204" s="18">
        <f t="shared" si="592"/>
        <v>0</v>
      </c>
      <c r="S204" s="18">
        <f t="shared" si="592"/>
        <v>0</v>
      </c>
      <c r="T204" s="18">
        <f t="shared" si="592"/>
        <v>0</v>
      </c>
      <c r="U204" s="18">
        <f t="shared" si="592"/>
        <v>114696971</v>
      </c>
      <c r="V204" s="18">
        <f t="shared" si="592"/>
        <v>0</v>
      </c>
      <c r="W204" s="18">
        <f t="shared" si="592"/>
        <v>0</v>
      </c>
      <c r="X204" s="18">
        <f t="shared" si="592"/>
        <v>0</v>
      </c>
      <c r="Y204" s="18">
        <f t="shared" si="592"/>
        <v>0</v>
      </c>
      <c r="Z204" s="18">
        <f t="shared" si="592"/>
        <v>0</v>
      </c>
      <c r="AA204" s="18">
        <f t="shared" si="592"/>
        <v>0</v>
      </c>
      <c r="AB204" s="18">
        <f t="shared" si="592"/>
        <v>114696971</v>
      </c>
      <c r="AC204" s="18">
        <f t="shared" si="592"/>
        <v>0</v>
      </c>
      <c r="AD204" s="18">
        <f t="shared" si="592"/>
        <v>0</v>
      </c>
      <c r="AE204" s="18">
        <f t="shared" si="592"/>
        <v>0</v>
      </c>
      <c r="AF204" s="18">
        <f t="shared" si="592"/>
        <v>0</v>
      </c>
      <c r="AG204" s="18">
        <f t="shared" si="592"/>
        <v>0</v>
      </c>
      <c r="AH204" s="18">
        <f t="shared" si="592"/>
        <v>0</v>
      </c>
      <c r="AI204" s="18">
        <f t="shared" si="592"/>
        <v>0</v>
      </c>
      <c r="AJ204" s="18">
        <f t="shared" si="592"/>
        <v>0</v>
      </c>
      <c r="AK204" s="18">
        <f t="shared" si="592"/>
        <v>0</v>
      </c>
      <c r="AL204" s="18">
        <f t="shared" si="592"/>
        <v>0</v>
      </c>
      <c r="AM204" s="18">
        <f t="shared" si="592"/>
        <v>0</v>
      </c>
      <c r="AN204" s="18">
        <f t="shared" si="592"/>
        <v>0</v>
      </c>
      <c r="AO204" s="18">
        <f t="shared" si="592"/>
        <v>0</v>
      </c>
      <c r="AP204" s="18"/>
      <c r="AQ204" s="18">
        <f t="shared" si="592"/>
        <v>0</v>
      </c>
      <c r="AR204" s="18">
        <f t="shared" si="592"/>
        <v>0</v>
      </c>
      <c r="AS204" s="18">
        <f t="shared" si="592"/>
        <v>0</v>
      </c>
      <c r="AT204" s="18"/>
      <c r="AU204" s="18"/>
      <c r="AV204" s="18">
        <f>SUM(AV205:AV214)</f>
        <v>0</v>
      </c>
      <c r="AW204" s="18">
        <f>SUM(AW205:AW214)</f>
        <v>0</v>
      </c>
      <c r="AX204" s="18">
        <f>SUM(AX205:AX214)</f>
        <v>0</v>
      </c>
      <c r="AY204" s="18"/>
      <c r="AZ204" s="18">
        <f t="shared" ref="AZ204:CN204" si="593">SUM(AZ205:AZ214)</f>
        <v>0</v>
      </c>
      <c r="BA204" s="18">
        <f t="shared" si="593"/>
        <v>0</v>
      </c>
      <c r="BB204" s="18">
        <f t="shared" si="593"/>
        <v>0</v>
      </c>
      <c r="BC204" s="18">
        <f t="shared" si="593"/>
        <v>0</v>
      </c>
      <c r="BD204" s="18">
        <f t="shared" si="593"/>
        <v>0</v>
      </c>
      <c r="BE204" s="18">
        <f t="shared" si="593"/>
        <v>0</v>
      </c>
      <c r="BF204" s="18">
        <f t="shared" si="593"/>
        <v>0</v>
      </c>
      <c r="BG204" s="18">
        <f t="shared" si="593"/>
        <v>0</v>
      </c>
      <c r="BH204" s="18">
        <f t="shared" si="593"/>
        <v>0</v>
      </c>
      <c r="BI204" s="18">
        <f t="shared" si="593"/>
        <v>0</v>
      </c>
      <c r="BJ204" s="18">
        <f t="shared" ref="BJ204" si="594">SUM(BJ205:BJ214)</f>
        <v>0</v>
      </c>
      <c r="BK204" s="18">
        <f t="shared" si="593"/>
        <v>0</v>
      </c>
      <c r="BL204" s="18">
        <f t="shared" si="593"/>
        <v>0</v>
      </c>
      <c r="BM204" s="18">
        <f t="shared" si="593"/>
        <v>0</v>
      </c>
      <c r="BN204" s="18">
        <f t="shared" si="593"/>
        <v>0</v>
      </c>
      <c r="BO204" s="18">
        <f t="shared" si="593"/>
        <v>0</v>
      </c>
      <c r="BP204" s="18">
        <f t="shared" si="593"/>
        <v>0</v>
      </c>
      <c r="BQ204" s="18">
        <f t="shared" si="593"/>
        <v>0</v>
      </c>
      <c r="BR204" s="18">
        <f t="shared" si="593"/>
        <v>0</v>
      </c>
      <c r="BS204" s="18">
        <f t="shared" si="593"/>
        <v>0</v>
      </c>
      <c r="BT204" s="18">
        <f t="shared" si="593"/>
        <v>0</v>
      </c>
      <c r="BU204" s="18">
        <f t="shared" si="593"/>
        <v>0</v>
      </c>
      <c r="BV204" s="18">
        <f t="shared" si="593"/>
        <v>0</v>
      </c>
      <c r="BW204" s="18">
        <f t="shared" si="593"/>
        <v>0</v>
      </c>
      <c r="BX204" s="18">
        <f t="shared" si="593"/>
        <v>0</v>
      </c>
      <c r="BY204" s="18">
        <f t="shared" si="593"/>
        <v>0</v>
      </c>
      <c r="BZ204" s="18">
        <f t="shared" si="593"/>
        <v>0</v>
      </c>
      <c r="CA204" s="18">
        <f t="shared" si="593"/>
        <v>0</v>
      </c>
      <c r="CB204" s="18">
        <f t="shared" si="593"/>
        <v>0</v>
      </c>
      <c r="CC204" s="18">
        <f t="shared" si="593"/>
        <v>0</v>
      </c>
      <c r="CD204" s="18">
        <f t="shared" si="593"/>
        <v>0</v>
      </c>
      <c r="CE204" s="18">
        <f t="shared" si="593"/>
        <v>0</v>
      </c>
      <c r="CF204" s="18">
        <f t="shared" si="593"/>
        <v>0</v>
      </c>
      <c r="CG204" s="18">
        <f t="shared" si="593"/>
        <v>0</v>
      </c>
      <c r="CH204" s="18">
        <f t="shared" si="593"/>
        <v>0</v>
      </c>
      <c r="CI204" s="18">
        <f t="shared" si="593"/>
        <v>0</v>
      </c>
      <c r="CJ204" s="18">
        <f t="shared" ref="CJ204" si="595">SUM(CJ205:CJ214)</f>
        <v>0</v>
      </c>
      <c r="CK204" s="18">
        <f t="shared" si="593"/>
        <v>0</v>
      </c>
      <c r="CL204" s="18">
        <f t="shared" si="593"/>
        <v>0</v>
      </c>
      <c r="CM204" s="18">
        <f t="shared" si="593"/>
        <v>0</v>
      </c>
      <c r="CN204" s="18">
        <f t="shared" si="593"/>
        <v>0</v>
      </c>
      <c r="CO204" s="18"/>
      <c r="CP204" s="18"/>
      <c r="CQ204" s="18"/>
      <c r="CR204" s="18"/>
      <c r="CS204" s="18">
        <f t="shared" ref="CS204:CZ204" si="596">SUM(CS205:CS214)</f>
        <v>0</v>
      </c>
      <c r="CT204" s="18"/>
      <c r="CU204" s="18"/>
      <c r="CV204" s="18"/>
      <c r="CW204" s="18">
        <f t="shared" si="596"/>
        <v>0</v>
      </c>
      <c r="CX204" s="18">
        <f t="shared" si="596"/>
        <v>0</v>
      </c>
      <c r="CY204" s="18">
        <f t="shared" si="596"/>
        <v>0</v>
      </c>
      <c r="CZ204" s="46">
        <f t="shared" si="596"/>
        <v>0</v>
      </c>
      <c r="DA204" s="57"/>
    </row>
    <row r="205" spans="1:105" ht="31.5" x14ac:dyDescent="0.25">
      <c r="A205" s="80" t="s">
        <v>1</v>
      </c>
      <c r="B205" s="34" t="s">
        <v>80</v>
      </c>
      <c r="C205" s="31" t="s">
        <v>366</v>
      </c>
      <c r="D205" s="18">
        <f t="shared" ref="D205:D214" si="597">SUM(E205+BZ205+CW205)</f>
        <v>85393527</v>
      </c>
      <c r="E205" s="19">
        <f t="shared" ref="E205:E214" si="598">SUM(F205+BA205)</f>
        <v>85393527</v>
      </c>
      <c r="F205" s="19">
        <f t="shared" ref="F205:F214" si="599">SUM(G205+H205+I205+P205+S205+T205+U205+AD205)</f>
        <v>85393527</v>
      </c>
      <c r="G205" s="19">
        <v>0</v>
      </c>
      <c r="H205" s="19">
        <v>0</v>
      </c>
      <c r="I205" s="19">
        <f t="shared" ref="I205:I214" si="600">SUM(J205:O205)</f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f t="shared" ref="P205:P214" si="601">SUM(Q205:R205)</f>
        <v>0</v>
      </c>
      <c r="Q205" s="19">
        <v>0</v>
      </c>
      <c r="R205" s="19">
        <v>0</v>
      </c>
      <c r="S205" s="19">
        <v>0</v>
      </c>
      <c r="T205" s="19">
        <v>0</v>
      </c>
      <c r="U205" s="19">
        <f t="shared" ref="U205:U214" si="602">SUM(V205:AC205)</f>
        <v>85393527</v>
      </c>
      <c r="V205" s="19">
        <v>0</v>
      </c>
      <c r="W205" s="19">
        <v>0</v>
      </c>
      <c r="X205" s="19">
        <v>0</v>
      </c>
      <c r="Y205" s="19">
        <v>0</v>
      </c>
      <c r="Z205" s="19">
        <v>0</v>
      </c>
      <c r="AA205" s="19">
        <v>0</v>
      </c>
      <c r="AB205" s="23">
        <v>85393527</v>
      </c>
      <c r="AC205" s="19">
        <v>0</v>
      </c>
      <c r="AD205" s="19">
        <f t="shared" ref="AD205:AD214" si="603">SUM(AE205:AZ205)</f>
        <v>0</v>
      </c>
      <c r="AE205" s="19">
        <v>0</v>
      </c>
      <c r="AF205" s="19">
        <v>0</v>
      </c>
      <c r="AG205" s="19">
        <v>0</v>
      </c>
      <c r="AH205" s="19">
        <v>0</v>
      </c>
      <c r="AI205" s="19">
        <v>0</v>
      </c>
      <c r="AJ205" s="19">
        <v>0</v>
      </c>
      <c r="AK205" s="19">
        <v>0</v>
      </c>
      <c r="AL205" s="19">
        <v>0</v>
      </c>
      <c r="AM205" s="19">
        <v>0</v>
      </c>
      <c r="AN205" s="19">
        <v>0</v>
      </c>
      <c r="AO205" s="19">
        <v>0</v>
      </c>
      <c r="AP205" s="19"/>
      <c r="AQ205" s="19">
        <v>0</v>
      </c>
      <c r="AR205" s="19">
        <v>0</v>
      </c>
      <c r="AS205" s="19">
        <v>0</v>
      </c>
      <c r="AT205" s="19"/>
      <c r="AU205" s="19"/>
      <c r="AV205" s="19">
        <v>0</v>
      </c>
      <c r="AW205" s="19">
        <v>0</v>
      </c>
      <c r="AX205" s="19">
        <v>0</v>
      </c>
      <c r="AY205" s="19"/>
      <c r="AZ205" s="19">
        <v>0</v>
      </c>
      <c r="BA205" s="19">
        <f t="shared" ref="BA205:BA214" si="604">SUM(BB205+BF205+BI205+BK205+BN205)</f>
        <v>0</v>
      </c>
      <c r="BB205" s="19">
        <f t="shared" ref="BB205:BB214" si="605">SUM(BC205:BE205)</f>
        <v>0</v>
      </c>
      <c r="BC205" s="19">
        <v>0</v>
      </c>
      <c r="BD205" s="19">
        <v>0</v>
      </c>
      <c r="BE205" s="19">
        <v>0</v>
      </c>
      <c r="BF205" s="19">
        <f t="shared" ref="BF205:BF214" si="606">SUM(BH205:BH205)</f>
        <v>0</v>
      </c>
      <c r="BG205" s="19">
        <v>0</v>
      </c>
      <c r="BH205" s="19">
        <v>0</v>
      </c>
      <c r="BI205" s="19">
        <v>0</v>
      </c>
      <c r="BJ205" s="19">
        <v>0</v>
      </c>
      <c r="BK205" s="19">
        <f t="shared" ref="BK205:BK214" si="607">SUM(BL205)</f>
        <v>0</v>
      </c>
      <c r="BL205" s="19">
        <v>0</v>
      </c>
      <c r="BM205" s="19">
        <v>0</v>
      </c>
      <c r="BN205" s="19">
        <f t="shared" ref="BN205:BN214" si="608">SUM(BO205:BY205)</f>
        <v>0</v>
      </c>
      <c r="BO205" s="19">
        <v>0</v>
      </c>
      <c r="BP205" s="19">
        <v>0</v>
      </c>
      <c r="BQ205" s="19">
        <v>0</v>
      </c>
      <c r="BR205" s="19">
        <v>0</v>
      </c>
      <c r="BS205" s="19">
        <v>0</v>
      </c>
      <c r="BT205" s="19">
        <v>0</v>
      </c>
      <c r="BU205" s="19">
        <v>0</v>
      </c>
      <c r="BV205" s="19">
        <v>0</v>
      </c>
      <c r="BW205" s="19">
        <v>0</v>
      </c>
      <c r="BX205" s="19">
        <v>0</v>
      </c>
      <c r="BY205" s="19">
        <v>0</v>
      </c>
      <c r="BZ205" s="19">
        <f t="shared" ref="BZ205:BZ214" si="609">SUM(CA205+CS205)</f>
        <v>0</v>
      </c>
      <c r="CA205" s="19">
        <f t="shared" ref="CA205:CA214" si="610">SUM(CB205+CE205+CK205)</f>
        <v>0</v>
      </c>
      <c r="CB205" s="19">
        <f t="shared" ref="CB205:CB214" si="611">SUM(CC205:CD205)</f>
        <v>0</v>
      </c>
      <c r="CC205" s="19">
        <v>0</v>
      </c>
      <c r="CD205" s="19">
        <v>0</v>
      </c>
      <c r="CE205" s="19">
        <f t="shared" ref="CE205:CE214" si="612">SUM(CF205:CJ205)</f>
        <v>0</v>
      </c>
      <c r="CF205" s="19">
        <v>0</v>
      </c>
      <c r="CG205" s="19">
        <v>0</v>
      </c>
      <c r="CH205" s="19">
        <v>0</v>
      </c>
      <c r="CI205" s="19">
        <v>0</v>
      </c>
      <c r="CJ205" s="19">
        <v>0</v>
      </c>
      <c r="CK205" s="19">
        <f t="shared" ref="CK205:CK214" si="613">SUM(CL205:CP205)</f>
        <v>0</v>
      </c>
      <c r="CL205" s="19">
        <v>0</v>
      </c>
      <c r="CM205" s="19">
        <v>0</v>
      </c>
      <c r="CN205" s="19">
        <v>0</v>
      </c>
      <c r="CO205" s="19"/>
      <c r="CP205" s="19"/>
      <c r="CQ205" s="19"/>
      <c r="CR205" s="19"/>
      <c r="CS205" s="19">
        <v>0</v>
      </c>
      <c r="CT205" s="19"/>
      <c r="CU205" s="19"/>
      <c r="CV205" s="19"/>
      <c r="CW205" s="19">
        <f t="shared" ref="CW205:CW214" si="614">SUM(CX205)</f>
        <v>0</v>
      </c>
      <c r="CX205" s="19">
        <f t="shared" ref="CX205:CX214" si="615">SUM(CY205:CZ205)</f>
        <v>0</v>
      </c>
      <c r="CY205" s="19">
        <v>0</v>
      </c>
      <c r="CZ205" s="20">
        <v>0</v>
      </c>
    </row>
    <row r="206" spans="1:105" ht="15.75" x14ac:dyDescent="0.25">
      <c r="A206" s="80" t="s">
        <v>1</v>
      </c>
      <c r="B206" s="34" t="s">
        <v>300</v>
      </c>
      <c r="C206" s="31" t="s">
        <v>367</v>
      </c>
      <c r="D206" s="18">
        <f t="shared" si="597"/>
        <v>16019050</v>
      </c>
      <c r="E206" s="19">
        <f t="shared" si="598"/>
        <v>16019050</v>
      </c>
      <c r="F206" s="19">
        <f t="shared" si="599"/>
        <v>16019050</v>
      </c>
      <c r="G206" s="19">
        <v>0</v>
      </c>
      <c r="H206" s="19">
        <v>0</v>
      </c>
      <c r="I206" s="19">
        <f t="shared" si="600"/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f t="shared" si="601"/>
        <v>0</v>
      </c>
      <c r="Q206" s="19">
        <v>0</v>
      </c>
      <c r="R206" s="19">
        <v>0</v>
      </c>
      <c r="S206" s="19">
        <v>0</v>
      </c>
      <c r="T206" s="19">
        <v>0</v>
      </c>
      <c r="U206" s="19">
        <f t="shared" si="602"/>
        <v>16019050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0</v>
      </c>
      <c r="AB206" s="23">
        <v>16019050</v>
      </c>
      <c r="AC206" s="19">
        <v>0</v>
      </c>
      <c r="AD206" s="19">
        <f t="shared" si="603"/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/>
      <c r="AQ206" s="19">
        <v>0</v>
      </c>
      <c r="AR206" s="19">
        <v>0</v>
      </c>
      <c r="AS206" s="19">
        <v>0</v>
      </c>
      <c r="AT206" s="19"/>
      <c r="AU206" s="19"/>
      <c r="AV206" s="19">
        <v>0</v>
      </c>
      <c r="AW206" s="19">
        <v>0</v>
      </c>
      <c r="AX206" s="19">
        <v>0</v>
      </c>
      <c r="AY206" s="19"/>
      <c r="AZ206" s="19">
        <v>0</v>
      </c>
      <c r="BA206" s="19">
        <f t="shared" si="604"/>
        <v>0</v>
      </c>
      <c r="BB206" s="19">
        <f t="shared" si="605"/>
        <v>0</v>
      </c>
      <c r="BC206" s="19">
        <v>0</v>
      </c>
      <c r="BD206" s="19">
        <v>0</v>
      </c>
      <c r="BE206" s="19">
        <v>0</v>
      </c>
      <c r="BF206" s="19">
        <f t="shared" si="606"/>
        <v>0</v>
      </c>
      <c r="BG206" s="19">
        <v>0</v>
      </c>
      <c r="BH206" s="19">
        <v>0</v>
      </c>
      <c r="BI206" s="19">
        <v>0</v>
      </c>
      <c r="BJ206" s="19">
        <v>0</v>
      </c>
      <c r="BK206" s="19">
        <f t="shared" si="607"/>
        <v>0</v>
      </c>
      <c r="BL206" s="19">
        <v>0</v>
      </c>
      <c r="BM206" s="19">
        <v>0</v>
      </c>
      <c r="BN206" s="19">
        <f t="shared" si="608"/>
        <v>0</v>
      </c>
      <c r="BO206" s="19">
        <v>0</v>
      </c>
      <c r="BP206" s="19">
        <v>0</v>
      </c>
      <c r="BQ206" s="19">
        <v>0</v>
      </c>
      <c r="BR206" s="19">
        <v>0</v>
      </c>
      <c r="BS206" s="19">
        <v>0</v>
      </c>
      <c r="BT206" s="19">
        <v>0</v>
      </c>
      <c r="BU206" s="19">
        <v>0</v>
      </c>
      <c r="BV206" s="19">
        <v>0</v>
      </c>
      <c r="BW206" s="19">
        <v>0</v>
      </c>
      <c r="BX206" s="19">
        <v>0</v>
      </c>
      <c r="BY206" s="19">
        <v>0</v>
      </c>
      <c r="BZ206" s="19">
        <f t="shared" si="609"/>
        <v>0</v>
      </c>
      <c r="CA206" s="19">
        <f t="shared" si="610"/>
        <v>0</v>
      </c>
      <c r="CB206" s="19">
        <f t="shared" si="611"/>
        <v>0</v>
      </c>
      <c r="CC206" s="19">
        <v>0</v>
      </c>
      <c r="CD206" s="19">
        <v>0</v>
      </c>
      <c r="CE206" s="19">
        <f t="shared" si="612"/>
        <v>0</v>
      </c>
      <c r="CF206" s="19">
        <v>0</v>
      </c>
      <c r="CG206" s="19">
        <v>0</v>
      </c>
      <c r="CH206" s="19">
        <v>0</v>
      </c>
      <c r="CI206" s="19">
        <v>0</v>
      </c>
      <c r="CJ206" s="19">
        <v>0</v>
      </c>
      <c r="CK206" s="19">
        <f t="shared" si="613"/>
        <v>0</v>
      </c>
      <c r="CL206" s="19">
        <v>0</v>
      </c>
      <c r="CM206" s="19">
        <v>0</v>
      </c>
      <c r="CN206" s="19">
        <v>0</v>
      </c>
      <c r="CO206" s="19"/>
      <c r="CP206" s="19"/>
      <c r="CQ206" s="19"/>
      <c r="CR206" s="19"/>
      <c r="CS206" s="19">
        <v>0</v>
      </c>
      <c r="CT206" s="19"/>
      <c r="CU206" s="19"/>
      <c r="CV206" s="19"/>
      <c r="CW206" s="19">
        <f t="shared" si="614"/>
        <v>0</v>
      </c>
      <c r="CX206" s="19">
        <f t="shared" si="615"/>
        <v>0</v>
      </c>
      <c r="CY206" s="19">
        <v>0</v>
      </c>
      <c r="CZ206" s="20">
        <v>0</v>
      </c>
    </row>
    <row r="207" spans="1:105" ht="31.5" x14ac:dyDescent="0.25">
      <c r="A207" s="80" t="s">
        <v>1</v>
      </c>
      <c r="B207" s="34" t="s">
        <v>300</v>
      </c>
      <c r="C207" s="31" t="s">
        <v>368</v>
      </c>
      <c r="D207" s="18">
        <f t="shared" si="597"/>
        <v>346076</v>
      </c>
      <c r="E207" s="19">
        <f t="shared" si="598"/>
        <v>346076</v>
      </c>
      <c r="F207" s="19">
        <f t="shared" si="599"/>
        <v>346076</v>
      </c>
      <c r="G207" s="19">
        <v>0</v>
      </c>
      <c r="H207" s="19">
        <v>0</v>
      </c>
      <c r="I207" s="19">
        <f t="shared" si="600"/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f t="shared" si="601"/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f t="shared" si="602"/>
        <v>346076</v>
      </c>
      <c r="V207" s="19">
        <v>0</v>
      </c>
      <c r="W207" s="19">
        <v>0</v>
      </c>
      <c r="X207" s="19">
        <v>0</v>
      </c>
      <c r="Y207" s="19">
        <v>0</v>
      </c>
      <c r="Z207" s="19">
        <v>0</v>
      </c>
      <c r="AA207" s="19">
        <v>0</v>
      </c>
      <c r="AB207" s="23">
        <v>346076</v>
      </c>
      <c r="AC207" s="19">
        <v>0</v>
      </c>
      <c r="AD207" s="19">
        <f t="shared" si="603"/>
        <v>0</v>
      </c>
      <c r="AE207" s="19">
        <v>0</v>
      </c>
      <c r="AF207" s="19">
        <v>0</v>
      </c>
      <c r="AG207" s="19">
        <v>0</v>
      </c>
      <c r="AH207" s="19">
        <v>0</v>
      </c>
      <c r="AI207" s="19">
        <v>0</v>
      </c>
      <c r="AJ207" s="19">
        <v>0</v>
      </c>
      <c r="AK207" s="19">
        <v>0</v>
      </c>
      <c r="AL207" s="19">
        <v>0</v>
      </c>
      <c r="AM207" s="19">
        <v>0</v>
      </c>
      <c r="AN207" s="19">
        <v>0</v>
      </c>
      <c r="AO207" s="19">
        <v>0</v>
      </c>
      <c r="AP207" s="19"/>
      <c r="AQ207" s="19">
        <v>0</v>
      </c>
      <c r="AR207" s="19">
        <v>0</v>
      </c>
      <c r="AS207" s="19">
        <v>0</v>
      </c>
      <c r="AT207" s="19"/>
      <c r="AU207" s="19"/>
      <c r="AV207" s="19">
        <v>0</v>
      </c>
      <c r="AW207" s="19">
        <v>0</v>
      </c>
      <c r="AX207" s="19">
        <v>0</v>
      </c>
      <c r="AY207" s="19"/>
      <c r="AZ207" s="19">
        <v>0</v>
      </c>
      <c r="BA207" s="19">
        <f t="shared" si="604"/>
        <v>0</v>
      </c>
      <c r="BB207" s="19">
        <f t="shared" si="605"/>
        <v>0</v>
      </c>
      <c r="BC207" s="19">
        <v>0</v>
      </c>
      <c r="BD207" s="19">
        <v>0</v>
      </c>
      <c r="BE207" s="19">
        <v>0</v>
      </c>
      <c r="BF207" s="19">
        <f t="shared" si="606"/>
        <v>0</v>
      </c>
      <c r="BG207" s="19">
        <v>0</v>
      </c>
      <c r="BH207" s="19">
        <v>0</v>
      </c>
      <c r="BI207" s="19">
        <v>0</v>
      </c>
      <c r="BJ207" s="19">
        <v>0</v>
      </c>
      <c r="BK207" s="19">
        <f t="shared" si="607"/>
        <v>0</v>
      </c>
      <c r="BL207" s="19">
        <v>0</v>
      </c>
      <c r="BM207" s="19">
        <v>0</v>
      </c>
      <c r="BN207" s="19">
        <f t="shared" si="608"/>
        <v>0</v>
      </c>
      <c r="BO207" s="19">
        <v>0</v>
      </c>
      <c r="BP207" s="19">
        <v>0</v>
      </c>
      <c r="BQ207" s="19">
        <v>0</v>
      </c>
      <c r="BR207" s="19">
        <v>0</v>
      </c>
      <c r="BS207" s="19">
        <v>0</v>
      </c>
      <c r="BT207" s="19">
        <v>0</v>
      </c>
      <c r="BU207" s="19">
        <v>0</v>
      </c>
      <c r="BV207" s="19">
        <v>0</v>
      </c>
      <c r="BW207" s="19">
        <v>0</v>
      </c>
      <c r="BX207" s="19">
        <v>0</v>
      </c>
      <c r="BY207" s="19">
        <v>0</v>
      </c>
      <c r="BZ207" s="19">
        <f t="shared" si="609"/>
        <v>0</v>
      </c>
      <c r="CA207" s="19">
        <f t="shared" si="610"/>
        <v>0</v>
      </c>
      <c r="CB207" s="19">
        <f t="shared" si="611"/>
        <v>0</v>
      </c>
      <c r="CC207" s="19">
        <v>0</v>
      </c>
      <c r="CD207" s="19">
        <v>0</v>
      </c>
      <c r="CE207" s="19">
        <f t="shared" si="612"/>
        <v>0</v>
      </c>
      <c r="CF207" s="19">
        <v>0</v>
      </c>
      <c r="CG207" s="19">
        <v>0</v>
      </c>
      <c r="CH207" s="19">
        <v>0</v>
      </c>
      <c r="CI207" s="19">
        <v>0</v>
      </c>
      <c r="CJ207" s="19">
        <v>0</v>
      </c>
      <c r="CK207" s="19">
        <f t="shared" si="613"/>
        <v>0</v>
      </c>
      <c r="CL207" s="19">
        <v>0</v>
      </c>
      <c r="CM207" s="19">
        <v>0</v>
      </c>
      <c r="CN207" s="19">
        <v>0</v>
      </c>
      <c r="CO207" s="19"/>
      <c r="CP207" s="19"/>
      <c r="CQ207" s="19"/>
      <c r="CR207" s="19"/>
      <c r="CS207" s="19">
        <v>0</v>
      </c>
      <c r="CT207" s="19"/>
      <c r="CU207" s="19"/>
      <c r="CV207" s="19"/>
      <c r="CW207" s="19">
        <f t="shared" si="614"/>
        <v>0</v>
      </c>
      <c r="CX207" s="19">
        <f t="shared" si="615"/>
        <v>0</v>
      </c>
      <c r="CY207" s="19">
        <v>0</v>
      </c>
      <c r="CZ207" s="20">
        <v>0</v>
      </c>
    </row>
    <row r="208" spans="1:105" ht="31.5" x14ac:dyDescent="0.25">
      <c r="A208" s="80" t="s">
        <v>1</v>
      </c>
      <c r="B208" s="34" t="s">
        <v>300</v>
      </c>
      <c r="C208" s="31" t="s">
        <v>369</v>
      </c>
      <c r="D208" s="18">
        <f t="shared" si="597"/>
        <v>200512</v>
      </c>
      <c r="E208" s="19">
        <f t="shared" si="598"/>
        <v>200512</v>
      </c>
      <c r="F208" s="19">
        <f t="shared" si="599"/>
        <v>200512</v>
      </c>
      <c r="G208" s="19">
        <v>0</v>
      </c>
      <c r="H208" s="19">
        <v>0</v>
      </c>
      <c r="I208" s="19">
        <f t="shared" si="600"/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f t="shared" si="601"/>
        <v>0</v>
      </c>
      <c r="Q208" s="19">
        <v>0</v>
      </c>
      <c r="R208" s="19">
        <v>0</v>
      </c>
      <c r="S208" s="19">
        <v>0</v>
      </c>
      <c r="T208" s="19">
        <v>0</v>
      </c>
      <c r="U208" s="19">
        <f t="shared" si="602"/>
        <v>200512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0</v>
      </c>
      <c r="AB208" s="23">
        <v>200512</v>
      </c>
      <c r="AC208" s="19">
        <v>0</v>
      </c>
      <c r="AD208" s="19">
        <f t="shared" si="603"/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/>
      <c r="AQ208" s="19">
        <v>0</v>
      </c>
      <c r="AR208" s="19">
        <v>0</v>
      </c>
      <c r="AS208" s="19">
        <v>0</v>
      </c>
      <c r="AT208" s="19"/>
      <c r="AU208" s="19"/>
      <c r="AV208" s="19">
        <v>0</v>
      </c>
      <c r="AW208" s="19">
        <v>0</v>
      </c>
      <c r="AX208" s="19">
        <v>0</v>
      </c>
      <c r="AY208" s="19"/>
      <c r="AZ208" s="19">
        <v>0</v>
      </c>
      <c r="BA208" s="19">
        <f t="shared" si="604"/>
        <v>0</v>
      </c>
      <c r="BB208" s="19">
        <f t="shared" si="605"/>
        <v>0</v>
      </c>
      <c r="BC208" s="19">
        <v>0</v>
      </c>
      <c r="BD208" s="19">
        <v>0</v>
      </c>
      <c r="BE208" s="19">
        <v>0</v>
      </c>
      <c r="BF208" s="19">
        <f t="shared" si="606"/>
        <v>0</v>
      </c>
      <c r="BG208" s="19">
        <v>0</v>
      </c>
      <c r="BH208" s="19">
        <v>0</v>
      </c>
      <c r="BI208" s="19">
        <v>0</v>
      </c>
      <c r="BJ208" s="19">
        <v>0</v>
      </c>
      <c r="BK208" s="19">
        <f t="shared" si="607"/>
        <v>0</v>
      </c>
      <c r="BL208" s="19">
        <v>0</v>
      </c>
      <c r="BM208" s="19">
        <v>0</v>
      </c>
      <c r="BN208" s="19">
        <f t="shared" si="608"/>
        <v>0</v>
      </c>
      <c r="BO208" s="19">
        <v>0</v>
      </c>
      <c r="BP208" s="19">
        <v>0</v>
      </c>
      <c r="BQ208" s="19">
        <v>0</v>
      </c>
      <c r="BR208" s="19">
        <v>0</v>
      </c>
      <c r="BS208" s="19">
        <v>0</v>
      </c>
      <c r="BT208" s="19">
        <v>0</v>
      </c>
      <c r="BU208" s="19">
        <v>0</v>
      </c>
      <c r="BV208" s="19">
        <v>0</v>
      </c>
      <c r="BW208" s="19">
        <v>0</v>
      </c>
      <c r="BX208" s="19">
        <v>0</v>
      </c>
      <c r="BY208" s="19">
        <v>0</v>
      </c>
      <c r="BZ208" s="19">
        <f t="shared" si="609"/>
        <v>0</v>
      </c>
      <c r="CA208" s="19">
        <f t="shared" si="610"/>
        <v>0</v>
      </c>
      <c r="CB208" s="19">
        <f t="shared" si="611"/>
        <v>0</v>
      </c>
      <c r="CC208" s="19">
        <v>0</v>
      </c>
      <c r="CD208" s="19">
        <v>0</v>
      </c>
      <c r="CE208" s="19">
        <f t="shared" si="612"/>
        <v>0</v>
      </c>
      <c r="CF208" s="19">
        <v>0</v>
      </c>
      <c r="CG208" s="19">
        <v>0</v>
      </c>
      <c r="CH208" s="19">
        <v>0</v>
      </c>
      <c r="CI208" s="19">
        <v>0</v>
      </c>
      <c r="CJ208" s="19">
        <v>0</v>
      </c>
      <c r="CK208" s="19">
        <f t="shared" si="613"/>
        <v>0</v>
      </c>
      <c r="CL208" s="19">
        <v>0</v>
      </c>
      <c r="CM208" s="19">
        <v>0</v>
      </c>
      <c r="CN208" s="19">
        <v>0</v>
      </c>
      <c r="CO208" s="19"/>
      <c r="CP208" s="19"/>
      <c r="CQ208" s="19"/>
      <c r="CR208" s="19"/>
      <c r="CS208" s="19">
        <v>0</v>
      </c>
      <c r="CT208" s="19"/>
      <c r="CU208" s="19"/>
      <c r="CV208" s="19"/>
      <c r="CW208" s="19">
        <f t="shared" si="614"/>
        <v>0</v>
      </c>
      <c r="CX208" s="19">
        <f t="shared" si="615"/>
        <v>0</v>
      </c>
      <c r="CY208" s="19">
        <v>0</v>
      </c>
      <c r="CZ208" s="20">
        <v>0</v>
      </c>
    </row>
    <row r="209" spans="1:105" ht="31.5" x14ac:dyDescent="0.25">
      <c r="A209" s="80" t="s">
        <v>1</v>
      </c>
      <c r="B209" s="34" t="s">
        <v>300</v>
      </c>
      <c r="C209" s="31" t="s">
        <v>370</v>
      </c>
      <c r="D209" s="18">
        <f t="shared" si="597"/>
        <v>525318</v>
      </c>
      <c r="E209" s="19">
        <f t="shared" si="598"/>
        <v>525318</v>
      </c>
      <c r="F209" s="19">
        <f t="shared" si="599"/>
        <v>525318</v>
      </c>
      <c r="G209" s="19">
        <v>0</v>
      </c>
      <c r="H209" s="19">
        <v>0</v>
      </c>
      <c r="I209" s="19">
        <f t="shared" si="600"/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f t="shared" si="601"/>
        <v>0</v>
      </c>
      <c r="Q209" s="19">
        <v>0</v>
      </c>
      <c r="R209" s="19">
        <v>0</v>
      </c>
      <c r="S209" s="19">
        <v>0</v>
      </c>
      <c r="T209" s="19">
        <v>0</v>
      </c>
      <c r="U209" s="19">
        <f t="shared" si="602"/>
        <v>525318</v>
      </c>
      <c r="V209" s="19">
        <v>0</v>
      </c>
      <c r="W209" s="19">
        <v>0</v>
      </c>
      <c r="X209" s="19">
        <v>0</v>
      </c>
      <c r="Y209" s="19">
        <v>0</v>
      </c>
      <c r="Z209" s="19">
        <v>0</v>
      </c>
      <c r="AA209" s="19">
        <v>0</v>
      </c>
      <c r="AB209" s="23">
        <v>525318</v>
      </c>
      <c r="AC209" s="19">
        <v>0</v>
      </c>
      <c r="AD209" s="19">
        <f t="shared" si="603"/>
        <v>0</v>
      </c>
      <c r="AE209" s="19">
        <v>0</v>
      </c>
      <c r="AF209" s="19">
        <v>0</v>
      </c>
      <c r="AG209" s="19">
        <v>0</v>
      </c>
      <c r="AH209" s="19">
        <v>0</v>
      </c>
      <c r="AI209" s="19">
        <v>0</v>
      </c>
      <c r="AJ209" s="19">
        <v>0</v>
      </c>
      <c r="AK209" s="19">
        <v>0</v>
      </c>
      <c r="AL209" s="19">
        <v>0</v>
      </c>
      <c r="AM209" s="19">
        <v>0</v>
      </c>
      <c r="AN209" s="19">
        <v>0</v>
      </c>
      <c r="AO209" s="19">
        <v>0</v>
      </c>
      <c r="AP209" s="19"/>
      <c r="AQ209" s="19">
        <v>0</v>
      </c>
      <c r="AR209" s="19">
        <v>0</v>
      </c>
      <c r="AS209" s="19">
        <v>0</v>
      </c>
      <c r="AT209" s="19"/>
      <c r="AU209" s="19"/>
      <c r="AV209" s="19">
        <v>0</v>
      </c>
      <c r="AW209" s="19">
        <v>0</v>
      </c>
      <c r="AX209" s="19">
        <v>0</v>
      </c>
      <c r="AY209" s="19"/>
      <c r="AZ209" s="19">
        <v>0</v>
      </c>
      <c r="BA209" s="19">
        <f t="shared" si="604"/>
        <v>0</v>
      </c>
      <c r="BB209" s="19">
        <f t="shared" si="605"/>
        <v>0</v>
      </c>
      <c r="BC209" s="19">
        <v>0</v>
      </c>
      <c r="BD209" s="19">
        <v>0</v>
      </c>
      <c r="BE209" s="19">
        <v>0</v>
      </c>
      <c r="BF209" s="19">
        <f t="shared" si="606"/>
        <v>0</v>
      </c>
      <c r="BG209" s="19">
        <v>0</v>
      </c>
      <c r="BH209" s="19">
        <v>0</v>
      </c>
      <c r="BI209" s="19">
        <v>0</v>
      </c>
      <c r="BJ209" s="19">
        <v>0</v>
      </c>
      <c r="BK209" s="19">
        <f t="shared" si="607"/>
        <v>0</v>
      </c>
      <c r="BL209" s="19">
        <v>0</v>
      </c>
      <c r="BM209" s="19">
        <v>0</v>
      </c>
      <c r="BN209" s="19">
        <f t="shared" si="608"/>
        <v>0</v>
      </c>
      <c r="BO209" s="19">
        <v>0</v>
      </c>
      <c r="BP209" s="19">
        <v>0</v>
      </c>
      <c r="BQ209" s="19">
        <v>0</v>
      </c>
      <c r="BR209" s="19">
        <v>0</v>
      </c>
      <c r="BS209" s="19">
        <v>0</v>
      </c>
      <c r="BT209" s="19">
        <v>0</v>
      </c>
      <c r="BU209" s="19">
        <v>0</v>
      </c>
      <c r="BV209" s="19">
        <v>0</v>
      </c>
      <c r="BW209" s="19">
        <v>0</v>
      </c>
      <c r="BX209" s="19">
        <v>0</v>
      </c>
      <c r="BY209" s="19">
        <v>0</v>
      </c>
      <c r="BZ209" s="19">
        <f t="shared" si="609"/>
        <v>0</v>
      </c>
      <c r="CA209" s="19">
        <f t="shared" si="610"/>
        <v>0</v>
      </c>
      <c r="CB209" s="19">
        <f t="shared" si="611"/>
        <v>0</v>
      </c>
      <c r="CC209" s="19">
        <v>0</v>
      </c>
      <c r="CD209" s="19">
        <v>0</v>
      </c>
      <c r="CE209" s="19">
        <f t="shared" si="612"/>
        <v>0</v>
      </c>
      <c r="CF209" s="19">
        <v>0</v>
      </c>
      <c r="CG209" s="19">
        <v>0</v>
      </c>
      <c r="CH209" s="19">
        <v>0</v>
      </c>
      <c r="CI209" s="19">
        <v>0</v>
      </c>
      <c r="CJ209" s="19">
        <v>0</v>
      </c>
      <c r="CK209" s="19">
        <f t="shared" si="613"/>
        <v>0</v>
      </c>
      <c r="CL209" s="19">
        <v>0</v>
      </c>
      <c r="CM209" s="19">
        <v>0</v>
      </c>
      <c r="CN209" s="19">
        <v>0</v>
      </c>
      <c r="CO209" s="19"/>
      <c r="CP209" s="19"/>
      <c r="CQ209" s="19"/>
      <c r="CR209" s="19"/>
      <c r="CS209" s="19">
        <v>0</v>
      </c>
      <c r="CT209" s="19"/>
      <c r="CU209" s="19"/>
      <c r="CV209" s="19"/>
      <c r="CW209" s="19">
        <f t="shared" si="614"/>
        <v>0</v>
      </c>
      <c r="CX209" s="19">
        <f t="shared" si="615"/>
        <v>0</v>
      </c>
      <c r="CY209" s="19">
        <v>0</v>
      </c>
      <c r="CZ209" s="20">
        <v>0</v>
      </c>
    </row>
    <row r="210" spans="1:105" ht="19.5" customHeight="1" x14ac:dyDescent="0.25">
      <c r="A210" s="80" t="s">
        <v>1</v>
      </c>
      <c r="B210" s="34" t="s">
        <v>300</v>
      </c>
      <c r="C210" s="31" t="s">
        <v>371</v>
      </c>
      <c r="D210" s="18">
        <f t="shared" si="597"/>
        <v>123675</v>
      </c>
      <c r="E210" s="19">
        <f t="shared" si="598"/>
        <v>123675</v>
      </c>
      <c r="F210" s="19">
        <f t="shared" si="599"/>
        <v>123675</v>
      </c>
      <c r="G210" s="19">
        <v>0</v>
      </c>
      <c r="H210" s="19">
        <v>0</v>
      </c>
      <c r="I210" s="19">
        <f t="shared" si="600"/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f t="shared" si="601"/>
        <v>0</v>
      </c>
      <c r="Q210" s="19">
        <v>0</v>
      </c>
      <c r="R210" s="19">
        <v>0</v>
      </c>
      <c r="S210" s="19">
        <v>0</v>
      </c>
      <c r="T210" s="19">
        <v>0</v>
      </c>
      <c r="U210" s="19">
        <f t="shared" si="602"/>
        <v>123675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0</v>
      </c>
      <c r="AB210" s="23">
        <v>123675</v>
      </c>
      <c r="AC210" s="19">
        <v>0</v>
      </c>
      <c r="AD210" s="19">
        <f t="shared" si="603"/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/>
      <c r="AQ210" s="19">
        <v>0</v>
      </c>
      <c r="AR210" s="19">
        <v>0</v>
      </c>
      <c r="AS210" s="19">
        <v>0</v>
      </c>
      <c r="AT210" s="19"/>
      <c r="AU210" s="19"/>
      <c r="AV210" s="19">
        <v>0</v>
      </c>
      <c r="AW210" s="19">
        <v>0</v>
      </c>
      <c r="AX210" s="19">
        <v>0</v>
      </c>
      <c r="AY210" s="19"/>
      <c r="AZ210" s="19">
        <v>0</v>
      </c>
      <c r="BA210" s="19">
        <f t="shared" si="604"/>
        <v>0</v>
      </c>
      <c r="BB210" s="19">
        <f t="shared" si="605"/>
        <v>0</v>
      </c>
      <c r="BC210" s="19">
        <v>0</v>
      </c>
      <c r="BD210" s="19">
        <v>0</v>
      </c>
      <c r="BE210" s="19">
        <v>0</v>
      </c>
      <c r="BF210" s="19">
        <f t="shared" si="606"/>
        <v>0</v>
      </c>
      <c r="BG210" s="19">
        <v>0</v>
      </c>
      <c r="BH210" s="19">
        <v>0</v>
      </c>
      <c r="BI210" s="19">
        <v>0</v>
      </c>
      <c r="BJ210" s="19">
        <v>0</v>
      </c>
      <c r="BK210" s="19">
        <f t="shared" si="607"/>
        <v>0</v>
      </c>
      <c r="BL210" s="19">
        <v>0</v>
      </c>
      <c r="BM210" s="19">
        <v>0</v>
      </c>
      <c r="BN210" s="19">
        <f t="shared" si="608"/>
        <v>0</v>
      </c>
      <c r="BO210" s="19">
        <v>0</v>
      </c>
      <c r="BP210" s="19">
        <v>0</v>
      </c>
      <c r="BQ210" s="19">
        <v>0</v>
      </c>
      <c r="BR210" s="19">
        <v>0</v>
      </c>
      <c r="BS210" s="19">
        <v>0</v>
      </c>
      <c r="BT210" s="19">
        <v>0</v>
      </c>
      <c r="BU210" s="19">
        <v>0</v>
      </c>
      <c r="BV210" s="19">
        <v>0</v>
      </c>
      <c r="BW210" s="19">
        <v>0</v>
      </c>
      <c r="BX210" s="19">
        <v>0</v>
      </c>
      <c r="BY210" s="19">
        <v>0</v>
      </c>
      <c r="BZ210" s="19">
        <f t="shared" si="609"/>
        <v>0</v>
      </c>
      <c r="CA210" s="19">
        <f t="shared" si="610"/>
        <v>0</v>
      </c>
      <c r="CB210" s="19">
        <f t="shared" si="611"/>
        <v>0</v>
      </c>
      <c r="CC210" s="19">
        <v>0</v>
      </c>
      <c r="CD210" s="19">
        <v>0</v>
      </c>
      <c r="CE210" s="19">
        <f t="shared" si="612"/>
        <v>0</v>
      </c>
      <c r="CF210" s="19">
        <v>0</v>
      </c>
      <c r="CG210" s="19">
        <v>0</v>
      </c>
      <c r="CH210" s="19">
        <v>0</v>
      </c>
      <c r="CI210" s="19">
        <v>0</v>
      </c>
      <c r="CJ210" s="19">
        <v>0</v>
      </c>
      <c r="CK210" s="19">
        <f t="shared" si="613"/>
        <v>0</v>
      </c>
      <c r="CL210" s="19">
        <v>0</v>
      </c>
      <c r="CM210" s="19">
        <v>0</v>
      </c>
      <c r="CN210" s="19">
        <v>0</v>
      </c>
      <c r="CO210" s="19"/>
      <c r="CP210" s="19"/>
      <c r="CQ210" s="19"/>
      <c r="CR210" s="19"/>
      <c r="CS210" s="19">
        <v>0</v>
      </c>
      <c r="CT210" s="19"/>
      <c r="CU210" s="19"/>
      <c r="CV210" s="19"/>
      <c r="CW210" s="19">
        <f t="shared" si="614"/>
        <v>0</v>
      </c>
      <c r="CX210" s="19">
        <f t="shared" si="615"/>
        <v>0</v>
      </c>
      <c r="CY210" s="19">
        <v>0</v>
      </c>
      <c r="CZ210" s="20">
        <v>0</v>
      </c>
    </row>
    <row r="211" spans="1:105" ht="31.5" x14ac:dyDescent="0.25">
      <c r="A211" s="80" t="s">
        <v>1</v>
      </c>
      <c r="B211" s="34" t="s">
        <v>300</v>
      </c>
      <c r="C211" s="31" t="s">
        <v>372</v>
      </c>
      <c r="D211" s="18">
        <f t="shared" si="597"/>
        <v>1053650</v>
      </c>
      <c r="E211" s="19">
        <f t="shared" si="598"/>
        <v>1053650</v>
      </c>
      <c r="F211" s="19">
        <f t="shared" si="599"/>
        <v>1053650</v>
      </c>
      <c r="G211" s="19">
        <v>0</v>
      </c>
      <c r="H211" s="19">
        <v>0</v>
      </c>
      <c r="I211" s="19">
        <f t="shared" si="600"/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f t="shared" si="601"/>
        <v>0</v>
      </c>
      <c r="Q211" s="19">
        <v>0</v>
      </c>
      <c r="R211" s="19">
        <v>0</v>
      </c>
      <c r="S211" s="19">
        <v>0</v>
      </c>
      <c r="T211" s="19">
        <v>0</v>
      </c>
      <c r="U211" s="19">
        <f t="shared" si="602"/>
        <v>1053650</v>
      </c>
      <c r="V211" s="19">
        <v>0</v>
      </c>
      <c r="W211" s="19">
        <v>0</v>
      </c>
      <c r="X211" s="19">
        <v>0</v>
      </c>
      <c r="Y211" s="19">
        <v>0</v>
      </c>
      <c r="Z211" s="19">
        <v>0</v>
      </c>
      <c r="AA211" s="19">
        <v>0</v>
      </c>
      <c r="AB211" s="23">
        <v>1053650</v>
      </c>
      <c r="AC211" s="19">
        <v>0</v>
      </c>
      <c r="AD211" s="19">
        <f t="shared" si="603"/>
        <v>0</v>
      </c>
      <c r="AE211" s="19">
        <v>0</v>
      </c>
      <c r="AF211" s="19">
        <v>0</v>
      </c>
      <c r="AG211" s="19">
        <v>0</v>
      </c>
      <c r="AH211" s="19">
        <v>0</v>
      </c>
      <c r="AI211" s="19">
        <v>0</v>
      </c>
      <c r="AJ211" s="19">
        <v>0</v>
      </c>
      <c r="AK211" s="19">
        <v>0</v>
      </c>
      <c r="AL211" s="19">
        <v>0</v>
      </c>
      <c r="AM211" s="19">
        <v>0</v>
      </c>
      <c r="AN211" s="19">
        <v>0</v>
      </c>
      <c r="AO211" s="19">
        <v>0</v>
      </c>
      <c r="AP211" s="19"/>
      <c r="AQ211" s="19">
        <v>0</v>
      </c>
      <c r="AR211" s="19">
        <v>0</v>
      </c>
      <c r="AS211" s="19">
        <v>0</v>
      </c>
      <c r="AT211" s="19"/>
      <c r="AU211" s="19"/>
      <c r="AV211" s="19">
        <v>0</v>
      </c>
      <c r="AW211" s="19">
        <v>0</v>
      </c>
      <c r="AX211" s="19">
        <v>0</v>
      </c>
      <c r="AY211" s="19"/>
      <c r="AZ211" s="19">
        <v>0</v>
      </c>
      <c r="BA211" s="19">
        <f t="shared" si="604"/>
        <v>0</v>
      </c>
      <c r="BB211" s="19">
        <f t="shared" si="605"/>
        <v>0</v>
      </c>
      <c r="BC211" s="19">
        <v>0</v>
      </c>
      <c r="BD211" s="19">
        <v>0</v>
      </c>
      <c r="BE211" s="19">
        <v>0</v>
      </c>
      <c r="BF211" s="19">
        <f t="shared" si="606"/>
        <v>0</v>
      </c>
      <c r="BG211" s="19">
        <v>0</v>
      </c>
      <c r="BH211" s="19">
        <v>0</v>
      </c>
      <c r="BI211" s="19">
        <v>0</v>
      </c>
      <c r="BJ211" s="19">
        <v>0</v>
      </c>
      <c r="BK211" s="19">
        <f t="shared" si="607"/>
        <v>0</v>
      </c>
      <c r="BL211" s="19">
        <v>0</v>
      </c>
      <c r="BM211" s="19">
        <v>0</v>
      </c>
      <c r="BN211" s="19">
        <f t="shared" si="608"/>
        <v>0</v>
      </c>
      <c r="BO211" s="19">
        <v>0</v>
      </c>
      <c r="BP211" s="19">
        <v>0</v>
      </c>
      <c r="BQ211" s="19">
        <v>0</v>
      </c>
      <c r="BR211" s="19">
        <v>0</v>
      </c>
      <c r="BS211" s="19">
        <v>0</v>
      </c>
      <c r="BT211" s="19">
        <v>0</v>
      </c>
      <c r="BU211" s="19">
        <v>0</v>
      </c>
      <c r="BV211" s="19">
        <v>0</v>
      </c>
      <c r="BW211" s="19">
        <v>0</v>
      </c>
      <c r="BX211" s="19">
        <v>0</v>
      </c>
      <c r="BY211" s="19">
        <v>0</v>
      </c>
      <c r="BZ211" s="19">
        <f t="shared" si="609"/>
        <v>0</v>
      </c>
      <c r="CA211" s="19">
        <f t="shared" si="610"/>
        <v>0</v>
      </c>
      <c r="CB211" s="19">
        <f t="shared" si="611"/>
        <v>0</v>
      </c>
      <c r="CC211" s="19">
        <v>0</v>
      </c>
      <c r="CD211" s="19">
        <v>0</v>
      </c>
      <c r="CE211" s="19">
        <f t="shared" si="612"/>
        <v>0</v>
      </c>
      <c r="CF211" s="19">
        <v>0</v>
      </c>
      <c r="CG211" s="19">
        <v>0</v>
      </c>
      <c r="CH211" s="19">
        <v>0</v>
      </c>
      <c r="CI211" s="19">
        <v>0</v>
      </c>
      <c r="CJ211" s="19">
        <v>0</v>
      </c>
      <c r="CK211" s="19">
        <f t="shared" si="613"/>
        <v>0</v>
      </c>
      <c r="CL211" s="19">
        <v>0</v>
      </c>
      <c r="CM211" s="19">
        <v>0</v>
      </c>
      <c r="CN211" s="19">
        <v>0</v>
      </c>
      <c r="CO211" s="19"/>
      <c r="CP211" s="19"/>
      <c r="CQ211" s="19"/>
      <c r="CR211" s="19"/>
      <c r="CS211" s="19">
        <v>0</v>
      </c>
      <c r="CT211" s="19"/>
      <c r="CU211" s="19"/>
      <c r="CV211" s="19"/>
      <c r="CW211" s="19">
        <f t="shared" si="614"/>
        <v>0</v>
      </c>
      <c r="CX211" s="19">
        <f t="shared" si="615"/>
        <v>0</v>
      </c>
      <c r="CY211" s="19">
        <v>0</v>
      </c>
      <c r="CZ211" s="20">
        <v>0</v>
      </c>
    </row>
    <row r="212" spans="1:105" ht="31.5" x14ac:dyDescent="0.25">
      <c r="A212" s="80" t="s">
        <v>1</v>
      </c>
      <c r="B212" s="34" t="s">
        <v>300</v>
      </c>
      <c r="C212" s="31" t="s">
        <v>373</v>
      </c>
      <c r="D212" s="18">
        <f t="shared" si="597"/>
        <v>658062</v>
      </c>
      <c r="E212" s="19">
        <f t="shared" si="598"/>
        <v>658062</v>
      </c>
      <c r="F212" s="19">
        <f t="shared" si="599"/>
        <v>658062</v>
      </c>
      <c r="G212" s="19">
        <v>0</v>
      </c>
      <c r="H212" s="19">
        <v>0</v>
      </c>
      <c r="I212" s="19">
        <f t="shared" si="600"/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f t="shared" si="601"/>
        <v>0</v>
      </c>
      <c r="Q212" s="19">
        <v>0</v>
      </c>
      <c r="R212" s="19">
        <v>0</v>
      </c>
      <c r="S212" s="19">
        <v>0</v>
      </c>
      <c r="T212" s="19">
        <v>0</v>
      </c>
      <c r="U212" s="19">
        <f t="shared" si="602"/>
        <v>658062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0</v>
      </c>
      <c r="AB212" s="23">
        <v>658062</v>
      </c>
      <c r="AC212" s="19">
        <v>0</v>
      </c>
      <c r="AD212" s="19">
        <f t="shared" si="603"/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/>
      <c r="AQ212" s="19">
        <v>0</v>
      </c>
      <c r="AR212" s="19">
        <v>0</v>
      </c>
      <c r="AS212" s="19">
        <v>0</v>
      </c>
      <c r="AT212" s="19"/>
      <c r="AU212" s="19"/>
      <c r="AV212" s="19">
        <v>0</v>
      </c>
      <c r="AW212" s="19">
        <v>0</v>
      </c>
      <c r="AX212" s="19">
        <v>0</v>
      </c>
      <c r="AY212" s="19"/>
      <c r="AZ212" s="19">
        <v>0</v>
      </c>
      <c r="BA212" s="19">
        <f t="shared" si="604"/>
        <v>0</v>
      </c>
      <c r="BB212" s="19">
        <f t="shared" si="605"/>
        <v>0</v>
      </c>
      <c r="BC212" s="19">
        <v>0</v>
      </c>
      <c r="BD212" s="19">
        <v>0</v>
      </c>
      <c r="BE212" s="19">
        <v>0</v>
      </c>
      <c r="BF212" s="19">
        <f t="shared" si="606"/>
        <v>0</v>
      </c>
      <c r="BG212" s="19">
        <v>0</v>
      </c>
      <c r="BH212" s="19">
        <v>0</v>
      </c>
      <c r="BI212" s="19">
        <v>0</v>
      </c>
      <c r="BJ212" s="19">
        <v>0</v>
      </c>
      <c r="BK212" s="19">
        <f t="shared" si="607"/>
        <v>0</v>
      </c>
      <c r="BL212" s="19">
        <v>0</v>
      </c>
      <c r="BM212" s="19">
        <v>0</v>
      </c>
      <c r="BN212" s="19">
        <f t="shared" si="608"/>
        <v>0</v>
      </c>
      <c r="BO212" s="19">
        <v>0</v>
      </c>
      <c r="BP212" s="19">
        <v>0</v>
      </c>
      <c r="BQ212" s="19">
        <v>0</v>
      </c>
      <c r="BR212" s="19">
        <v>0</v>
      </c>
      <c r="BS212" s="19">
        <v>0</v>
      </c>
      <c r="BT212" s="19">
        <v>0</v>
      </c>
      <c r="BU212" s="19">
        <v>0</v>
      </c>
      <c r="BV212" s="19">
        <v>0</v>
      </c>
      <c r="BW212" s="19">
        <v>0</v>
      </c>
      <c r="BX212" s="19">
        <v>0</v>
      </c>
      <c r="BY212" s="19">
        <v>0</v>
      </c>
      <c r="BZ212" s="19">
        <f t="shared" si="609"/>
        <v>0</v>
      </c>
      <c r="CA212" s="19">
        <f t="shared" si="610"/>
        <v>0</v>
      </c>
      <c r="CB212" s="19">
        <f t="shared" si="611"/>
        <v>0</v>
      </c>
      <c r="CC212" s="19">
        <v>0</v>
      </c>
      <c r="CD212" s="19">
        <v>0</v>
      </c>
      <c r="CE212" s="19">
        <f t="shared" si="612"/>
        <v>0</v>
      </c>
      <c r="CF212" s="19">
        <v>0</v>
      </c>
      <c r="CG212" s="19">
        <v>0</v>
      </c>
      <c r="CH212" s="19">
        <v>0</v>
      </c>
      <c r="CI212" s="19">
        <v>0</v>
      </c>
      <c r="CJ212" s="19">
        <v>0</v>
      </c>
      <c r="CK212" s="19">
        <f t="shared" si="613"/>
        <v>0</v>
      </c>
      <c r="CL212" s="19">
        <v>0</v>
      </c>
      <c r="CM212" s="19">
        <v>0</v>
      </c>
      <c r="CN212" s="19">
        <v>0</v>
      </c>
      <c r="CO212" s="19"/>
      <c r="CP212" s="19"/>
      <c r="CQ212" s="19"/>
      <c r="CR212" s="19"/>
      <c r="CS212" s="19">
        <v>0</v>
      </c>
      <c r="CT212" s="19"/>
      <c r="CU212" s="19"/>
      <c r="CV212" s="19"/>
      <c r="CW212" s="19">
        <f t="shared" si="614"/>
        <v>0</v>
      </c>
      <c r="CX212" s="19">
        <f t="shared" si="615"/>
        <v>0</v>
      </c>
      <c r="CY212" s="19">
        <v>0</v>
      </c>
      <c r="CZ212" s="20">
        <v>0</v>
      </c>
    </row>
    <row r="213" spans="1:105" ht="31.5" x14ac:dyDescent="0.25">
      <c r="A213" s="80"/>
      <c r="B213" s="34" t="s">
        <v>300</v>
      </c>
      <c r="C213" s="31" t="s">
        <v>374</v>
      </c>
      <c r="D213" s="18">
        <f t="shared" si="597"/>
        <v>3685690</v>
      </c>
      <c r="E213" s="19">
        <f t="shared" si="598"/>
        <v>3685690</v>
      </c>
      <c r="F213" s="19">
        <f t="shared" si="599"/>
        <v>3685690</v>
      </c>
      <c r="G213" s="19">
        <v>0</v>
      </c>
      <c r="H213" s="19">
        <v>0</v>
      </c>
      <c r="I213" s="19">
        <f t="shared" ref="I213" si="616">SUM(J213:O213)</f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f t="shared" ref="P213" si="617">SUM(Q213:R213)</f>
        <v>0</v>
      </c>
      <c r="Q213" s="19">
        <v>0</v>
      </c>
      <c r="R213" s="19">
        <v>0</v>
      </c>
      <c r="S213" s="19">
        <v>0</v>
      </c>
      <c r="T213" s="19">
        <v>0</v>
      </c>
      <c r="U213" s="19">
        <f t="shared" ref="U213" si="618">SUM(V213:AC213)</f>
        <v>3685690</v>
      </c>
      <c r="V213" s="19">
        <v>0</v>
      </c>
      <c r="W213" s="19">
        <v>0</v>
      </c>
      <c r="X213" s="19">
        <v>0</v>
      </c>
      <c r="Y213" s="19">
        <v>0</v>
      </c>
      <c r="Z213" s="19">
        <v>0</v>
      </c>
      <c r="AA213" s="19">
        <v>0</v>
      </c>
      <c r="AB213" s="23">
        <v>3685690</v>
      </c>
      <c r="AC213" s="19">
        <v>0</v>
      </c>
      <c r="AD213" s="19">
        <f t="shared" si="603"/>
        <v>0</v>
      </c>
      <c r="AE213" s="19">
        <v>0</v>
      </c>
      <c r="AF213" s="19">
        <v>0</v>
      </c>
      <c r="AG213" s="19">
        <v>0</v>
      </c>
      <c r="AH213" s="19">
        <v>0</v>
      </c>
      <c r="AI213" s="19">
        <v>0</v>
      </c>
      <c r="AJ213" s="19">
        <v>0</v>
      </c>
      <c r="AK213" s="19">
        <v>0</v>
      </c>
      <c r="AL213" s="19">
        <v>0</v>
      </c>
      <c r="AM213" s="19">
        <v>0</v>
      </c>
      <c r="AN213" s="19">
        <v>0</v>
      </c>
      <c r="AO213" s="19">
        <v>0</v>
      </c>
      <c r="AP213" s="19"/>
      <c r="AQ213" s="19">
        <v>0</v>
      </c>
      <c r="AR213" s="19">
        <v>0</v>
      </c>
      <c r="AS213" s="19">
        <v>0</v>
      </c>
      <c r="AT213" s="19"/>
      <c r="AU213" s="19"/>
      <c r="AV213" s="19">
        <v>0</v>
      </c>
      <c r="AW213" s="19">
        <v>0</v>
      </c>
      <c r="AX213" s="19">
        <v>0</v>
      </c>
      <c r="AY213" s="19"/>
      <c r="AZ213" s="19">
        <v>0</v>
      </c>
      <c r="BA213" s="19">
        <f t="shared" si="604"/>
        <v>0</v>
      </c>
      <c r="BB213" s="19">
        <f t="shared" ref="BB213" si="619">SUM(BC213:BE213)</f>
        <v>0</v>
      </c>
      <c r="BC213" s="19">
        <v>0</v>
      </c>
      <c r="BD213" s="19">
        <v>0</v>
      </c>
      <c r="BE213" s="19">
        <v>0</v>
      </c>
      <c r="BF213" s="19">
        <f t="shared" si="606"/>
        <v>0</v>
      </c>
      <c r="BG213" s="19">
        <v>0</v>
      </c>
      <c r="BH213" s="19">
        <v>0</v>
      </c>
      <c r="BI213" s="19">
        <v>0</v>
      </c>
      <c r="BJ213" s="19">
        <v>0</v>
      </c>
      <c r="BK213" s="19">
        <f t="shared" ref="BK213" si="620">SUM(BL213)</f>
        <v>0</v>
      </c>
      <c r="BL213" s="19">
        <v>0</v>
      </c>
      <c r="BM213" s="19">
        <v>0</v>
      </c>
      <c r="BN213" s="19">
        <f t="shared" si="608"/>
        <v>0</v>
      </c>
      <c r="BO213" s="19">
        <v>0</v>
      </c>
      <c r="BP213" s="19">
        <v>0</v>
      </c>
      <c r="BQ213" s="19">
        <v>0</v>
      </c>
      <c r="BR213" s="19">
        <v>0</v>
      </c>
      <c r="BS213" s="19">
        <v>0</v>
      </c>
      <c r="BT213" s="19">
        <v>0</v>
      </c>
      <c r="BU213" s="19">
        <v>0</v>
      </c>
      <c r="BV213" s="19">
        <v>0</v>
      </c>
      <c r="BW213" s="19">
        <v>0</v>
      </c>
      <c r="BX213" s="19">
        <v>0</v>
      </c>
      <c r="BY213" s="19">
        <v>0</v>
      </c>
      <c r="BZ213" s="19">
        <f t="shared" si="609"/>
        <v>0</v>
      </c>
      <c r="CA213" s="19">
        <f t="shared" si="610"/>
        <v>0</v>
      </c>
      <c r="CB213" s="19">
        <f t="shared" ref="CB213" si="621">SUM(CC213:CD213)</f>
        <v>0</v>
      </c>
      <c r="CC213" s="19">
        <v>0</v>
      </c>
      <c r="CD213" s="19">
        <v>0</v>
      </c>
      <c r="CE213" s="19">
        <f t="shared" si="612"/>
        <v>0</v>
      </c>
      <c r="CF213" s="19">
        <v>0</v>
      </c>
      <c r="CG213" s="19">
        <v>0</v>
      </c>
      <c r="CH213" s="19">
        <v>0</v>
      </c>
      <c r="CI213" s="19">
        <v>0</v>
      </c>
      <c r="CJ213" s="19">
        <v>0</v>
      </c>
      <c r="CK213" s="19">
        <f t="shared" si="613"/>
        <v>0</v>
      </c>
      <c r="CL213" s="19">
        <v>0</v>
      </c>
      <c r="CM213" s="19">
        <v>0</v>
      </c>
      <c r="CN213" s="19">
        <v>0</v>
      </c>
      <c r="CO213" s="19"/>
      <c r="CP213" s="19"/>
      <c r="CQ213" s="19"/>
      <c r="CR213" s="19"/>
      <c r="CS213" s="19">
        <v>0</v>
      </c>
      <c r="CT213" s="19"/>
      <c r="CU213" s="19"/>
      <c r="CV213" s="19"/>
      <c r="CW213" s="19">
        <f t="shared" ref="CW213" si="622">SUM(CX213)</f>
        <v>0</v>
      </c>
      <c r="CX213" s="19">
        <f t="shared" ref="CX213" si="623">SUM(CY213:CZ213)</f>
        <v>0</v>
      </c>
      <c r="CY213" s="19">
        <v>0</v>
      </c>
      <c r="CZ213" s="20">
        <v>0</v>
      </c>
    </row>
    <row r="214" spans="1:105" ht="47.25" x14ac:dyDescent="0.25">
      <c r="A214" s="80" t="s">
        <v>1</v>
      </c>
      <c r="B214" s="33" t="s">
        <v>104</v>
      </c>
      <c r="C214" s="32" t="s">
        <v>495</v>
      </c>
      <c r="D214" s="18">
        <f t="shared" si="597"/>
        <v>6691411</v>
      </c>
      <c r="E214" s="19">
        <f t="shared" si="598"/>
        <v>6691411</v>
      </c>
      <c r="F214" s="19">
        <f t="shared" si="599"/>
        <v>6691411</v>
      </c>
      <c r="G214" s="19">
        <v>0</v>
      </c>
      <c r="H214" s="19">
        <v>0</v>
      </c>
      <c r="I214" s="19">
        <f t="shared" si="600"/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f t="shared" si="601"/>
        <v>0</v>
      </c>
      <c r="Q214" s="19">
        <v>0</v>
      </c>
      <c r="R214" s="19">
        <v>0</v>
      </c>
      <c r="S214" s="19">
        <v>0</v>
      </c>
      <c r="T214" s="19">
        <v>0</v>
      </c>
      <c r="U214" s="19">
        <f t="shared" si="602"/>
        <v>6691411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0</v>
      </c>
      <c r="AB214" s="23">
        <v>6691411</v>
      </c>
      <c r="AC214" s="19">
        <v>0</v>
      </c>
      <c r="AD214" s="19">
        <f t="shared" si="603"/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/>
      <c r="AQ214" s="19">
        <v>0</v>
      </c>
      <c r="AR214" s="19">
        <v>0</v>
      </c>
      <c r="AS214" s="19">
        <v>0</v>
      </c>
      <c r="AT214" s="19"/>
      <c r="AU214" s="19"/>
      <c r="AV214" s="19">
        <v>0</v>
      </c>
      <c r="AW214" s="19">
        <v>0</v>
      </c>
      <c r="AX214" s="19">
        <v>0</v>
      </c>
      <c r="AY214" s="19"/>
      <c r="AZ214" s="19">
        <v>0</v>
      </c>
      <c r="BA214" s="19">
        <f t="shared" si="604"/>
        <v>0</v>
      </c>
      <c r="BB214" s="19">
        <f t="shared" si="605"/>
        <v>0</v>
      </c>
      <c r="BC214" s="19">
        <v>0</v>
      </c>
      <c r="BD214" s="19">
        <v>0</v>
      </c>
      <c r="BE214" s="19">
        <v>0</v>
      </c>
      <c r="BF214" s="19">
        <f t="shared" si="606"/>
        <v>0</v>
      </c>
      <c r="BG214" s="19">
        <v>0</v>
      </c>
      <c r="BH214" s="19">
        <v>0</v>
      </c>
      <c r="BI214" s="19">
        <v>0</v>
      </c>
      <c r="BJ214" s="19">
        <v>0</v>
      </c>
      <c r="BK214" s="19">
        <f t="shared" si="607"/>
        <v>0</v>
      </c>
      <c r="BL214" s="19">
        <v>0</v>
      </c>
      <c r="BM214" s="19">
        <v>0</v>
      </c>
      <c r="BN214" s="19">
        <f t="shared" si="608"/>
        <v>0</v>
      </c>
      <c r="BO214" s="19">
        <v>0</v>
      </c>
      <c r="BP214" s="19">
        <v>0</v>
      </c>
      <c r="BQ214" s="19">
        <v>0</v>
      </c>
      <c r="BR214" s="19">
        <v>0</v>
      </c>
      <c r="BS214" s="19">
        <v>0</v>
      </c>
      <c r="BT214" s="19">
        <v>0</v>
      </c>
      <c r="BU214" s="19">
        <v>0</v>
      </c>
      <c r="BV214" s="19">
        <v>0</v>
      </c>
      <c r="BW214" s="19">
        <v>0</v>
      </c>
      <c r="BX214" s="19">
        <v>0</v>
      </c>
      <c r="BY214" s="19">
        <v>0</v>
      </c>
      <c r="BZ214" s="19">
        <f t="shared" si="609"/>
        <v>0</v>
      </c>
      <c r="CA214" s="19">
        <f t="shared" si="610"/>
        <v>0</v>
      </c>
      <c r="CB214" s="19">
        <f t="shared" si="611"/>
        <v>0</v>
      </c>
      <c r="CC214" s="19">
        <v>0</v>
      </c>
      <c r="CD214" s="19">
        <v>0</v>
      </c>
      <c r="CE214" s="19">
        <f t="shared" si="612"/>
        <v>0</v>
      </c>
      <c r="CF214" s="19">
        <v>0</v>
      </c>
      <c r="CG214" s="19">
        <v>0</v>
      </c>
      <c r="CH214" s="19">
        <v>0</v>
      </c>
      <c r="CI214" s="19">
        <v>0</v>
      </c>
      <c r="CJ214" s="19">
        <v>0</v>
      </c>
      <c r="CK214" s="19">
        <f t="shared" si="613"/>
        <v>0</v>
      </c>
      <c r="CL214" s="19">
        <v>0</v>
      </c>
      <c r="CM214" s="19">
        <v>0</v>
      </c>
      <c r="CN214" s="19">
        <v>0</v>
      </c>
      <c r="CO214" s="19"/>
      <c r="CP214" s="19"/>
      <c r="CQ214" s="19"/>
      <c r="CR214" s="19"/>
      <c r="CS214" s="19">
        <v>0</v>
      </c>
      <c r="CT214" s="19"/>
      <c r="CU214" s="19"/>
      <c r="CV214" s="19"/>
      <c r="CW214" s="19">
        <f t="shared" si="614"/>
        <v>0</v>
      </c>
      <c r="CX214" s="19">
        <f t="shared" si="615"/>
        <v>0</v>
      </c>
      <c r="CY214" s="19">
        <v>0</v>
      </c>
      <c r="CZ214" s="20">
        <v>0</v>
      </c>
    </row>
    <row r="215" spans="1:105" s="58" customFormat="1" ht="31.5" x14ac:dyDescent="0.25">
      <c r="A215" s="81" t="s">
        <v>301</v>
      </c>
      <c r="B215" s="25" t="s">
        <v>1</v>
      </c>
      <c r="C215" s="26" t="s">
        <v>302</v>
      </c>
      <c r="D215" s="27">
        <f>SUM(D216)</f>
        <v>3793116</v>
      </c>
      <c r="E215" s="27">
        <f t="shared" ref="E215:BT219" si="624">SUM(E216)</f>
        <v>0</v>
      </c>
      <c r="F215" s="27">
        <f t="shared" si="624"/>
        <v>0</v>
      </c>
      <c r="G215" s="27">
        <f t="shared" si="624"/>
        <v>0</v>
      </c>
      <c r="H215" s="27">
        <f t="shared" si="624"/>
        <v>0</v>
      </c>
      <c r="I215" s="27">
        <f t="shared" si="624"/>
        <v>0</v>
      </c>
      <c r="J215" s="27">
        <f t="shared" si="624"/>
        <v>0</v>
      </c>
      <c r="K215" s="27">
        <f t="shared" si="624"/>
        <v>0</v>
      </c>
      <c r="L215" s="27">
        <f t="shared" si="624"/>
        <v>0</v>
      </c>
      <c r="M215" s="27">
        <f t="shared" si="624"/>
        <v>0</v>
      </c>
      <c r="N215" s="27">
        <f t="shared" si="624"/>
        <v>0</v>
      </c>
      <c r="O215" s="27">
        <f t="shared" si="624"/>
        <v>0</v>
      </c>
      <c r="P215" s="27">
        <f t="shared" si="624"/>
        <v>0</v>
      </c>
      <c r="Q215" s="27">
        <f t="shared" si="624"/>
        <v>0</v>
      </c>
      <c r="R215" s="27">
        <f t="shared" si="624"/>
        <v>0</v>
      </c>
      <c r="S215" s="27">
        <f t="shared" si="624"/>
        <v>0</v>
      </c>
      <c r="T215" s="27">
        <f t="shared" si="624"/>
        <v>0</v>
      </c>
      <c r="U215" s="27">
        <f t="shared" si="624"/>
        <v>0</v>
      </c>
      <c r="V215" s="27">
        <f t="shared" si="624"/>
        <v>0</v>
      </c>
      <c r="W215" s="27">
        <f t="shared" si="624"/>
        <v>0</v>
      </c>
      <c r="X215" s="27">
        <f t="shared" si="624"/>
        <v>0</v>
      </c>
      <c r="Y215" s="27">
        <f t="shared" si="624"/>
        <v>0</v>
      </c>
      <c r="Z215" s="27">
        <f t="shared" si="624"/>
        <v>0</v>
      </c>
      <c r="AA215" s="27">
        <f t="shared" si="624"/>
        <v>0</v>
      </c>
      <c r="AB215" s="27">
        <f t="shared" si="624"/>
        <v>0</v>
      </c>
      <c r="AC215" s="27">
        <f t="shared" si="624"/>
        <v>0</v>
      </c>
      <c r="AD215" s="27">
        <f t="shared" si="624"/>
        <v>0</v>
      </c>
      <c r="AE215" s="27">
        <f t="shared" si="624"/>
        <v>0</v>
      </c>
      <c r="AF215" s="27">
        <f t="shared" si="624"/>
        <v>0</v>
      </c>
      <c r="AG215" s="27">
        <f t="shared" si="624"/>
        <v>0</v>
      </c>
      <c r="AH215" s="27">
        <f t="shared" si="624"/>
        <v>0</v>
      </c>
      <c r="AI215" s="27">
        <f t="shared" si="624"/>
        <v>0</v>
      </c>
      <c r="AJ215" s="27">
        <f t="shared" si="624"/>
        <v>0</v>
      </c>
      <c r="AK215" s="27">
        <f t="shared" si="624"/>
        <v>0</v>
      </c>
      <c r="AL215" s="27">
        <f t="shared" si="624"/>
        <v>0</v>
      </c>
      <c r="AM215" s="27">
        <f t="shared" si="624"/>
        <v>0</v>
      </c>
      <c r="AN215" s="27">
        <f t="shared" si="624"/>
        <v>0</v>
      </c>
      <c r="AO215" s="27">
        <f t="shared" si="624"/>
        <v>0</v>
      </c>
      <c r="AP215" s="27"/>
      <c r="AQ215" s="27">
        <f t="shared" si="624"/>
        <v>0</v>
      </c>
      <c r="AR215" s="27">
        <f t="shared" si="624"/>
        <v>0</v>
      </c>
      <c r="AS215" s="27">
        <f t="shared" si="624"/>
        <v>0</v>
      </c>
      <c r="AT215" s="27"/>
      <c r="AU215" s="27"/>
      <c r="AV215" s="27">
        <f t="shared" si="624"/>
        <v>0</v>
      </c>
      <c r="AW215" s="27">
        <f t="shared" si="624"/>
        <v>0</v>
      </c>
      <c r="AX215" s="27">
        <f>SUM(AX216)</f>
        <v>0</v>
      </c>
      <c r="AY215" s="27"/>
      <c r="AZ215" s="27">
        <f t="shared" si="624"/>
        <v>0</v>
      </c>
      <c r="BA215" s="27">
        <f t="shared" si="624"/>
        <v>0</v>
      </c>
      <c r="BB215" s="27">
        <f t="shared" si="624"/>
        <v>0</v>
      </c>
      <c r="BC215" s="27">
        <f t="shared" si="624"/>
        <v>0</v>
      </c>
      <c r="BD215" s="27">
        <f t="shared" si="624"/>
        <v>0</v>
      </c>
      <c r="BE215" s="27">
        <f t="shared" si="624"/>
        <v>0</v>
      </c>
      <c r="BF215" s="27">
        <f t="shared" si="624"/>
        <v>0</v>
      </c>
      <c r="BG215" s="27">
        <f t="shared" si="624"/>
        <v>0</v>
      </c>
      <c r="BH215" s="27">
        <f t="shared" si="624"/>
        <v>0</v>
      </c>
      <c r="BI215" s="27">
        <f t="shared" si="624"/>
        <v>0</v>
      </c>
      <c r="BJ215" s="27">
        <f t="shared" si="624"/>
        <v>0</v>
      </c>
      <c r="BK215" s="27">
        <f t="shared" si="624"/>
        <v>0</v>
      </c>
      <c r="BL215" s="27">
        <f t="shared" si="624"/>
        <v>0</v>
      </c>
      <c r="BM215" s="27">
        <f t="shared" ref="BM215:BM219" si="625">SUM(BM216)</f>
        <v>0</v>
      </c>
      <c r="BN215" s="27">
        <f t="shared" si="624"/>
        <v>0</v>
      </c>
      <c r="BO215" s="27">
        <f t="shared" si="624"/>
        <v>0</v>
      </c>
      <c r="BP215" s="27">
        <f t="shared" si="624"/>
        <v>0</v>
      </c>
      <c r="BQ215" s="27">
        <f t="shared" si="624"/>
        <v>0</v>
      </c>
      <c r="BR215" s="27">
        <f t="shared" si="624"/>
        <v>0</v>
      </c>
      <c r="BS215" s="27">
        <f t="shared" si="624"/>
        <v>0</v>
      </c>
      <c r="BT215" s="27">
        <f t="shared" si="624"/>
        <v>0</v>
      </c>
      <c r="BU215" s="27">
        <f t="shared" ref="BU215:CZ219" si="626">SUM(BU216)</f>
        <v>0</v>
      </c>
      <c r="BV215" s="27">
        <f t="shared" si="626"/>
        <v>0</v>
      </c>
      <c r="BW215" s="27">
        <f t="shared" si="626"/>
        <v>0</v>
      </c>
      <c r="BX215" s="27">
        <f t="shared" si="626"/>
        <v>0</v>
      </c>
      <c r="BY215" s="27">
        <f t="shared" si="626"/>
        <v>0</v>
      </c>
      <c r="BZ215" s="27">
        <f>SUM(BZ216)</f>
        <v>0</v>
      </c>
      <c r="CA215" s="27">
        <f t="shared" si="626"/>
        <v>0</v>
      </c>
      <c r="CB215" s="27">
        <f t="shared" si="626"/>
        <v>0</v>
      </c>
      <c r="CC215" s="27">
        <f t="shared" si="626"/>
        <v>0</v>
      </c>
      <c r="CD215" s="27">
        <f t="shared" si="626"/>
        <v>0</v>
      </c>
      <c r="CE215" s="27">
        <f t="shared" si="626"/>
        <v>0</v>
      </c>
      <c r="CF215" s="27">
        <f t="shared" si="626"/>
        <v>0</v>
      </c>
      <c r="CG215" s="27">
        <f t="shared" si="626"/>
        <v>0</v>
      </c>
      <c r="CH215" s="27">
        <f t="shared" si="626"/>
        <v>0</v>
      </c>
      <c r="CI215" s="27">
        <f t="shared" si="626"/>
        <v>0</v>
      </c>
      <c r="CJ215" s="27">
        <f t="shared" si="626"/>
        <v>0</v>
      </c>
      <c r="CK215" s="27">
        <f t="shared" si="626"/>
        <v>0</v>
      </c>
      <c r="CL215" s="27">
        <f t="shared" si="626"/>
        <v>0</v>
      </c>
      <c r="CM215" s="27">
        <f t="shared" si="626"/>
        <v>0</v>
      </c>
      <c r="CN215" s="27">
        <f t="shared" si="626"/>
        <v>0</v>
      </c>
      <c r="CO215" s="27"/>
      <c r="CP215" s="27"/>
      <c r="CQ215" s="27"/>
      <c r="CR215" s="27"/>
      <c r="CS215" s="27">
        <f t="shared" si="626"/>
        <v>0</v>
      </c>
      <c r="CT215" s="27"/>
      <c r="CU215" s="27"/>
      <c r="CV215" s="27"/>
      <c r="CW215" s="27">
        <f t="shared" si="626"/>
        <v>3793116</v>
      </c>
      <c r="CX215" s="27">
        <f t="shared" si="626"/>
        <v>3793116</v>
      </c>
      <c r="CY215" s="27">
        <f t="shared" si="626"/>
        <v>3793116</v>
      </c>
      <c r="CZ215" s="60">
        <f t="shared" si="626"/>
        <v>0</v>
      </c>
      <c r="DA215" s="57"/>
    </row>
    <row r="216" spans="1:105" s="58" customFormat="1" ht="15.75" x14ac:dyDescent="0.25">
      <c r="A216" s="79" t="s">
        <v>303</v>
      </c>
      <c r="B216" s="16" t="s">
        <v>1</v>
      </c>
      <c r="C216" s="17" t="s">
        <v>304</v>
      </c>
      <c r="D216" s="18">
        <f>SUM(D217)</f>
        <v>3793116</v>
      </c>
      <c r="E216" s="18">
        <f t="shared" si="624"/>
        <v>0</v>
      </c>
      <c r="F216" s="18">
        <f t="shared" si="624"/>
        <v>0</v>
      </c>
      <c r="G216" s="18">
        <f t="shared" si="624"/>
        <v>0</v>
      </c>
      <c r="H216" s="18">
        <f t="shared" si="624"/>
        <v>0</v>
      </c>
      <c r="I216" s="18">
        <f t="shared" si="624"/>
        <v>0</v>
      </c>
      <c r="J216" s="18">
        <f t="shared" si="624"/>
        <v>0</v>
      </c>
      <c r="K216" s="18">
        <f t="shared" si="624"/>
        <v>0</v>
      </c>
      <c r="L216" s="18">
        <f t="shared" si="624"/>
        <v>0</v>
      </c>
      <c r="M216" s="18">
        <f t="shared" si="624"/>
        <v>0</v>
      </c>
      <c r="N216" s="18">
        <f t="shared" si="624"/>
        <v>0</v>
      </c>
      <c r="O216" s="18">
        <f t="shared" si="624"/>
        <v>0</v>
      </c>
      <c r="P216" s="18">
        <f t="shared" si="624"/>
        <v>0</v>
      </c>
      <c r="Q216" s="18">
        <f t="shared" si="624"/>
        <v>0</v>
      </c>
      <c r="R216" s="18">
        <f t="shared" si="624"/>
        <v>0</v>
      </c>
      <c r="S216" s="18">
        <f t="shared" si="624"/>
        <v>0</v>
      </c>
      <c r="T216" s="18">
        <f t="shared" si="624"/>
        <v>0</v>
      </c>
      <c r="U216" s="18">
        <f t="shared" si="624"/>
        <v>0</v>
      </c>
      <c r="V216" s="18">
        <f t="shared" si="624"/>
        <v>0</v>
      </c>
      <c r="W216" s="18">
        <f t="shared" si="624"/>
        <v>0</v>
      </c>
      <c r="X216" s="18">
        <f t="shared" si="624"/>
        <v>0</v>
      </c>
      <c r="Y216" s="18">
        <f t="shared" si="624"/>
        <v>0</v>
      </c>
      <c r="Z216" s="18">
        <f t="shared" si="624"/>
        <v>0</v>
      </c>
      <c r="AA216" s="18">
        <f t="shared" si="624"/>
        <v>0</v>
      </c>
      <c r="AB216" s="18">
        <f t="shared" si="624"/>
        <v>0</v>
      </c>
      <c r="AC216" s="18">
        <f t="shared" si="624"/>
        <v>0</v>
      </c>
      <c r="AD216" s="18">
        <f t="shared" si="624"/>
        <v>0</v>
      </c>
      <c r="AE216" s="18">
        <f t="shared" si="624"/>
        <v>0</v>
      </c>
      <c r="AF216" s="18">
        <f t="shared" si="624"/>
        <v>0</v>
      </c>
      <c r="AG216" s="18">
        <f t="shared" si="624"/>
        <v>0</v>
      </c>
      <c r="AH216" s="18">
        <f t="shared" si="624"/>
        <v>0</v>
      </c>
      <c r="AI216" s="18">
        <f t="shared" si="624"/>
        <v>0</v>
      </c>
      <c r="AJ216" s="18">
        <f t="shared" si="624"/>
        <v>0</v>
      </c>
      <c r="AK216" s="18">
        <f t="shared" si="624"/>
        <v>0</v>
      </c>
      <c r="AL216" s="18">
        <f t="shared" si="624"/>
        <v>0</v>
      </c>
      <c r="AM216" s="18">
        <f t="shared" si="624"/>
        <v>0</v>
      </c>
      <c r="AN216" s="18">
        <f t="shared" si="624"/>
        <v>0</v>
      </c>
      <c r="AO216" s="18">
        <f t="shared" si="624"/>
        <v>0</v>
      </c>
      <c r="AP216" s="18"/>
      <c r="AQ216" s="18">
        <f t="shared" si="624"/>
        <v>0</v>
      </c>
      <c r="AR216" s="18">
        <f t="shared" si="624"/>
        <v>0</v>
      </c>
      <c r="AS216" s="18">
        <f t="shared" si="624"/>
        <v>0</v>
      </c>
      <c r="AT216" s="18"/>
      <c r="AU216" s="18"/>
      <c r="AV216" s="18">
        <f t="shared" si="624"/>
        <v>0</v>
      </c>
      <c r="AW216" s="18">
        <f t="shared" si="624"/>
        <v>0</v>
      </c>
      <c r="AX216" s="18">
        <f>SUM(AX217)</f>
        <v>0</v>
      </c>
      <c r="AY216" s="18"/>
      <c r="AZ216" s="18">
        <f t="shared" si="624"/>
        <v>0</v>
      </c>
      <c r="BA216" s="18">
        <f t="shared" si="624"/>
        <v>0</v>
      </c>
      <c r="BB216" s="18">
        <f t="shared" si="624"/>
        <v>0</v>
      </c>
      <c r="BC216" s="18">
        <f t="shared" si="624"/>
        <v>0</v>
      </c>
      <c r="BD216" s="18">
        <f t="shared" si="624"/>
        <v>0</v>
      </c>
      <c r="BE216" s="18">
        <f t="shared" si="624"/>
        <v>0</v>
      </c>
      <c r="BF216" s="18">
        <f t="shared" si="624"/>
        <v>0</v>
      </c>
      <c r="BG216" s="18">
        <f t="shared" si="624"/>
        <v>0</v>
      </c>
      <c r="BH216" s="18">
        <f t="shared" si="624"/>
        <v>0</v>
      </c>
      <c r="BI216" s="18">
        <f t="shared" si="624"/>
        <v>0</v>
      </c>
      <c r="BJ216" s="18">
        <f t="shared" si="624"/>
        <v>0</v>
      </c>
      <c r="BK216" s="18">
        <f t="shared" si="624"/>
        <v>0</v>
      </c>
      <c r="BL216" s="18">
        <f t="shared" si="624"/>
        <v>0</v>
      </c>
      <c r="BM216" s="18">
        <f t="shared" si="625"/>
        <v>0</v>
      </c>
      <c r="BN216" s="18">
        <f t="shared" si="624"/>
        <v>0</v>
      </c>
      <c r="BO216" s="18">
        <f t="shared" si="624"/>
        <v>0</v>
      </c>
      <c r="BP216" s="18">
        <f t="shared" si="624"/>
        <v>0</v>
      </c>
      <c r="BQ216" s="18">
        <f t="shared" si="624"/>
        <v>0</v>
      </c>
      <c r="BR216" s="18">
        <f t="shared" si="624"/>
        <v>0</v>
      </c>
      <c r="BS216" s="18">
        <f t="shared" si="624"/>
        <v>0</v>
      </c>
      <c r="BT216" s="18">
        <f t="shared" si="624"/>
        <v>0</v>
      </c>
      <c r="BU216" s="18">
        <f t="shared" si="626"/>
        <v>0</v>
      </c>
      <c r="BV216" s="18">
        <f t="shared" si="626"/>
        <v>0</v>
      </c>
      <c r="BW216" s="18">
        <f t="shared" si="626"/>
        <v>0</v>
      </c>
      <c r="BX216" s="18">
        <f t="shared" si="626"/>
        <v>0</v>
      </c>
      <c r="BY216" s="18">
        <f t="shared" si="626"/>
        <v>0</v>
      </c>
      <c r="BZ216" s="18">
        <f t="shared" si="626"/>
        <v>0</v>
      </c>
      <c r="CA216" s="18">
        <f t="shared" si="626"/>
        <v>0</v>
      </c>
      <c r="CB216" s="18">
        <f t="shared" si="626"/>
        <v>0</v>
      </c>
      <c r="CC216" s="18">
        <f t="shared" si="626"/>
        <v>0</v>
      </c>
      <c r="CD216" s="18">
        <f t="shared" si="626"/>
        <v>0</v>
      </c>
      <c r="CE216" s="18">
        <f t="shared" si="626"/>
        <v>0</v>
      </c>
      <c r="CF216" s="18">
        <f t="shared" si="626"/>
        <v>0</v>
      </c>
      <c r="CG216" s="18">
        <f t="shared" si="626"/>
        <v>0</v>
      </c>
      <c r="CH216" s="18">
        <f t="shared" si="626"/>
        <v>0</v>
      </c>
      <c r="CI216" s="18">
        <f t="shared" si="626"/>
        <v>0</v>
      </c>
      <c r="CJ216" s="18">
        <f t="shared" si="626"/>
        <v>0</v>
      </c>
      <c r="CK216" s="18">
        <f t="shared" si="626"/>
        <v>0</v>
      </c>
      <c r="CL216" s="18">
        <f t="shared" si="626"/>
        <v>0</v>
      </c>
      <c r="CM216" s="18">
        <f t="shared" si="626"/>
        <v>0</v>
      </c>
      <c r="CN216" s="18">
        <f t="shared" si="626"/>
        <v>0</v>
      </c>
      <c r="CO216" s="18"/>
      <c r="CP216" s="18"/>
      <c r="CQ216" s="18"/>
      <c r="CR216" s="18"/>
      <c r="CS216" s="18">
        <f t="shared" si="626"/>
        <v>0</v>
      </c>
      <c r="CT216" s="18"/>
      <c r="CU216" s="18"/>
      <c r="CV216" s="18"/>
      <c r="CW216" s="18">
        <f t="shared" si="626"/>
        <v>3793116</v>
      </c>
      <c r="CX216" s="18">
        <f t="shared" si="626"/>
        <v>3793116</v>
      </c>
      <c r="CY216" s="18">
        <f t="shared" si="626"/>
        <v>3793116</v>
      </c>
      <c r="CZ216" s="46">
        <f t="shared" si="626"/>
        <v>0</v>
      </c>
      <c r="DA216" s="57"/>
    </row>
    <row r="217" spans="1:105" ht="15.75" x14ac:dyDescent="0.25">
      <c r="A217" s="80" t="s">
        <v>1</v>
      </c>
      <c r="B217" s="21" t="s">
        <v>103</v>
      </c>
      <c r="C217" s="22" t="s">
        <v>547</v>
      </c>
      <c r="D217" s="18">
        <f>SUM(E217+BZ217+CW217)</f>
        <v>3793116</v>
      </c>
      <c r="E217" s="19">
        <f>SUM(F217+BA217)</f>
        <v>0</v>
      </c>
      <c r="F217" s="19">
        <f>SUM(G217+H217+I217+P217+S217+T217+U217+AD217)</f>
        <v>0</v>
      </c>
      <c r="G217" s="19">
        <v>0</v>
      </c>
      <c r="H217" s="19">
        <v>0</v>
      </c>
      <c r="I217" s="19">
        <f t="shared" si="354"/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f t="shared" si="355"/>
        <v>0</v>
      </c>
      <c r="Q217" s="19">
        <v>0</v>
      </c>
      <c r="R217" s="19">
        <v>0</v>
      </c>
      <c r="S217" s="19">
        <v>0</v>
      </c>
      <c r="T217" s="19">
        <v>0</v>
      </c>
      <c r="U217" s="19">
        <f t="shared" ref="U217" si="627">SUM(V217:AC217)</f>
        <v>0</v>
      </c>
      <c r="V217" s="19">
        <v>0</v>
      </c>
      <c r="W217" s="19">
        <v>0</v>
      </c>
      <c r="X217" s="19">
        <v>0</v>
      </c>
      <c r="Y217" s="19">
        <v>0</v>
      </c>
      <c r="Z217" s="19">
        <v>0</v>
      </c>
      <c r="AA217" s="19">
        <v>0</v>
      </c>
      <c r="AB217" s="19">
        <v>0</v>
      </c>
      <c r="AC217" s="19">
        <v>0</v>
      </c>
      <c r="AD217" s="19">
        <f>SUM(AE217:AZ217)</f>
        <v>0</v>
      </c>
      <c r="AE217" s="19">
        <v>0</v>
      </c>
      <c r="AF217" s="19">
        <v>0</v>
      </c>
      <c r="AG217" s="19">
        <v>0</v>
      </c>
      <c r="AH217" s="19">
        <v>0</v>
      </c>
      <c r="AI217" s="19">
        <v>0</v>
      </c>
      <c r="AJ217" s="19">
        <v>0</v>
      </c>
      <c r="AK217" s="19">
        <v>0</v>
      </c>
      <c r="AL217" s="19">
        <v>0</v>
      </c>
      <c r="AM217" s="19">
        <v>0</v>
      </c>
      <c r="AN217" s="19">
        <v>0</v>
      </c>
      <c r="AO217" s="19">
        <v>0</v>
      </c>
      <c r="AP217" s="19"/>
      <c r="AQ217" s="19">
        <v>0</v>
      </c>
      <c r="AR217" s="19">
        <v>0</v>
      </c>
      <c r="AS217" s="19">
        <v>0</v>
      </c>
      <c r="AT217" s="19"/>
      <c r="AU217" s="19"/>
      <c r="AV217" s="19">
        <v>0</v>
      </c>
      <c r="AW217" s="19">
        <v>0</v>
      </c>
      <c r="AX217" s="19">
        <v>0</v>
      </c>
      <c r="AY217" s="19"/>
      <c r="AZ217" s="19">
        <v>0</v>
      </c>
      <c r="BA217" s="19">
        <f>SUM(BB217+BF217+BI217+BK217+BN217)</f>
        <v>0</v>
      </c>
      <c r="BB217" s="19">
        <f>SUM(BC217:BE217)</f>
        <v>0</v>
      </c>
      <c r="BC217" s="19">
        <v>0</v>
      </c>
      <c r="BD217" s="19">
        <v>0</v>
      </c>
      <c r="BE217" s="19">
        <v>0</v>
      </c>
      <c r="BF217" s="19">
        <f>SUM(BH217:BH217)</f>
        <v>0</v>
      </c>
      <c r="BG217" s="19">
        <v>0</v>
      </c>
      <c r="BH217" s="19">
        <v>0</v>
      </c>
      <c r="BI217" s="19">
        <v>0</v>
      </c>
      <c r="BJ217" s="19">
        <v>0</v>
      </c>
      <c r="BK217" s="19">
        <f t="shared" si="357"/>
        <v>0</v>
      </c>
      <c r="BL217" s="19">
        <v>0</v>
      </c>
      <c r="BM217" s="19">
        <v>0</v>
      </c>
      <c r="BN217" s="19">
        <f>SUM(BO217:BY217)</f>
        <v>0</v>
      </c>
      <c r="BO217" s="19">
        <v>0</v>
      </c>
      <c r="BP217" s="19">
        <v>0</v>
      </c>
      <c r="BQ217" s="19">
        <v>0</v>
      </c>
      <c r="BR217" s="19">
        <v>0</v>
      </c>
      <c r="BS217" s="19">
        <v>0</v>
      </c>
      <c r="BT217" s="19">
        <v>0</v>
      </c>
      <c r="BU217" s="19">
        <v>0</v>
      </c>
      <c r="BV217" s="19">
        <v>0</v>
      </c>
      <c r="BW217" s="19">
        <v>0</v>
      </c>
      <c r="BX217" s="19">
        <v>0</v>
      </c>
      <c r="BY217" s="19">
        <v>0</v>
      </c>
      <c r="BZ217" s="19">
        <f>SUM(CA217+CS217)</f>
        <v>0</v>
      </c>
      <c r="CA217" s="19">
        <f>SUM(CB217+CE217+CK217)</f>
        <v>0</v>
      </c>
      <c r="CB217" s="19">
        <f t="shared" si="358"/>
        <v>0</v>
      </c>
      <c r="CC217" s="19">
        <v>0</v>
      </c>
      <c r="CD217" s="19">
        <v>0</v>
      </c>
      <c r="CE217" s="19">
        <f>SUM(CF217:CJ217)</f>
        <v>0</v>
      </c>
      <c r="CF217" s="19">
        <v>0</v>
      </c>
      <c r="CG217" s="19">
        <v>0</v>
      </c>
      <c r="CH217" s="19">
        <v>0</v>
      </c>
      <c r="CI217" s="19">
        <v>0</v>
      </c>
      <c r="CJ217" s="19">
        <v>0</v>
      </c>
      <c r="CK217" s="19">
        <f>SUM(CL217:CP217)</f>
        <v>0</v>
      </c>
      <c r="CL217" s="19">
        <v>0</v>
      </c>
      <c r="CM217" s="19">
        <v>0</v>
      </c>
      <c r="CN217" s="19">
        <v>0</v>
      </c>
      <c r="CO217" s="19"/>
      <c r="CP217" s="19"/>
      <c r="CQ217" s="19"/>
      <c r="CR217" s="19"/>
      <c r="CS217" s="19">
        <v>0</v>
      </c>
      <c r="CT217" s="19"/>
      <c r="CU217" s="19"/>
      <c r="CV217" s="19"/>
      <c r="CW217" s="19">
        <f t="shared" si="360"/>
        <v>3793116</v>
      </c>
      <c r="CX217" s="19">
        <f t="shared" si="361"/>
        <v>3793116</v>
      </c>
      <c r="CY217" s="23">
        <v>3793116</v>
      </c>
      <c r="CZ217" s="20">
        <v>0</v>
      </c>
    </row>
    <row r="218" spans="1:105" s="58" customFormat="1" ht="31.5" x14ac:dyDescent="0.25">
      <c r="A218" s="81" t="s">
        <v>611</v>
      </c>
      <c r="B218" s="25" t="s">
        <v>1</v>
      </c>
      <c r="C218" s="26" t="s">
        <v>613</v>
      </c>
      <c r="D218" s="27">
        <f>SUM(D219)</f>
        <v>61520</v>
      </c>
      <c r="E218" s="27">
        <f t="shared" si="624"/>
        <v>0</v>
      </c>
      <c r="F218" s="27">
        <f t="shared" si="624"/>
        <v>0</v>
      </c>
      <c r="G218" s="27">
        <f t="shared" si="624"/>
        <v>0</v>
      </c>
      <c r="H218" s="27">
        <f t="shared" si="624"/>
        <v>0</v>
      </c>
      <c r="I218" s="27">
        <f t="shared" si="624"/>
        <v>0</v>
      </c>
      <c r="J218" s="27">
        <f t="shared" si="624"/>
        <v>0</v>
      </c>
      <c r="K218" s="27">
        <f t="shared" si="624"/>
        <v>0</v>
      </c>
      <c r="L218" s="27">
        <f t="shared" si="624"/>
        <v>0</v>
      </c>
      <c r="M218" s="27">
        <f t="shared" si="624"/>
        <v>0</v>
      </c>
      <c r="N218" s="27">
        <f t="shared" si="624"/>
        <v>0</v>
      </c>
      <c r="O218" s="27">
        <f t="shared" si="624"/>
        <v>0</v>
      </c>
      <c r="P218" s="27">
        <f t="shared" si="624"/>
        <v>0</v>
      </c>
      <c r="Q218" s="27">
        <f t="shared" si="624"/>
        <v>0</v>
      </c>
      <c r="R218" s="27">
        <f t="shared" si="624"/>
        <v>0</v>
      </c>
      <c r="S218" s="27">
        <f t="shared" si="624"/>
        <v>0</v>
      </c>
      <c r="T218" s="27">
        <f t="shared" si="624"/>
        <v>0</v>
      </c>
      <c r="U218" s="27">
        <f t="shared" si="624"/>
        <v>0</v>
      </c>
      <c r="V218" s="27">
        <f t="shared" si="624"/>
        <v>0</v>
      </c>
      <c r="W218" s="27">
        <f t="shared" si="624"/>
        <v>0</v>
      </c>
      <c r="X218" s="27">
        <f t="shared" si="624"/>
        <v>0</v>
      </c>
      <c r="Y218" s="27">
        <f t="shared" si="624"/>
        <v>0</v>
      </c>
      <c r="Z218" s="27">
        <f t="shared" si="624"/>
        <v>0</v>
      </c>
      <c r="AA218" s="27">
        <f t="shared" si="624"/>
        <v>0</v>
      </c>
      <c r="AB218" s="27">
        <f t="shared" si="624"/>
        <v>0</v>
      </c>
      <c r="AC218" s="27">
        <f t="shared" si="624"/>
        <v>0</v>
      </c>
      <c r="AD218" s="27">
        <f t="shared" si="624"/>
        <v>0</v>
      </c>
      <c r="AE218" s="27">
        <f t="shared" si="624"/>
        <v>0</v>
      </c>
      <c r="AF218" s="27">
        <f t="shared" si="624"/>
        <v>0</v>
      </c>
      <c r="AG218" s="27">
        <f t="shared" si="624"/>
        <v>0</v>
      </c>
      <c r="AH218" s="27">
        <f t="shared" si="624"/>
        <v>0</v>
      </c>
      <c r="AI218" s="27">
        <f t="shared" si="624"/>
        <v>0</v>
      </c>
      <c r="AJ218" s="27">
        <f t="shared" si="624"/>
        <v>0</v>
      </c>
      <c r="AK218" s="27">
        <f t="shared" si="624"/>
        <v>0</v>
      </c>
      <c r="AL218" s="27">
        <f t="shared" si="624"/>
        <v>0</v>
      </c>
      <c r="AM218" s="27">
        <f t="shared" si="624"/>
        <v>0</v>
      </c>
      <c r="AN218" s="27">
        <f t="shared" si="624"/>
        <v>0</v>
      </c>
      <c r="AO218" s="27">
        <f t="shared" si="624"/>
        <v>0</v>
      </c>
      <c r="AP218" s="27"/>
      <c r="AQ218" s="27">
        <f t="shared" si="624"/>
        <v>0</v>
      </c>
      <c r="AR218" s="27">
        <f t="shared" si="624"/>
        <v>0</v>
      </c>
      <c r="AS218" s="27">
        <f t="shared" si="624"/>
        <v>0</v>
      </c>
      <c r="AT218" s="27"/>
      <c r="AU218" s="27"/>
      <c r="AV218" s="27">
        <f t="shared" si="624"/>
        <v>0</v>
      </c>
      <c r="AW218" s="27">
        <f t="shared" si="624"/>
        <v>0</v>
      </c>
      <c r="AX218" s="27">
        <f>SUM(AX219)</f>
        <v>0</v>
      </c>
      <c r="AY218" s="27"/>
      <c r="AZ218" s="27">
        <f t="shared" si="624"/>
        <v>0</v>
      </c>
      <c r="BA218" s="27">
        <f t="shared" si="624"/>
        <v>0</v>
      </c>
      <c r="BB218" s="27">
        <f t="shared" si="624"/>
        <v>0</v>
      </c>
      <c r="BC218" s="27">
        <f t="shared" si="624"/>
        <v>0</v>
      </c>
      <c r="BD218" s="27">
        <f t="shared" si="624"/>
        <v>0</v>
      </c>
      <c r="BE218" s="27">
        <f t="shared" si="624"/>
        <v>0</v>
      </c>
      <c r="BF218" s="27">
        <f t="shared" si="624"/>
        <v>0</v>
      </c>
      <c r="BG218" s="27">
        <f t="shared" si="624"/>
        <v>0</v>
      </c>
      <c r="BH218" s="27">
        <f t="shared" si="624"/>
        <v>0</v>
      </c>
      <c r="BI218" s="27">
        <f t="shared" si="624"/>
        <v>0</v>
      </c>
      <c r="BJ218" s="27">
        <f t="shared" si="624"/>
        <v>0</v>
      </c>
      <c r="BK218" s="27">
        <f t="shared" si="624"/>
        <v>0</v>
      </c>
      <c r="BL218" s="27">
        <f t="shared" si="624"/>
        <v>0</v>
      </c>
      <c r="BM218" s="27">
        <f t="shared" si="625"/>
        <v>0</v>
      </c>
      <c r="BN218" s="27">
        <f t="shared" si="624"/>
        <v>0</v>
      </c>
      <c r="BO218" s="27">
        <f t="shared" si="624"/>
        <v>0</v>
      </c>
      <c r="BP218" s="27">
        <f t="shared" si="624"/>
        <v>0</v>
      </c>
      <c r="BQ218" s="27">
        <f t="shared" si="624"/>
        <v>0</v>
      </c>
      <c r="BR218" s="27">
        <f t="shared" si="624"/>
        <v>0</v>
      </c>
      <c r="BS218" s="27">
        <f t="shared" si="624"/>
        <v>0</v>
      </c>
      <c r="BT218" s="27">
        <f t="shared" si="624"/>
        <v>0</v>
      </c>
      <c r="BU218" s="27">
        <f t="shared" si="626"/>
        <v>0</v>
      </c>
      <c r="BV218" s="27">
        <f t="shared" si="626"/>
        <v>0</v>
      </c>
      <c r="BW218" s="27">
        <f t="shared" si="626"/>
        <v>0</v>
      </c>
      <c r="BX218" s="27">
        <f t="shared" si="626"/>
        <v>0</v>
      </c>
      <c r="BY218" s="27">
        <f t="shared" si="626"/>
        <v>0</v>
      </c>
      <c r="BZ218" s="27">
        <f t="shared" si="626"/>
        <v>61520</v>
      </c>
      <c r="CA218" s="27">
        <f t="shared" si="626"/>
        <v>0</v>
      </c>
      <c r="CB218" s="27">
        <f t="shared" si="626"/>
        <v>0</v>
      </c>
      <c r="CC218" s="27">
        <f t="shared" si="626"/>
        <v>0</v>
      </c>
      <c r="CD218" s="27">
        <f t="shared" si="626"/>
        <v>0</v>
      </c>
      <c r="CE218" s="27">
        <f t="shared" si="626"/>
        <v>0</v>
      </c>
      <c r="CF218" s="27">
        <f t="shared" si="626"/>
        <v>0</v>
      </c>
      <c r="CG218" s="27">
        <f t="shared" si="626"/>
        <v>0</v>
      </c>
      <c r="CH218" s="27">
        <f t="shared" si="626"/>
        <v>0</v>
      </c>
      <c r="CI218" s="27">
        <f t="shared" si="626"/>
        <v>0</v>
      </c>
      <c r="CJ218" s="27">
        <f t="shared" si="626"/>
        <v>0</v>
      </c>
      <c r="CK218" s="27">
        <f t="shared" si="626"/>
        <v>0</v>
      </c>
      <c r="CL218" s="27">
        <f t="shared" si="626"/>
        <v>0</v>
      </c>
      <c r="CM218" s="27">
        <f t="shared" si="626"/>
        <v>0</v>
      </c>
      <c r="CN218" s="27">
        <f t="shared" si="626"/>
        <v>0</v>
      </c>
      <c r="CO218" s="27"/>
      <c r="CP218" s="27"/>
      <c r="CQ218" s="27">
        <f>CQ219</f>
        <v>61520</v>
      </c>
      <c r="CR218" s="27">
        <f>CR219</f>
        <v>61520</v>
      </c>
      <c r="CS218" s="27">
        <f t="shared" si="626"/>
        <v>0</v>
      </c>
      <c r="CT218" s="27"/>
      <c r="CU218" s="27"/>
      <c r="CV218" s="27"/>
      <c r="CW218" s="27">
        <f t="shared" si="626"/>
        <v>0</v>
      </c>
      <c r="CX218" s="27">
        <f t="shared" si="626"/>
        <v>0</v>
      </c>
      <c r="CY218" s="27">
        <f t="shared" si="626"/>
        <v>0</v>
      </c>
      <c r="CZ218" s="60">
        <f t="shared" si="626"/>
        <v>0</v>
      </c>
      <c r="DA218" s="57"/>
    </row>
    <row r="219" spans="1:105" s="58" customFormat="1" ht="15.75" x14ac:dyDescent="0.25">
      <c r="A219" s="79" t="s">
        <v>612</v>
      </c>
      <c r="B219" s="16" t="s">
        <v>1</v>
      </c>
      <c r="C219" s="17" t="s">
        <v>614</v>
      </c>
      <c r="D219" s="18">
        <f>SUM(D220)</f>
        <v>61520</v>
      </c>
      <c r="E219" s="18">
        <f t="shared" si="624"/>
        <v>0</v>
      </c>
      <c r="F219" s="18">
        <f t="shared" si="624"/>
        <v>0</v>
      </c>
      <c r="G219" s="18">
        <f t="shared" si="624"/>
        <v>0</v>
      </c>
      <c r="H219" s="18">
        <f t="shared" si="624"/>
        <v>0</v>
      </c>
      <c r="I219" s="18">
        <f t="shared" si="624"/>
        <v>0</v>
      </c>
      <c r="J219" s="18">
        <f t="shared" si="624"/>
        <v>0</v>
      </c>
      <c r="K219" s="18">
        <f t="shared" si="624"/>
        <v>0</v>
      </c>
      <c r="L219" s="18">
        <f t="shared" si="624"/>
        <v>0</v>
      </c>
      <c r="M219" s="18">
        <f t="shared" si="624"/>
        <v>0</v>
      </c>
      <c r="N219" s="18">
        <f t="shared" si="624"/>
        <v>0</v>
      </c>
      <c r="O219" s="18">
        <f t="shared" si="624"/>
        <v>0</v>
      </c>
      <c r="P219" s="18">
        <f t="shared" si="624"/>
        <v>0</v>
      </c>
      <c r="Q219" s="18">
        <f t="shared" si="624"/>
        <v>0</v>
      </c>
      <c r="R219" s="18">
        <f t="shared" si="624"/>
        <v>0</v>
      </c>
      <c r="S219" s="18">
        <f t="shared" si="624"/>
        <v>0</v>
      </c>
      <c r="T219" s="18">
        <f t="shared" si="624"/>
        <v>0</v>
      </c>
      <c r="U219" s="18">
        <f t="shared" si="624"/>
        <v>0</v>
      </c>
      <c r="V219" s="18">
        <f t="shared" si="624"/>
        <v>0</v>
      </c>
      <c r="W219" s="18">
        <f t="shared" si="624"/>
        <v>0</v>
      </c>
      <c r="X219" s="18">
        <f t="shared" si="624"/>
        <v>0</v>
      </c>
      <c r="Y219" s="18">
        <f t="shared" si="624"/>
        <v>0</v>
      </c>
      <c r="Z219" s="18">
        <f t="shared" si="624"/>
        <v>0</v>
      </c>
      <c r="AA219" s="18">
        <f t="shared" si="624"/>
        <v>0</v>
      </c>
      <c r="AB219" s="18">
        <f t="shared" si="624"/>
        <v>0</v>
      </c>
      <c r="AC219" s="18">
        <f t="shared" si="624"/>
        <v>0</v>
      </c>
      <c r="AD219" s="18">
        <f t="shared" si="624"/>
        <v>0</v>
      </c>
      <c r="AE219" s="18">
        <f t="shared" si="624"/>
        <v>0</v>
      </c>
      <c r="AF219" s="18">
        <f t="shared" si="624"/>
        <v>0</v>
      </c>
      <c r="AG219" s="18">
        <f t="shared" si="624"/>
        <v>0</v>
      </c>
      <c r="AH219" s="18">
        <f t="shared" si="624"/>
        <v>0</v>
      </c>
      <c r="AI219" s="18">
        <f t="shared" si="624"/>
        <v>0</v>
      </c>
      <c r="AJ219" s="18">
        <f t="shared" si="624"/>
        <v>0</v>
      </c>
      <c r="AK219" s="18">
        <f t="shared" si="624"/>
        <v>0</v>
      </c>
      <c r="AL219" s="18">
        <f t="shared" si="624"/>
        <v>0</v>
      </c>
      <c r="AM219" s="18">
        <f t="shared" si="624"/>
        <v>0</v>
      </c>
      <c r="AN219" s="18">
        <f t="shared" si="624"/>
        <v>0</v>
      </c>
      <c r="AO219" s="18">
        <f t="shared" si="624"/>
        <v>0</v>
      </c>
      <c r="AP219" s="18"/>
      <c r="AQ219" s="18">
        <f t="shared" si="624"/>
        <v>0</v>
      </c>
      <c r="AR219" s="18">
        <f t="shared" si="624"/>
        <v>0</v>
      </c>
      <c r="AS219" s="18">
        <f t="shared" si="624"/>
        <v>0</v>
      </c>
      <c r="AT219" s="18"/>
      <c r="AU219" s="18"/>
      <c r="AV219" s="18">
        <f t="shared" si="624"/>
        <v>0</v>
      </c>
      <c r="AW219" s="18">
        <f t="shared" si="624"/>
        <v>0</v>
      </c>
      <c r="AX219" s="18">
        <f>SUM(AX220)</f>
        <v>0</v>
      </c>
      <c r="AY219" s="18"/>
      <c r="AZ219" s="18">
        <f t="shared" si="624"/>
        <v>0</v>
      </c>
      <c r="BA219" s="18">
        <f t="shared" si="624"/>
        <v>0</v>
      </c>
      <c r="BB219" s="18">
        <f t="shared" si="624"/>
        <v>0</v>
      </c>
      <c r="BC219" s="18">
        <f t="shared" si="624"/>
        <v>0</v>
      </c>
      <c r="BD219" s="18">
        <f t="shared" si="624"/>
        <v>0</v>
      </c>
      <c r="BE219" s="18">
        <f t="shared" si="624"/>
        <v>0</v>
      </c>
      <c r="BF219" s="18">
        <f t="shared" si="624"/>
        <v>0</v>
      </c>
      <c r="BG219" s="18">
        <f t="shared" si="624"/>
        <v>0</v>
      </c>
      <c r="BH219" s="18">
        <f t="shared" si="624"/>
        <v>0</v>
      </c>
      <c r="BI219" s="18">
        <f t="shared" si="624"/>
        <v>0</v>
      </c>
      <c r="BJ219" s="18">
        <f t="shared" si="624"/>
        <v>0</v>
      </c>
      <c r="BK219" s="18">
        <f t="shared" si="624"/>
        <v>0</v>
      </c>
      <c r="BL219" s="18">
        <f t="shared" si="624"/>
        <v>0</v>
      </c>
      <c r="BM219" s="18">
        <f t="shared" si="625"/>
        <v>0</v>
      </c>
      <c r="BN219" s="18">
        <f t="shared" si="624"/>
        <v>0</v>
      </c>
      <c r="BO219" s="18">
        <f t="shared" si="624"/>
        <v>0</v>
      </c>
      <c r="BP219" s="18">
        <f t="shared" si="624"/>
        <v>0</v>
      </c>
      <c r="BQ219" s="18">
        <f t="shared" si="624"/>
        <v>0</v>
      </c>
      <c r="BR219" s="18">
        <f t="shared" si="624"/>
        <v>0</v>
      </c>
      <c r="BS219" s="18">
        <f t="shared" si="624"/>
        <v>0</v>
      </c>
      <c r="BT219" s="18">
        <f t="shared" si="624"/>
        <v>0</v>
      </c>
      <c r="BU219" s="18">
        <f t="shared" si="626"/>
        <v>0</v>
      </c>
      <c r="BV219" s="18">
        <f t="shared" si="626"/>
        <v>0</v>
      </c>
      <c r="BW219" s="18">
        <f t="shared" si="626"/>
        <v>0</v>
      </c>
      <c r="BX219" s="18">
        <f t="shared" si="626"/>
        <v>0</v>
      </c>
      <c r="BY219" s="18">
        <f t="shared" si="626"/>
        <v>0</v>
      </c>
      <c r="BZ219" s="18">
        <f t="shared" si="626"/>
        <v>61520</v>
      </c>
      <c r="CA219" s="18">
        <f t="shared" si="626"/>
        <v>0</v>
      </c>
      <c r="CB219" s="18">
        <f t="shared" si="626"/>
        <v>0</v>
      </c>
      <c r="CC219" s="18">
        <f t="shared" si="626"/>
        <v>0</v>
      </c>
      <c r="CD219" s="18">
        <f t="shared" si="626"/>
        <v>0</v>
      </c>
      <c r="CE219" s="18">
        <f t="shared" si="626"/>
        <v>0</v>
      </c>
      <c r="CF219" s="18">
        <f t="shared" si="626"/>
        <v>0</v>
      </c>
      <c r="CG219" s="18">
        <f t="shared" si="626"/>
        <v>0</v>
      </c>
      <c r="CH219" s="18">
        <f t="shared" si="626"/>
        <v>0</v>
      </c>
      <c r="CI219" s="18">
        <f t="shared" si="626"/>
        <v>0</v>
      </c>
      <c r="CJ219" s="18">
        <f t="shared" si="626"/>
        <v>0</v>
      </c>
      <c r="CK219" s="18">
        <f t="shared" si="626"/>
        <v>0</v>
      </c>
      <c r="CL219" s="18">
        <f t="shared" si="626"/>
        <v>0</v>
      </c>
      <c r="CM219" s="18">
        <f t="shared" si="626"/>
        <v>0</v>
      </c>
      <c r="CN219" s="18">
        <f t="shared" si="626"/>
        <v>0</v>
      </c>
      <c r="CO219" s="18"/>
      <c r="CP219" s="18"/>
      <c r="CQ219" s="18">
        <f>CQ220</f>
        <v>61520</v>
      </c>
      <c r="CR219" s="18">
        <f>CR220</f>
        <v>61520</v>
      </c>
      <c r="CS219" s="18">
        <f t="shared" si="626"/>
        <v>0</v>
      </c>
      <c r="CT219" s="18"/>
      <c r="CU219" s="18"/>
      <c r="CV219" s="18"/>
      <c r="CW219" s="18">
        <f t="shared" si="626"/>
        <v>0</v>
      </c>
      <c r="CX219" s="18">
        <f t="shared" si="626"/>
        <v>0</v>
      </c>
      <c r="CY219" s="18">
        <f t="shared" si="626"/>
        <v>0</v>
      </c>
      <c r="CZ219" s="46">
        <f t="shared" si="626"/>
        <v>0</v>
      </c>
      <c r="DA219" s="57"/>
    </row>
    <row r="220" spans="1:105" ht="15.75" x14ac:dyDescent="0.25">
      <c r="A220" s="80" t="s">
        <v>1</v>
      </c>
      <c r="B220" s="21" t="s">
        <v>101</v>
      </c>
      <c r="C220" s="22" t="s">
        <v>614</v>
      </c>
      <c r="D220" s="18">
        <f>SUM(E220+BZ220+CW220)</f>
        <v>61520</v>
      </c>
      <c r="E220" s="19">
        <f>SUM(F220+BA220)</f>
        <v>0</v>
      </c>
      <c r="F220" s="19">
        <f>SUM(G220+H220+I220+P220+S220+T220+U220+AD220)</f>
        <v>0</v>
      </c>
      <c r="G220" s="19">
        <v>0</v>
      </c>
      <c r="H220" s="19">
        <v>0</v>
      </c>
      <c r="I220" s="19">
        <f t="shared" ref="I220" si="628">SUM(J220:O220)</f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9">
        <f t="shared" ref="P220" si="629">SUM(Q220:R220)</f>
        <v>0</v>
      </c>
      <c r="Q220" s="19">
        <v>0</v>
      </c>
      <c r="R220" s="19">
        <v>0</v>
      </c>
      <c r="S220" s="19">
        <v>0</v>
      </c>
      <c r="T220" s="19">
        <v>0</v>
      </c>
      <c r="U220" s="19">
        <f t="shared" ref="U220" si="630">SUM(V220:AC220)</f>
        <v>0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0</v>
      </c>
      <c r="AB220" s="19">
        <v>0</v>
      </c>
      <c r="AC220" s="19">
        <v>0</v>
      </c>
      <c r="AD220" s="19">
        <f>SUM(AE220:AZ220)</f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/>
      <c r="AQ220" s="19">
        <v>0</v>
      </c>
      <c r="AR220" s="19">
        <v>0</v>
      </c>
      <c r="AS220" s="19">
        <v>0</v>
      </c>
      <c r="AT220" s="19"/>
      <c r="AU220" s="19"/>
      <c r="AV220" s="19">
        <v>0</v>
      </c>
      <c r="AW220" s="19">
        <v>0</v>
      </c>
      <c r="AX220" s="19">
        <v>0</v>
      </c>
      <c r="AY220" s="19"/>
      <c r="AZ220" s="19">
        <v>0</v>
      </c>
      <c r="BA220" s="19">
        <f>SUM(BB220+BF220+BI220+BK220+BN220)</f>
        <v>0</v>
      </c>
      <c r="BB220" s="19">
        <f>SUM(BC220:BE220)</f>
        <v>0</v>
      </c>
      <c r="BC220" s="19">
        <v>0</v>
      </c>
      <c r="BD220" s="19">
        <v>0</v>
      </c>
      <c r="BE220" s="19">
        <v>0</v>
      </c>
      <c r="BF220" s="19">
        <f>SUM(BH220:BH220)</f>
        <v>0</v>
      </c>
      <c r="BG220" s="19">
        <v>0</v>
      </c>
      <c r="BH220" s="19">
        <v>0</v>
      </c>
      <c r="BI220" s="19">
        <v>0</v>
      </c>
      <c r="BJ220" s="19">
        <v>0</v>
      </c>
      <c r="BK220" s="19">
        <f t="shared" ref="BK220" si="631">SUM(BL220)</f>
        <v>0</v>
      </c>
      <c r="BL220" s="19">
        <v>0</v>
      </c>
      <c r="BM220" s="19">
        <v>0</v>
      </c>
      <c r="BN220" s="19">
        <f>SUM(BO220:BY220)</f>
        <v>0</v>
      </c>
      <c r="BO220" s="19">
        <v>0</v>
      </c>
      <c r="BP220" s="19">
        <v>0</v>
      </c>
      <c r="BQ220" s="19">
        <v>0</v>
      </c>
      <c r="BR220" s="19">
        <v>0</v>
      </c>
      <c r="BS220" s="19">
        <v>0</v>
      </c>
      <c r="BT220" s="19">
        <v>0</v>
      </c>
      <c r="BU220" s="19">
        <v>0</v>
      </c>
      <c r="BV220" s="19">
        <v>0</v>
      </c>
      <c r="BW220" s="19">
        <v>0</v>
      </c>
      <c r="BX220" s="19">
        <v>0</v>
      </c>
      <c r="BY220" s="19">
        <v>0</v>
      </c>
      <c r="BZ220" s="19">
        <f>SUM(CA220+CS220)+CQ220</f>
        <v>61520</v>
      </c>
      <c r="CA220" s="19">
        <f>SUM(CB220+CE220+CK220)</f>
        <v>0</v>
      </c>
      <c r="CB220" s="19">
        <f t="shared" ref="CB220" si="632">SUM(CC220:CD220)</f>
        <v>0</v>
      </c>
      <c r="CC220" s="19">
        <v>0</v>
      </c>
      <c r="CD220" s="19">
        <v>0</v>
      </c>
      <c r="CE220" s="19">
        <f>SUM(CF220:CJ220)</f>
        <v>0</v>
      </c>
      <c r="CF220" s="19">
        <v>0</v>
      </c>
      <c r="CG220" s="19">
        <v>0</v>
      </c>
      <c r="CH220" s="19">
        <v>0</v>
      </c>
      <c r="CI220" s="19">
        <v>0</v>
      </c>
      <c r="CJ220" s="19">
        <v>0</v>
      </c>
      <c r="CK220" s="19">
        <f>SUM(CL220:CP220)</f>
        <v>0</v>
      </c>
      <c r="CL220" s="19">
        <v>0</v>
      </c>
      <c r="CM220" s="19">
        <v>0</v>
      </c>
      <c r="CN220" s="19">
        <v>0</v>
      </c>
      <c r="CO220" s="19"/>
      <c r="CP220" s="19"/>
      <c r="CQ220" s="19">
        <f>CR220</f>
        <v>61520</v>
      </c>
      <c r="CR220" s="19">
        <f>0+61520</f>
        <v>61520</v>
      </c>
      <c r="CS220" s="19">
        <v>0</v>
      </c>
      <c r="CT220" s="19"/>
      <c r="CU220" s="19"/>
      <c r="CV220" s="19"/>
      <c r="CW220" s="19">
        <f t="shared" ref="CW220" si="633">SUM(CX220)</f>
        <v>0</v>
      </c>
      <c r="CX220" s="19">
        <f t="shared" ref="CX220" si="634">SUM(CY220:CZ220)</f>
        <v>0</v>
      </c>
      <c r="CY220" s="23"/>
      <c r="CZ220" s="20">
        <v>0</v>
      </c>
    </row>
    <row r="221" spans="1:105" s="58" customFormat="1" ht="31.5" x14ac:dyDescent="0.25">
      <c r="A221" s="81" t="s">
        <v>305</v>
      </c>
      <c r="B221" s="25" t="s">
        <v>1</v>
      </c>
      <c r="C221" s="26" t="s">
        <v>306</v>
      </c>
      <c r="D221" s="27">
        <f>SUM(D222)</f>
        <v>336517337</v>
      </c>
      <c r="E221" s="27">
        <f t="shared" ref="E221:BT221" si="635">SUM(E222)</f>
        <v>336517337</v>
      </c>
      <c r="F221" s="27">
        <f t="shared" si="635"/>
        <v>0</v>
      </c>
      <c r="G221" s="27">
        <f t="shared" si="635"/>
        <v>0</v>
      </c>
      <c r="H221" s="27">
        <f t="shared" si="635"/>
        <v>0</v>
      </c>
      <c r="I221" s="27">
        <f t="shared" si="635"/>
        <v>0</v>
      </c>
      <c r="J221" s="27">
        <f t="shared" si="635"/>
        <v>0</v>
      </c>
      <c r="K221" s="27">
        <f t="shared" si="635"/>
        <v>0</v>
      </c>
      <c r="L221" s="27">
        <f t="shared" si="635"/>
        <v>0</v>
      </c>
      <c r="M221" s="27">
        <f t="shared" si="635"/>
        <v>0</v>
      </c>
      <c r="N221" s="27">
        <f t="shared" si="635"/>
        <v>0</v>
      </c>
      <c r="O221" s="27">
        <f t="shared" si="635"/>
        <v>0</v>
      </c>
      <c r="P221" s="27">
        <f t="shared" si="635"/>
        <v>0</v>
      </c>
      <c r="Q221" s="27">
        <f t="shared" si="635"/>
        <v>0</v>
      </c>
      <c r="R221" s="27">
        <f t="shared" si="635"/>
        <v>0</v>
      </c>
      <c r="S221" s="27">
        <f t="shared" si="635"/>
        <v>0</v>
      </c>
      <c r="T221" s="27">
        <f t="shared" si="635"/>
        <v>0</v>
      </c>
      <c r="U221" s="27">
        <f t="shared" si="635"/>
        <v>0</v>
      </c>
      <c r="V221" s="27">
        <f t="shared" si="635"/>
        <v>0</v>
      </c>
      <c r="W221" s="27">
        <f t="shared" si="635"/>
        <v>0</v>
      </c>
      <c r="X221" s="27">
        <f t="shared" si="635"/>
        <v>0</v>
      </c>
      <c r="Y221" s="27">
        <f t="shared" si="635"/>
        <v>0</v>
      </c>
      <c r="Z221" s="27">
        <f t="shared" si="635"/>
        <v>0</v>
      </c>
      <c r="AA221" s="27">
        <f t="shared" si="635"/>
        <v>0</v>
      </c>
      <c r="AB221" s="27">
        <f t="shared" si="635"/>
        <v>0</v>
      </c>
      <c r="AC221" s="27">
        <f t="shared" si="635"/>
        <v>0</v>
      </c>
      <c r="AD221" s="27">
        <f t="shared" si="635"/>
        <v>0</v>
      </c>
      <c r="AE221" s="27">
        <f t="shared" si="635"/>
        <v>0</v>
      </c>
      <c r="AF221" s="27">
        <f t="shared" si="635"/>
        <v>0</v>
      </c>
      <c r="AG221" s="27">
        <f t="shared" si="635"/>
        <v>0</v>
      </c>
      <c r="AH221" s="27">
        <f t="shared" si="635"/>
        <v>0</v>
      </c>
      <c r="AI221" s="27">
        <f t="shared" si="635"/>
        <v>0</v>
      </c>
      <c r="AJ221" s="27">
        <f t="shared" si="635"/>
        <v>0</v>
      </c>
      <c r="AK221" s="27">
        <f t="shared" si="635"/>
        <v>0</v>
      </c>
      <c r="AL221" s="27">
        <f t="shared" si="635"/>
        <v>0</v>
      </c>
      <c r="AM221" s="27">
        <f t="shared" si="635"/>
        <v>0</v>
      </c>
      <c r="AN221" s="27">
        <f t="shared" si="635"/>
        <v>0</v>
      </c>
      <c r="AO221" s="27">
        <f t="shared" si="635"/>
        <v>0</v>
      </c>
      <c r="AP221" s="27"/>
      <c r="AQ221" s="27">
        <f t="shared" si="635"/>
        <v>0</v>
      </c>
      <c r="AR221" s="27">
        <f t="shared" si="635"/>
        <v>0</v>
      </c>
      <c r="AS221" s="27">
        <f t="shared" si="635"/>
        <v>0</v>
      </c>
      <c r="AT221" s="27"/>
      <c r="AU221" s="27"/>
      <c r="AV221" s="27">
        <f t="shared" si="635"/>
        <v>0</v>
      </c>
      <c r="AW221" s="27">
        <f t="shared" si="635"/>
        <v>0</v>
      </c>
      <c r="AX221" s="27">
        <f t="shared" si="635"/>
        <v>0</v>
      </c>
      <c r="AY221" s="27"/>
      <c r="AZ221" s="27">
        <f t="shared" si="635"/>
        <v>0</v>
      </c>
      <c r="BA221" s="27">
        <f t="shared" si="635"/>
        <v>336517337</v>
      </c>
      <c r="BB221" s="27">
        <f t="shared" si="635"/>
        <v>1642671</v>
      </c>
      <c r="BC221" s="27">
        <f t="shared" si="635"/>
        <v>1642671</v>
      </c>
      <c r="BD221" s="27">
        <f t="shared" si="635"/>
        <v>0</v>
      </c>
      <c r="BE221" s="27">
        <f t="shared" si="635"/>
        <v>0</v>
      </c>
      <c r="BF221" s="27">
        <f t="shared" si="635"/>
        <v>0</v>
      </c>
      <c r="BG221" s="27">
        <f t="shared" si="635"/>
        <v>0</v>
      </c>
      <c r="BH221" s="27">
        <f t="shared" si="635"/>
        <v>0</v>
      </c>
      <c r="BI221" s="27">
        <f t="shared" si="635"/>
        <v>334874666</v>
      </c>
      <c r="BJ221" s="27">
        <f t="shared" si="635"/>
        <v>0</v>
      </c>
      <c r="BK221" s="27">
        <f t="shared" si="635"/>
        <v>0</v>
      </c>
      <c r="BL221" s="27">
        <f t="shared" si="635"/>
        <v>0</v>
      </c>
      <c r="BM221" s="27">
        <f t="shared" si="635"/>
        <v>0</v>
      </c>
      <c r="BN221" s="27">
        <f t="shared" si="635"/>
        <v>0</v>
      </c>
      <c r="BO221" s="27">
        <f t="shared" si="635"/>
        <v>0</v>
      </c>
      <c r="BP221" s="27">
        <f t="shared" si="635"/>
        <v>0</v>
      </c>
      <c r="BQ221" s="27">
        <f t="shared" si="635"/>
        <v>0</v>
      </c>
      <c r="BR221" s="27">
        <f t="shared" si="635"/>
        <v>0</v>
      </c>
      <c r="BS221" s="27">
        <f t="shared" si="635"/>
        <v>0</v>
      </c>
      <c r="BT221" s="27">
        <f t="shared" si="635"/>
        <v>0</v>
      </c>
      <c r="BU221" s="27">
        <f t="shared" ref="BU221:CZ221" si="636">SUM(BU222)</f>
        <v>0</v>
      </c>
      <c r="BV221" s="27">
        <f t="shared" si="636"/>
        <v>0</v>
      </c>
      <c r="BW221" s="27">
        <f t="shared" si="636"/>
        <v>0</v>
      </c>
      <c r="BX221" s="27">
        <f t="shared" si="636"/>
        <v>0</v>
      </c>
      <c r="BY221" s="27">
        <f t="shared" si="636"/>
        <v>0</v>
      </c>
      <c r="BZ221" s="27">
        <f t="shared" si="636"/>
        <v>0</v>
      </c>
      <c r="CA221" s="27">
        <f t="shared" si="636"/>
        <v>0</v>
      </c>
      <c r="CB221" s="27">
        <f t="shared" si="636"/>
        <v>0</v>
      </c>
      <c r="CC221" s="27">
        <f t="shared" si="636"/>
        <v>0</v>
      </c>
      <c r="CD221" s="27">
        <f t="shared" si="636"/>
        <v>0</v>
      </c>
      <c r="CE221" s="27">
        <f t="shared" si="636"/>
        <v>0</v>
      </c>
      <c r="CF221" s="27">
        <f t="shared" si="636"/>
        <v>0</v>
      </c>
      <c r="CG221" s="27">
        <f t="shared" si="636"/>
        <v>0</v>
      </c>
      <c r="CH221" s="27">
        <f t="shared" si="636"/>
        <v>0</v>
      </c>
      <c r="CI221" s="27">
        <f t="shared" si="636"/>
        <v>0</v>
      </c>
      <c r="CJ221" s="27">
        <f t="shared" si="636"/>
        <v>0</v>
      </c>
      <c r="CK221" s="27">
        <f t="shared" si="636"/>
        <v>0</v>
      </c>
      <c r="CL221" s="27">
        <f t="shared" si="636"/>
        <v>0</v>
      </c>
      <c r="CM221" s="27">
        <f t="shared" si="636"/>
        <v>0</v>
      </c>
      <c r="CN221" s="27">
        <f t="shared" si="636"/>
        <v>0</v>
      </c>
      <c r="CO221" s="27"/>
      <c r="CP221" s="27"/>
      <c r="CQ221" s="27"/>
      <c r="CR221" s="27"/>
      <c r="CS221" s="27">
        <f t="shared" si="636"/>
        <v>0</v>
      </c>
      <c r="CT221" s="27"/>
      <c r="CU221" s="27"/>
      <c r="CV221" s="27"/>
      <c r="CW221" s="27">
        <f t="shared" si="636"/>
        <v>0</v>
      </c>
      <c r="CX221" s="27">
        <f t="shared" si="636"/>
        <v>0</v>
      </c>
      <c r="CY221" s="27">
        <f t="shared" si="636"/>
        <v>0</v>
      </c>
      <c r="CZ221" s="60">
        <f t="shared" si="636"/>
        <v>0</v>
      </c>
      <c r="DA221" s="57"/>
    </row>
    <row r="222" spans="1:105" s="58" customFormat="1" ht="31.5" x14ac:dyDescent="0.25">
      <c r="A222" s="79" t="s">
        <v>307</v>
      </c>
      <c r="B222" s="16" t="s">
        <v>1</v>
      </c>
      <c r="C222" s="17" t="s">
        <v>528</v>
      </c>
      <c r="D222" s="18">
        <f>SUM(D223:D224)</f>
        <v>336517337</v>
      </c>
      <c r="E222" s="18">
        <f t="shared" ref="E222:BT222" si="637">SUM(E223:E224)</f>
        <v>336517337</v>
      </c>
      <c r="F222" s="18">
        <f t="shared" si="637"/>
        <v>0</v>
      </c>
      <c r="G222" s="18">
        <f t="shared" si="637"/>
        <v>0</v>
      </c>
      <c r="H222" s="18">
        <f t="shared" si="637"/>
        <v>0</v>
      </c>
      <c r="I222" s="18">
        <f t="shared" si="637"/>
        <v>0</v>
      </c>
      <c r="J222" s="18">
        <f t="shared" si="637"/>
        <v>0</v>
      </c>
      <c r="K222" s="18">
        <f t="shared" si="637"/>
        <v>0</v>
      </c>
      <c r="L222" s="18">
        <f t="shared" si="637"/>
        <v>0</v>
      </c>
      <c r="M222" s="18">
        <f t="shared" si="637"/>
        <v>0</v>
      </c>
      <c r="N222" s="18">
        <f t="shared" si="637"/>
        <v>0</v>
      </c>
      <c r="O222" s="18">
        <f t="shared" si="637"/>
        <v>0</v>
      </c>
      <c r="P222" s="18">
        <f t="shared" si="637"/>
        <v>0</v>
      </c>
      <c r="Q222" s="18">
        <f t="shared" si="637"/>
        <v>0</v>
      </c>
      <c r="R222" s="18">
        <f t="shared" si="637"/>
        <v>0</v>
      </c>
      <c r="S222" s="18">
        <f t="shared" si="637"/>
        <v>0</v>
      </c>
      <c r="T222" s="18">
        <f t="shared" si="637"/>
        <v>0</v>
      </c>
      <c r="U222" s="18">
        <f t="shared" si="637"/>
        <v>0</v>
      </c>
      <c r="V222" s="18">
        <f t="shared" si="637"/>
        <v>0</v>
      </c>
      <c r="W222" s="18">
        <f t="shared" si="637"/>
        <v>0</v>
      </c>
      <c r="X222" s="18">
        <f t="shared" si="637"/>
        <v>0</v>
      </c>
      <c r="Y222" s="18">
        <f t="shared" si="637"/>
        <v>0</v>
      </c>
      <c r="Z222" s="18">
        <f t="shared" si="637"/>
        <v>0</v>
      </c>
      <c r="AA222" s="18">
        <f t="shared" si="637"/>
        <v>0</v>
      </c>
      <c r="AB222" s="18">
        <f t="shared" si="637"/>
        <v>0</v>
      </c>
      <c r="AC222" s="18">
        <f t="shared" si="637"/>
        <v>0</v>
      </c>
      <c r="AD222" s="18">
        <f t="shared" si="637"/>
        <v>0</v>
      </c>
      <c r="AE222" s="18">
        <f t="shared" si="637"/>
        <v>0</v>
      </c>
      <c r="AF222" s="18">
        <f t="shared" si="637"/>
        <v>0</v>
      </c>
      <c r="AG222" s="18">
        <f t="shared" si="637"/>
        <v>0</v>
      </c>
      <c r="AH222" s="18">
        <f t="shared" si="637"/>
        <v>0</v>
      </c>
      <c r="AI222" s="18">
        <f t="shared" si="637"/>
        <v>0</v>
      </c>
      <c r="AJ222" s="18">
        <f t="shared" si="637"/>
        <v>0</v>
      </c>
      <c r="AK222" s="18">
        <f t="shared" si="637"/>
        <v>0</v>
      </c>
      <c r="AL222" s="18">
        <f t="shared" si="637"/>
        <v>0</v>
      </c>
      <c r="AM222" s="18">
        <f t="shared" si="637"/>
        <v>0</v>
      </c>
      <c r="AN222" s="18">
        <f t="shared" si="637"/>
        <v>0</v>
      </c>
      <c r="AO222" s="18">
        <f t="shared" si="637"/>
        <v>0</v>
      </c>
      <c r="AP222" s="18"/>
      <c r="AQ222" s="18">
        <f t="shared" si="637"/>
        <v>0</v>
      </c>
      <c r="AR222" s="18">
        <f t="shared" si="637"/>
        <v>0</v>
      </c>
      <c r="AS222" s="18">
        <f t="shared" si="637"/>
        <v>0</v>
      </c>
      <c r="AT222" s="18"/>
      <c r="AU222" s="18"/>
      <c r="AV222" s="18">
        <f t="shared" si="637"/>
        <v>0</v>
      </c>
      <c r="AW222" s="18">
        <f t="shared" si="637"/>
        <v>0</v>
      </c>
      <c r="AX222" s="18">
        <f t="shared" si="637"/>
        <v>0</v>
      </c>
      <c r="AY222" s="18"/>
      <c r="AZ222" s="18">
        <f t="shared" si="637"/>
        <v>0</v>
      </c>
      <c r="BA222" s="18">
        <f t="shared" si="637"/>
        <v>336517337</v>
      </c>
      <c r="BB222" s="18">
        <f t="shared" si="637"/>
        <v>1642671</v>
      </c>
      <c r="BC222" s="18">
        <f t="shared" si="637"/>
        <v>1642671</v>
      </c>
      <c r="BD222" s="18">
        <f t="shared" si="637"/>
        <v>0</v>
      </c>
      <c r="BE222" s="18">
        <f t="shared" si="637"/>
        <v>0</v>
      </c>
      <c r="BF222" s="18">
        <f t="shared" si="637"/>
        <v>0</v>
      </c>
      <c r="BG222" s="18">
        <f t="shared" si="637"/>
        <v>0</v>
      </c>
      <c r="BH222" s="18">
        <f t="shared" si="637"/>
        <v>0</v>
      </c>
      <c r="BI222" s="18">
        <f t="shared" si="637"/>
        <v>334874666</v>
      </c>
      <c r="BJ222" s="18">
        <f t="shared" ref="BJ222" si="638">SUM(BJ223:BJ224)</f>
        <v>0</v>
      </c>
      <c r="BK222" s="18">
        <f t="shared" si="637"/>
        <v>0</v>
      </c>
      <c r="BL222" s="18">
        <f t="shared" si="637"/>
        <v>0</v>
      </c>
      <c r="BM222" s="18">
        <f t="shared" ref="BM222" si="639">SUM(BM223:BM224)</f>
        <v>0</v>
      </c>
      <c r="BN222" s="18">
        <f t="shared" si="637"/>
        <v>0</v>
      </c>
      <c r="BO222" s="18">
        <f t="shared" si="637"/>
        <v>0</v>
      </c>
      <c r="BP222" s="18">
        <f t="shared" si="637"/>
        <v>0</v>
      </c>
      <c r="BQ222" s="18">
        <f t="shared" si="637"/>
        <v>0</v>
      </c>
      <c r="BR222" s="18">
        <f t="shared" si="637"/>
        <v>0</v>
      </c>
      <c r="BS222" s="18">
        <f t="shared" si="637"/>
        <v>0</v>
      </c>
      <c r="BT222" s="18">
        <f t="shared" si="637"/>
        <v>0</v>
      </c>
      <c r="BU222" s="18">
        <f t="shared" ref="BU222:CZ222" si="640">SUM(BU223:BU224)</f>
        <v>0</v>
      </c>
      <c r="BV222" s="18">
        <f t="shared" si="640"/>
        <v>0</v>
      </c>
      <c r="BW222" s="18">
        <f t="shared" si="640"/>
        <v>0</v>
      </c>
      <c r="BX222" s="18">
        <f t="shared" si="640"/>
        <v>0</v>
      </c>
      <c r="BY222" s="18">
        <f t="shared" si="640"/>
        <v>0</v>
      </c>
      <c r="BZ222" s="18">
        <f t="shared" si="640"/>
        <v>0</v>
      </c>
      <c r="CA222" s="18">
        <f t="shared" si="640"/>
        <v>0</v>
      </c>
      <c r="CB222" s="18">
        <f t="shared" si="640"/>
        <v>0</v>
      </c>
      <c r="CC222" s="18">
        <f t="shared" si="640"/>
        <v>0</v>
      </c>
      <c r="CD222" s="18">
        <f t="shared" si="640"/>
        <v>0</v>
      </c>
      <c r="CE222" s="18">
        <f t="shared" si="640"/>
        <v>0</v>
      </c>
      <c r="CF222" s="18">
        <f t="shared" si="640"/>
        <v>0</v>
      </c>
      <c r="CG222" s="18">
        <f t="shared" ref="CG222:CH222" si="641">SUM(CG223:CG224)</f>
        <v>0</v>
      </c>
      <c r="CH222" s="18">
        <f t="shared" si="641"/>
        <v>0</v>
      </c>
      <c r="CI222" s="18">
        <f t="shared" si="640"/>
        <v>0</v>
      </c>
      <c r="CJ222" s="18">
        <f t="shared" ref="CJ222" si="642">SUM(CJ223:CJ224)</f>
        <v>0</v>
      </c>
      <c r="CK222" s="18">
        <f t="shared" si="640"/>
        <v>0</v>
      </c>
      <c r="CL222" s="18">
        <f t="shared" si="640"/>
        <v>0</v>
      </c>
      <c r="CM222" s="18">
        <f t="shared" ref="CM222" si="643">SUM(CM223:CM224)</f>
        <v>0</v>
      </c>
      <c r="CN222" s="18">
        <f t="shared" si="640"/>
        <v>0</v>
      </c>
      <c r="CO222" s="18"/>
      <c r="CP222" s="18"/>
      <c r="CQ222" s="18"/>
      <c r="CR222" s="18"/>
      <c r="CS222" s="18">
        <f t="shared" si="640"/>
        <v>0</v>
      </c>
      <c r="CT222" s="18"/>
      <c r="CU222" s="18"/>
      <c r="CV222" s="18"/>
      <c r="CW222" s="18">
        <f t="shared" si="640"/>
        <v>0</v>
      </c>
      <c r="CX222" s="18">
        <f t="shared" si="640"/>
        <v>0</v>
      </c>
      <c r="CY222" s="18">
        <f t="shared" si="640"/>
        <v>0</v>
      </c>
      <c r="CZ222" s="46">
        <f t="shared" si="640"/>
        <v>0</v>
      </c>
      <c r="DA222" s="57"/>
    </row>
    <row r="223" spans="1:105" ht="31.5" x14ac:dyDescent="0.25">
      <c r="A223" s="80" t="s">
        <v>1</v>
      </c>
      <c r="B223" s="34" t="s">
        <v>80</v>
      </c>
      <c r="C223" s="31" t="s">
        <v>308</v>
      </c>
      <c r="D223" s="18">
        <f>SUM(E223+BZ223+CW223)</f>
        <v>1642671</v>
      </c>
      <c r="E223" s="19">
        <f>SUM(F223+BA223)</f>
        <v>1642671</v>
      </c>
      <c r="F223" s="19">
        <f t="shared" ref="F223:F224" si="644">SUM(G223+H223+I223+P223+S223+T223+U223+AD223)</f>
        <v>0</v>
      </c>
      <c r="G223" s="19">
        <v>0</v>
      </c>
      <c r="H223" s="19">
        <v>0</v>
      </c>
      <c r="I223" s="19">
        <f t="shared" si="354"/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f t="shared" si="355"/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f t="shared" ref="U223:U224" si="645">SUM(V223:AC223)</f>
        <v>0</v>
      </c>
      <c r="V223" s="19">
        <v>0</v>
      </c>
      <c r="W223" s="19">
        <v>0</v>
      </c>
      <c r="X223" s="19">
        <v>0</v>
      </c>
      <c r="Y223" s="19">
        <v>0</v>
      </c>
      <c r="Z223" s="19">
        <v>0</v>
      </c>
      <c r="AA223" s="19">
        <v>0</v>
      </c>
      <c r="AB223" s="19">
        <v>0</v>
      </c>
      <c r="AC223" s="19">
        <v>0</v>
      </c>
      <c r="AD223" s="19">
        <f>SUM(AE223:AZ223)</f>
        <v>0</v>
      </c>
      <c r="AE223" s="19">
        <v>0</v>
      </c>
      <c r="AF223" s="19">
        <v>0</v>
      </c>
      <c r="AG223" s="19">
        <v>0</v>
      </c>
      <c r="AH223" s="19">
        <v>0</v>
      </c>
      <c r="AI223" s="19">
        <v>0</v>
      </c>
      <c r="AJ223" s="19">
        <v>0</v>
      </c>
      <c r="AK223" s="19">
        <v>0</v>
      </c>
      <c r="AL223" s="19">
        <v>0</v>
      </c>
      <c r="AM223" s="19">
        <v>0</v>
      </c>
      <c r="AN223" s="19">
        <v>0</v>
      </c>
      <c r="AO223" s="19">
        <v>0</v>
      </c>
      <c r="AP223" s="19"/>
      <c r="AQ223" s="19">
        <v>0</v>
      </c>
      <c r="AR223" s="19">
        <v>0</v>
      </c>
      <c r="AS223" s="19">
        <v>0</v>
      </c>
      <c r="AT223" s="19"/>
      <c r="AU223" s="19"/>
      <c r="AV223" s="19">
        <v>0</v>
      </c>
      <c r="AW223" s="19">
        <v>0</v>
      </c>
      <c r="AX223" s="19">
        <v>0</v>
      </c>
      <c r="AY223" s="19"/>
      <c r="AZ223" s="19">
        <v>0</v>
      </c>
      <c r="BA223" s="19">
        <f>SUM(BB223+BF223+BI223+BK223+BN223)</f>
        <v>1642671</v>
      </c>
      <c r="BB223" s="19">
        <f>SUM(BC223:BE223)</f>
        <v>1642671</v>
      </c>
      <c r="BC223" s="23">
        <v>1642671</v>
      </c>
      <c r="BD223" s="19">
        <v>0</v>
      </c>
      <c r="BE223" s="19">
        <v>0</v>
      </c>
      <c r="BF223" s="19">
        <f>SUM(BH223:BH223)</f>
        <v>0</v>
      </c>
      <c r="BG223" s="19">
        <v>0</v>
      </c>
      <c r="BH223" s="19">
        <v>0</v>
      </c>
      <c r="BI223" s="19"/>
      <c r="BJ223" s="19">
        <v>0</v>
      </c>
      <c r="BK223" s="19">
        <f t="shared" si="357"/>
        <v>0</v>
      </c>
      <c r="BL223" s="19">
        <v>0</v>
      </c>
      <c r="BM223" s="19">
        <v>0</v>
      </c>
      <c r="BN223" s="19">
        <f>SUM(BO223:BY223)</f>
        <v>0</v>
      </c>
      <c r="BO223" s="19">
        <v>0</v>
      </c>
      <c r="BP223" s="19">
        <v>0</v>
      </c>
      <c r="BQ223" s="19">
        <v>0</v>
      </c>
      <c r="BR223" s="19">
        <v>0</v>
      </c>
      <c r="BS223" s="19">
        <v>0</v>
      </c>
      <c r="BT223" s="19">
        <v>0</v>
      </c>
      <c r="BU223" s="19">
        <v>0</v>
      </c>
      <c r="BV223" s="19">
        <v>0</v>
      </c>
      <c r="BW223" s="19">
        <v>0</v>
      </c>
      <c r="BX223" s="19">
        <v>0</v>
      </c>
      <c r="BY223" s="19">
        <v>0</v>
      </c>
      <c r="BZ223" s="19">
        <f>SUM(CA223+CS223)</f>
        <v>0</v>
      </c>
      <c r="CA223" s="19">
        <f>SUM(CB223+CE223+CK223)</f>
        <v>0</v>
      </c>
      <c r="CB223" s="19">
        <f t="shared" si="358"/>
        <v>0</v>
      </c>
      <c r="CC223" s="19">
        <v>0</v>
      </c>
      <c r="CD223" s="19">
        <v>0</v>
      </c>
      <c r="CE223" s="19">
        <f>SUM(CF223:CJ223)</f>
        <v>0</v>
      </c>
      <c r="CF223" s="19">
        <v>0</v>
      </c>
      <c r="CG223" s="19">
        <v>0</v>
      </c>
      <c r="CH223" s="19">
        <v>0</v>
      </c>
      <c r="CI223" s="19">
        <v>0</v>
      </c>
      <c r="CJ223" s="19">
        <v>0</v>
      </c>
      <c r="CK223" s="19">
        <f>SUM(CL223:CP223)</f>
        <v>0</v>
      </c>
      <c r="CL223" s="19">
        <v>0</v>
      </c>
      <c r="CM223" s="19">
        <v>0</v>
      </c>
      <c r="CN223" s="19">
        <v>0</v>
      </c>
      <c r="CO223" s="19"/>
      <c r="CP223" s="19"/>
      <c r="CQ223" s="19"/>
      <c r="CR223" s="19"/>
      <c r="CS223" s="19">
        <v>0</v>
      </c>
      <c r="CT223" s="19"/>
      <c r="CU223" s="19"/>
      <c r="CV223" s="19"/>
      <c r="CW223" s="19">
        <f t="shared" si="360"/>
        <v>0</v>
      </c>
      <c r="CX223" s="19">
        <f t="shared" si="361"/>
        <v>0</v>
      </c>
      <c r="CY223" s="19">
        <v>0</v>
      </c>
      <c r="CZ223" s="20">
        <v>0</v>
      </c>
    </row>
    <row r="224" spans="1:105" ht="31.5" x14ac:dyDescent="0.25">
      <c r="A224" s="80" t="s">
        <v>1</v>
      </c>
      <c r="B224" s="34" t="s">
        <v>103</v>
      </c>
      <c r="C224" s="31" t="s">
        <v>490</v>
      </c>
      <c r="D224" s="18">
        <f>SUM(E224+BZ224+CW224)</f>
        <v>334874666</v>
      </c>
      <c r="E224" s="19">
        <f>SUM(F224+BA224)</f>
        <v>334874666</v>
      </c>
      <c r="F224" s="19">
        <f t="shared" si="644"/>
        <v>0</v>
      </c>
      <c r="G224" s="19">
        <v>0</v>
      </c>
      <c r="H224" s="19">
        <v>0</v>
      </c>
      <c r="I224" s="19">
        <f t="shared" si="354"/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f t="shared" si="355"/>
        <v>0</v>
      </c>
      <c r="Q224" s="19">
        <v>0</v>
      </c>
      <c r="R224" s="19">
        <v>0</v>
      </c>
      <c r="S224" s="19">
        <v>0</v>
      </c>
      <c r="T224" s="19">
        <v>0</v>
      </c>
      <c r="U224" s="19">
        <f t="shared" si="645"/>
        <v>0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0</v>
      </c>
      <c r="AB224" s="19">
        <v>0</v>
      </c>
      <c r="AC224" s="19">
        <v>0</v>
      </c>
      <c r="AD224" s="19">
        <f>SUM(AE224:AZ224)</f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/>
      <c r="AQ224" s="19">
        <v>0</v>
      </c>
      <c r="AR224" s="19">
        <v>0</v>
      </c>
      <c r="AS224" s="19">
        <v>0</v>
      </c>
      <c r="AT224" s="19"/>
      <c r="AU224" s="19"/>
      <c r="AV224" s="19">
        <v>0</v>
      </c>
      <c r="AW224" s="19">
        <v>0</v>
      </c>
      <c r="AX224" s="19">
        <v>0</v>
      </c>
      <c r="AY224" s="19"/>
      <c r="AZ224" s="19">
        <v>0</v>
      </c>
      <c r="BA224" s="19">
        <f>SUM(BB224+BF224+BI224+BK224+BN224)</f>
        <v>334874666</v>
      </c>
      <c r="BB224" s="19">
        <f>SUM(BC224:BE224)</f>
        <v>0</v>
      </c>
      <c r="BC224" s="19"/>
      <c r="BD224" s="19">
        <v>0</v>
      </c>
      <c r="BE224" s="19">
        <v>0</v>
      </c>
      <c r="BF224" s="19">
        <f>SUM(BH224:BH224)</f>
        <v>0</v>
      </c>
      <c r="BG224" s="19">
        <v>0</v>
      </c>
      <c r="BH224" s="19">
        <v>0</v>
      </c>
      <c r="BI224" s="23">
        <f>227061849+107812817</f>
        <v>334874666</v>
      </c>
      <c r="BJ224" s="19">
        <v>0</v>
      </c>
      <c r="BK224" s="19">
        <f t="shared" si="357"/>
        <v>0</v>
      </c>
      <c r="BL224" s="19">
        <v>0</v>
      </c>
      <c r="BM224" s="19">
        <v>0</v>
      </c>
      <c r="BN224" s="19">
        <f>SUM(BO224:BY224)</f>
        <v>0</v>
      </c>
      <c r="BO224" s="19">
        <v>0</v>
      </c>
      <c r="BP224" s="19">
        <v>0</v>
      </c>
      <c r="BQ224" s="19">
        <v>0</v>
      </c>
      <c r="BR224" s="19">
        <v>0</v>
      </c>
      <c r="BS224" s="19">
        <v>0</v>
      </c>
      <c r="BT224" s="19">
        <v>0</v>
      </c>
      <c r="BU224" s="19">
        <v>0</v>
      </c>
      <c r="BV224" s="19">
        <v>0</v>
      </c>
      <c r="BW224" s="19">
        <v>0</v>
      </c>
      <c r="BX224" s="19">
        <v>0</v>
      </c>
      <c r="BY224" s="19">
        <v>0</v>
      </c>
      <c r="BZ224" s="19">
        <f>SUM(CA224+CS224)</f>
        <v>0</v>
      </c>
      <c r="CA224" s="19">
        <f>SUM(CB224+CE224+CK224)</f>
        <v>0</v>
      </c>
      <c r="CB224" s="19">
        <f t="shared" si="358"/>
        <v>0</v>
      </c>
      <c r="CC224" s="19">
        <v>0</v>
      </c>
      <c r="CD224" s="19">
        <v>0</v>
      </c>
      <c r="CE224" s="19">
        <f>SUM(CF224:CJ224)</f>
        <v>0</v>
      </c>
      <c r="CF224" s="19">
        <v>0</v>
      </c>
      <c r="CG224" s="19">
        <v>0</v>
      </c>
      <c r="CH224" s="19">
        <v>0</v>
      </c>
      <c r="CI224" s="19">
        <v>0</v>
      </c>
      <c r="CJ224" s="19">
        <v>0</v>
      </c>
      <c r="CK224" s="19">
        <f>SUM(CL224:CP224)</f>
        <v>0</v>
      </c>
      <c r="CL224" s="19">
        <v>0</v>
      </c>
      <c r="CM224" s="19">
        <v>0</v>
      </c>
      <c r="CN224" s="19">
        <v>0</v>
      </c>
      <c r="CO224" s="19"/>
      <c r="CP224" s="19"/>
      <c r="CQ224" s="19"/>
      <c r="CR224" s="19"/>
      <c r="CS224" s="19">
        <v>0</v>
      </c>
      <c r="CT224" s="19"/>
      <c r="CU224" s="19"/>
      <c r="CV224" s="19"/>
      <c r="CW224" s="19">
        <f t="shared" si="360"/>
        <v>0</v>
      </c>
      <c r="CX224" s="19">
        <f t="shared" si="361"/>
        <v>0</v>
      </c>
      <c r="CY224" s="19">
        <v>0</v>
      </c>
      <c r="CZ224" s="20">
        <v>0</v>
      </c>
    </row>
    <row r="225" spans="1:105" s="90" customFormat="1" ht="15.75" x14ac:dyDescent="0.25">
      <c r="A225" s="86" t="s">
        <v>309</v>
      </c>
      <c r="B225" s="87" t="s">
        <v>1</v>
      </c>
      <c r="C225" s="88" t="s">
        <v>310</v>
      </c>
      <c r="D225" s="68">
        <f t="shared" ref="D225:AI225" si="646">SUM(D226+D228+D231+D270+D286+D288)</f>
        <v>505809115</v>
      </c>
      <c r="E225" s="68">
        <f t="shared" si="646"/>
        <v>270300361</v>
      </c>
      <c r="F225" s="68">
        <f t="shared" si="646"/>
        <v>248454482</v>
      </c>
      <c r="G225" s="68">
        <f t="shared" si="646"/>
        <v>112185804</v>
      </c>
      <c r="H225" s="68">
        <f t="shared" si="646"/>
        <v>22873756</v>
      </c>
      <c r="I225" s="68">
        <f t="shared" si="646"/>
        <v>51909853</v>
      </c>
      <c r="J225" s="68">
        <f t="shared" si="646"/>
        <v>14870954</v>
      </c>
      <c r="K225" s="68">
        <f t="shared" si="646"/>
        <v>1894482</v>
      </c>
      <c r="L225" s="68">
        <f t="shared" si="646"/>
        <v>1504041</v>
      </c>
      <c r="M225" s="68">
        <f t="shared" si="646"/>
        <v>0</v>
      </c>
      <c r="N225" s="68">
        <f t="shared" si="646"/>
        <v>11268987</v>
      </c>
      <c r="O225" s="68">
        <f t="shared" si="646"/>
        <v>22371389</v>
      </c>
      <c r="P225" s="68">
        <f t="shared" si="646"/>
        <v>639140</v>
      </c>
      <c r="Q225" s="68">
        <f t="shared" si="646"/>
        <v>89717</v>
      </c>
      <c r="R225" s="68">
        <f t="shared" si="646"/>
        <v>549423</v>
      </c>
      <c r="S225" s="68">
        <f t="shared" si="646"/>
        <v>224964</v>
      </c>
      <c r="T225" s="68">
        <f t="shared" si="646"/>
        <v>1329541</v>
      </c>
      <c r="U225" s="68">
        <f t="shared" si="646"/>
        <v>9393275</v>
      </c>
      <c r="V225" s="68">
        <f t="shared" si="646"/>
        <v>2745930</v>
      </c>
      <c r="W225" s="68">
        <f t="shared" si="646"/>
        <v>3372157</v>
      </c>
      <c r="X225" s="68">
        <f t="shared" si="646"/>
        <v>1183183</v>
      </c>
      <c r="Y225" s="68">
        <f t="shared" si="646"/>
        <v>1079248</v>
      </c>
      <c r="Z225" s="68">
        <f t="shared" si="646"/>
        <v>687188</v>
      </c>
      <c r="AA225" s="68">
        <f t="shared" si="646"/>
        <v>133016</v>
      </c>
      <c r="AB225" s="68">
        <f t="shared" si="646"/>
        <v>0</v>
      </c>
      <c r="AC225" s="68">
        <f t="shared" si="646"/>
        <v>192553</v>
      </c>
      <c r="AD225" s="68">
        <f t="shared" si="646"/>
        <v>49898149</v>
      </c>
      <c r="AE225" s="68">
        <f t="shared" si="646"/>
        <v>76256</v>
      </c>
      <c r="AF225" s="68">
        <f t="shared" si="646"/>
        <v>0</v>
      </c>
      <c r="AG225" s="68">
        <f t="shared" si="646"/>
        <v>3986398</v>
      </c>
      <c r="AH225" s="68">
        <f t="shared" si="646"/>
        <v>9119743</v>
      </c>
      <c r="AI225" s="68">
        <f t="shared" si="646"/>
        <v>442949</v>
      </c>
      <c r="AJ225" s="68">
        <f t="shared" ref="AJ225:BO225" si="647">SUM(AJ226+AJ228+AJ231+AJ270+AJ286+AJ288)</f>
        <v>1631947</v>
      </c>
      <c r="AK225" s="68">
        <f t="shared" si="647"/>
        <v>5000</v>
      </c>
      <c r="AL225" s="68">
        <f t="shared" si="647"/>
        <v>355782</v>
      </c>
      <c r="AM225" s="68">
        <f t="shared" si="647"/>
        <v>2788811</v>
      </c>
      <c r="AN225" s="68">
        <f t="shared" si="647"/>
        <v>21833</v>
      </c>
      <c r="AO225" s="68">
        <f t="shared" si="647"/>
        <v>22000</v>
      </c>
      <c r="AP225" s="68">
        <f t="shared" si="647"/>
        <v>50000</v>
      </c>
      <c r="AQ225" s="68">
        <f t="shared" si="647"/>
        <v>7784726</v>
      </c>
      <c r="AR225" s="68">
        <f t="shared" si="647"/>
        <v>399840</v>
      </c>
      <c r="AS225" s="68">
        <f t="shared" si="647"/>
        <v>851054</v>
      </c>
      <c r="AT225" s="68">
        <f t="shared" si="647"/>
        <v>0</v>
      </c>
      <c r="AU225" s="68">
        <f t="shared" si="647"/>
        <v>3618</v>
      </c>
      <c r="AV225" s="68">
        <f t="shared" si="647"/>
        <v>0</v>
      </c>
      <c r="AW225" s="68">
        <f t="shared" si="647"/>
        <v>1271578</v>
      </c>
      <c r="AX225" s="68">
        <f t="shared" si="647"/>
        <v>411414</v>
      </c>
      <c r="AY225" s="68">
        <f t="shared" si="647"/>
        <v>100000</v>
      </c>
      <c r="AZ225" s="68">
        <f t="shared" si="647"/>
        <v>20575200</v>
      </c>
      <c r="BA225" s="68">
        <f t="shared" si="647"/>
        <v>21845879</v>
      </c>
      <c r="BB225" s="68">
        <f t="shared" si="647"/>
        <v>0</v>
      </c>
      <c r="BC225" s="68">
        <f t="shared" si="647"/>
        <v>0</v>
      </c>
      <c r="BD225" s="68">
        <f t="shared" si="647"/>
        <v>0</v>
      </c>
      <c r="BE225" s="68">
        <f t="shared" si="647"/>
        <v>0</v>
      </c>
      <c r="BF225" s="68">
        <f t="shared" si="647"/>
        <v>0</v>
      </c>
      <c r="BG225" s="68">
        <f t="shared" si="647"/>
        <v>0</v>
      </c>
      <c r="BH225" s="68">
        <f t="shared" si="647"/>
        <v>0</v>
      </c>
      <c r="BI225" s="68">
        <f t="shared" si="647"/>
        <v>21651199</v>
      </c>
      <c r="BJ225" s="68">
        <f t="shared" si="647"/>
        <v>12969667</v>
      </c>
      <c r="BK225" s="68">
        <f t="shared" si="647"/>
        <v>0</v>
      </c>
      <c r="BL225" s="68">
        <f t="shared" si="647"/>
        <v>0</v>
      </c>
      <c r="BM225" s="68">
        <f t="shared" si="647"/>
        <v>0</v>
      </c>
      <c r="BN225" s="68">
        <f t="shared" si="647"/>
        <v>194680</v>
      </c>
      <c r="BO225" s="68">
        <f t="shared" si="647"/>
        <v>0</v>
      </c>
      <c r="BP225" s="68">
        <f t="shared" ref="BP225:CN225" si="648">SUM(BP226+BP228+BP231+BP270+BP286+BP288)</f>
        <v>0</v>
      </c>
      <c r="BQ225" s="68">
        <f t="shared" si="648"/>
        <v>0</v>
      </c>
      <c r="BR225" s="68">
        <f t="shared" si="648"/>
        <v>0</v>
      </c>
      <c r="BS225" s="68">
        <f t="shared" si="648"/>
        <v>0</v>
      </c>
      <c r="BT225" s="68">
        <f t="shared" si="648"/>
        <v>0</v>
      </c>
      <c r="BU225" s="68">
        <f t="shared" si="648"/>
        <v>0</v>
      </c>
      <c r="BV225" s="68">
        <f t="shared" si="648"/>
        <v>0</v>
      </c>
      <c r="BW225" s="68">
        <f t="shared" si="648"/>
        <v>0</v>
      </c>
      <c r="BX225" s="68">
        <f t="shared" si="648"/>
        <v>40336</v>
      </c>
      <c r="BY225" s="68">
        <f t="shared" si="648"/>
        <v>154344</v>
      </c>
      <c r="BZ225" s="68">
        <f t="shared" si="648"/>
        <v>226981303</v>
      </c>
      <c r="CA225" s="68">
        <f t="shared" si="648"/>
        <v>74360507</v>
      </c>
      <c r="CB225" s="68">
        <f t="shared" si="648"/>
        <v>70652184</v>
      </c>
      <c r="CC225" s="68">
        <f t="shared" si="648"/>
        <v>220580</v>
      </c>
      <c r="CD225" s="68">
        <f t="shared" si="648"/>
        <v>70431604</v>
      </c>
      <c r="CE225" s="68">
        <f t="shared" si="648"/>
        <v>0</v>
      </c>
      <c r="CF225" s="68">
        <f t="shared" si="648"/>
        <v>0</v>
      </c>
      <c r="CG225" s="68">
        <f t="shared" si="648"/>
        <v>0</v>
      </c>
      <c r="CH225" s="68">
        <f t="shared" si="648"/>
        <v>0</v>
      </c>
      <c r="CI225" s="68">
        <f t="shared" si="648"/>
        <v>0</v>
      </c>
      <c r="CJ225" s="68">
        <f t="shared" si="648"/>
        <v>0</v>
      </c>
      <c r="CK225" s="68">
        <f t="shared" si="648"/>
        <v>3708323</v>
      </c>
      <c r="CL225" s="68">
        <f t="shared" si="648"/>
        <v>100000</v>
      </c>
      <c r="CM225" s="68">
        <f t="shared" si="648"/>
        <v>785662</v>
      </c>
      <c r="CN225" s="68">
        <f t="shared" si="648"/>
        <v>2822661</v>
      </c>
      <c r="CO225" s="68"/>
      <c r="CP225" s="68"/>
      <c r="CQ225" s="68"/>
      <c r="CR225" s="68"/>
      <c r="CS225" s="68">
        <f t="shared" ref="CS225:CZ225" si="649">SUM(CS226+CS228+CS231+CS270+CS286+CS288)</f>
        <v>152620796</v>
      </c>
      <c r="CT225" s="68">
        <f t="shared" si="649"/>
        <v>8527451</v>
      </c>
      <c r="CU225" s="68">
        <f t="shared" si="649"/>
        <v>8527451</v>
      </c>
      <c r="CV225" s="68">
        <f t="shared" si="649"/>
        <v>8527451</v>
      </c>
      <c r="CW225" s="68">
        <f t="shared" si="649"/>
        <v>0</v>
      </c>
      <c r="CX225" s="68">
        <f t="shared" si="649"/>
        <v>0</v>
      </c>
      <c r="CY225" s="68">
        <f t="shared" si="649"/>
        <v>0</v>
      </c>
      <c r="CZ225" s="89">
        <f t="shared" si="649"/>
        <v>0</v>
      </c>
    </row>
    <row r="226" spans="1:105" s="58" customFormat="1" ht="15.75" x14ac:dyDescent="0.25">
      <c r="A226" s="79" t="s">
        <v>311</v>
      </c>
      <c r="B226" s="16" t="s">
        <v>1</v>
      </c>
      <c r="C226" s="17" t="s">
        <v>312</v>
      </c>
      <c r="D226" s="18">
        <f>SUM(D227)</f>
        <v>25000000</v>
      </c>
      <c r="E226" s="18">
        <f t="shared" ref="E226:BT226" si="650">SUM(E227)</f>
        <v>0</v>
      </c>
      <c r="F226" s="18">
        <f t="shared" si="650"/>
        <v>0</v>
      </c>
      <c r="G226" s="18">
        <f t="shared" si="650"/>
        <v>0</v>
      </c>
      <c r="H226" s="18">
        <f t="shared" si="650"/>
        <v>0</v>
      </c>
      <c r="I226" s="18">
        <f t="shared" si="650"/>
        <v>0</v>
      </c>
      <c r="J226" s="18">
        <f t="shared" si="650"/>
        <v>0</v>
      </c>
      <c r="K226" s="18">
        <f t="shared" si="650"/>
        <v>0</v>
      </c>
      <c r="L226" s="18">
        <f t="shared" si="650"/>
        <v>0</v>
      </c>
      <c r="M226" s="18">
        <f t="shared" si="650"/>
        <v>0</v>
      </c>
      <c r="N226" s="18">
        <f t="shared" si="650"/>
        <v>0</v>
      </c>
      <c r="O226" s="18">
        <f t="shared" si="650"/>
        <v>0</v>
      </c>
      <c r="P226" s="18">
        <f t="shared" si="650"/>
        <v>0</v>
      </c>
      <c r="Q226" s="18">
        <f t="shared" si="650"/>
        <v>0</v>
      </c>
      <c r="R226" s="18">
        <f t="shared" si="650"/>
        <v>0</v>
      </c>
      <c r="S226" s="18">
        <f t="shared" si="650"/>
        <v>0</v>
      </c>
      <c r="T226" s="18">
        <f t="shared" si="650"/>
        <v>0</v>
      </c>
      <c r="U226" s="18">
        <f t="shared" si="650"/>
        <v>0</v>
      </c>
      <c r="V226" s="18">
        <f t="shared" si="650"/>
        <v>0</v>
      </c>
      <c r="W226" s="18">
        <f t="shared" si="650"/>
        <v>0</v>
      </c>
      <c r="X226" s="18">
        <f t="shared" si="650"/>
        <v>0</v>
      </c>
      <c r="Y226" s="18">
        <f t="shared" si="650"/>
        <v>0</v>
      </c>
      <c r="Z226" s="18">
        <f t="shared" si="650"/>
        <v>0</v>
      </c>
      <c r="AA226" s="18">
        <f t="shared" si="650"/>
        <v>0</v>
      </c>
      <c r="AB226" s="18">
        <f t="shared" si="650"/>
        <v>0</v>
      </c>
      <c r="AC226" s="18">
        <f t="shared" si="650"/>
        <v>0</v>
      </c>
      <c r="AD226" s="18">
        <f t="shared" si="650"/>
        <v>0</v>
      </c>
      <c r="AE226" s="18">
        <f t="shared" si="650"/>
        <v>0</v>
      </c>
      <c r="AF226" s="18">
        <f t="shared" si="650"/>
        <v>0</v>
      </c>
      <c r="AG226" s="18">
        <f t="shared" si="650"/>
        <v>0</v>
      </c>
      <c r="AH226" s="18">
        <f t="shared" si="650"/>
        <v>0</v>
      </c>
      <c r="AI226" s="18">
        <f t="shared" si="650"/>
        <v>0</v>
      </c>
      <c r="AJ226" s="18">
        <f t="shared" si="650"/>
        <v>0</v>
      </c>
      <c r="AK226" s="18">
        <f t="shared" si="650"/>
        <v>0</v>
      </c>
      <c r="AL226" s="18">
        <f t="shared" si="650"/>
        <v>0</v>
      </c>
      <c r="AM226" s="18">
        <f t="shared" si="650"/>
        <v>0</v>
      </c>
      <c r="AN226" s="18">
        <f t="shared" si="650"/>
        <v>0</v>
      </c>
      <c r="AO226" s="18">
        <f t="shared" si="650"/>
        <v>0</v>
      </c>
      <c r="AP226" s="18"/>
      <c r="AQ226" s="18">
        <f t="shared" si="650"/>
        <v>0</v>
      </c>
      <c r="AR226" s="18">
        <f t="shared" si="650"/>
        <v>0</v>
      </c>
      <c r="AS226" s="18">
        <f t="shared" si="650"/>
        <v>0</v>
      </c>
      <c r="AT226" s="18"/>
      <c r="AU226" s="18"/>
      <c r="AV226" s="18">
        <f t="shared" si="650"/>
        <v>0</v>
      </c>
      <c r="AW226" s="18">
        <f t="shared" si="650"/>
        <v>0</v>
      </c>
      <c r="AX226" s="18">
        <f t="shared" si="650"/>
        <v>0</v>
      </c>
      <c r="AY226" s="18"/>
      <c r="AZ226" s="18">
        <f t="shared" si="650"/>
        <v>0</v>
      </c>
      <c r="BA226" s="18">
        <f t="shared" si="650"/>
        <v>0</v>
      </c>
      <c r="BB226" s="18">
        <f t="shared" si="650"/>
        <v>0</v>
      </c>
      <c r="BC226" s="18">
        <f t="shared" si="650"/>
        <v>0</v>
      </c>
      <c r="BD226" s="18">
        <f t="shared" si="650"/>
        <v>0</v>
      </c>
      <c r="BE226" s="18">
        <f t="shared" si="650"/>
        <v>0</v>
      </c>
      <c r="BF226" s="18">
        <f t="shared" si="650"/>
        <v>0</v>
      </c>
      <c r="BG226" s="18">
        <f t="shared" si="650"/>
        <v>0</v>
      </c>
      <c r="BH226" s="18">
        <f t="shared" si="650"/>
        <v>0</v>
      </c>
      <c r="BI226" s="18">
        <f t="shared" si="650"/>
        <v>0</v>
      </c>
      <c r="BJ226" s="18">
        <f t="shared" si="650"/>
        <v>0</v>
      </c>
      <c r="BK226" s="18">
        <f t="shared" si="650"/>
        <v>0</v>
      </c>
      <c r="BL226" s="18">
        <f t="shared" si="650"/>
        <v>0</v>
      </c>
      <c r="BM226" s="18">
        <f t="shared" si="650"/>
        <v>0</v>
      </c>
      <c r="BN226" s="18">
        <f t="shared" si="650"/>
        <v>0</v>
      </c>
      <c r="BO226" s="18">
        <f t="shared" si="650"/>
        <v>0</v>
      </c>
      <c r="BP226" s="18">
        <f t="shared" si="650"/>
        <v>0</v>
      </c>
      <c r="BQ226" s="18">
        <f t="shared" si="650"/>
        <v>0</v>
      </c>
      <c r="BR226" s="18">
        <f t="shared" si="650"/>
        <v>0</v>
      </c>
      <c r="BS226" s="18">
        <f t="shared" si="650"/>
        <v>0</v>
      </c>
      <c r="BT226" s="18">
        <f t="shared" si="650"/>
        <v>0</v>
      </c>
      <c r="BU226" s="18">
        <f t="shared" ref="BU226:CZ226" si="651">SUM(BU227)</f>
        <v>0</v>
      </c>
      <c r="BV226" s="18">
        <f t="shared" si="651"/>
        <v>0</v>
      </c>
      <c r="BW226" s="18">
        <f t="shared" si="651"/>
        <v>0</v>
      </c>
      <c r="BX226" s="18">
        <f t="shared" si="651"/>
        <v>0</v>
      </c>
      <c r="BY226" s="18">
        <f t="shared" si="651"/>
        <v>0</v>
      </c>
      <c r="BZ226" s="18">
        <f t="shared" si="651"/>
        <v>25000000</v>
      </c>
      <c r="CA226" s="18">
        <f t="shared" si="651"/>
        <v>0</v>
      </c>
      <c r="CB226" s="18">
        <f t="shared" si="651"/>
        <v>0</v>
      </c>
      <c r="CC226" s="18">
        <f t="shared" si="651"/>
        <v>0</v>
      </c>
      <c r="CD226" s="18">
        <f t="shared" si="651"/>
        <v>0</v>
      </c>
      <c r="CE226" s="18">
        <f t="shared" si="651"/>
        <v>0</v>
      </c>
      <c r="CF226" s="18">
        <f t="shared" si="651"/>
        <v>0</v>
      </c>
      <c r="CG226" s="18">
        <f t="shared" si="651"/>
        <v>0</v>
      </c>
      <c r="CH226" s="18">
        <f t="shared" si="651"/>
        <v>0</v>
      </c>
      <c r="CI226" s="18">
        <f t="shared" si="651"/>
        <v>0</v>
      </c>
      <c r="CJ226" s="18">
        <f t="shared" si="651"/>
        <v>0</v>
      </c>
      <c r="CK226" s="18">
        <f t="shared" si="651"/>
        <v>0</v>
      </c>
      <c r="CL226" s="18">
        <f t="shared" si="651"/>
        <v>0</v>
      </c>
      <c r="CM226" s="18">
        <f t="shared" si="651"/>
        <v>0</v>
      </c>
      <c r="CN226" s="18">
        <f t="shared" si="651"/>
        <v>0</v>
      </c>
      <c r="CO226" s="18"/>
      <c r="CP226" s="18"/>
      <c r="CQ226" s="18"/>
      <c r="CR226" s="18"/>
      <c r="CS226" s="18">
        <f t="shared" si="651"/>
        <v>25000000</v>
      </c>
      <c r="CT226" s="18"/>
      <c r="CU226" s="18"/>
      <c r="CV226" s="18"/>
      <c r="CW226" s="18">
        <f t="shared" si="651"/>
        <v>0</v>
      </c>
      <c r="CX226" s="18">
        <f t="shared" si="651"/>
        <v>0</v>
      </c>
      <c r="CY226" s="18">
        <f t="shared" si="651"/>
        <v>0</v>
      </c>
      <c r="CZ226" s="46">
        <f t="shared" si="651"/>
        <v>0</v>
      </c>
      <c r="DA226" s="57"/>
    </row>
    <row r="227" spans="1:105" ht="15.75" x14ac:dyDescent="0.25">
      <c r="A227" s="80" t="s">
        <v>1</v>
      </c>
      <c r="B227" s="21" t="s">
        <v>313</v>
      </c>
      <c r="C227" s="22" t="s">
        <v>312</v>
      </c>
      <c r="D227" s="18">
        <f>SUM(E227+BZ227+CW227)</f>
        <v>25000000</v>
      </c>
      <c r="E227" s="19">
        <f>SUM(F227+BA227)</f>
        <v>0</v>
      </c>
      <c r="F227" s="19">
        <f>SUM(G227+H227+I227+P227+S227+T227+U227+AD227)</f>
        <v>0</v>
      </c>
      <c r="G227" s="19">
        <v>0</v>
      </c>
      <c r="H227" s="19">
        <v>0</v>
      </c>
      <c r="I227" s="19">
        <f t="shared" si="354"/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f t="shared" si="355"/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f t="shared" ref="U227" si="652">SUM(V227:AC227)</f>
        <v>0</v>
      </c>
      <c r="V227" s="19">
        <v>0</v>
      </c>
      <c r="W227" s="19">
        <v>0</v>
      </c>
      <c r="X227" s="19">
        <v>0</v>
      </c>
      <c r="Y227" s="19">
        <v>0</v>
      </c>
      <c r="Z227" s="19">
        <v>0</v>
      </c>
      <c r="AA227" s="19">
        <v>0</v>
      </c>
      <c r="AB227" s="19">
        <v>0</v>
      </c>
      <c r="AC227" s="19">
        <v>0</v>
      </c>
      <c r="AD227" s="19">
        <f>SUM(AE227:AZ227)</f>
        <v>0</v>
      </c>
      <c r="AE227" s="19">
        <v>0</v>
      </c>
      <c r="AF227" s="19">
        <v>0</v>
      </c>
      <c r="AG227" s="19">
        <v>0</v>
      </c>
      <c r="AH227" s="19">
        <v>0</v>
      </c>
      <c r="AI227" s="19">
        <v>0</v>
      </c>
      <c r="AJ227" s="19">
        <v>0</v>
      </c>
      <c r="AK227" s="19">
        <v>0</v>
      </c>
      <c r="AL227" s="19">
        <v>0</v>
      </c>
      <c r="AM227" s="19">
        <v>0</v>
      </c>
      <c r="AN227" s="19">
        <v>0</v>
      </c>
      <c r="AO227" s="19">
        <v>0</v>
      </c>
      <c r="AP227" s="19"/>
      <c r="AQ227" s="19">
        <v>0</v>
      </c>
      <c r="AR227" s="19">
        <v>0</v>
      </c>
      <c r="AS227" s="19">
        <v>0</v>
      </c>
      <c r="AT227" s="19"/>
      <c r="AU227" s="19"/>
      <c r="AV227" s="19">
        <v>0</v>
      </c>
      <c r="AW227" s="19">
        <v>0</v>
      </c>
      <c r="AX227" s="19">
        <v>0</v>
      </c>
      <c r="AY227" s="19"/>
      <c r="AZ227" s="19">
        <v>0</v>
      </c>
      <c r="BA227" s="19">
        <f>SUM(BB227+BF227+BI227+BK227+BN227)</f>
        <v>0</v>
      </c>
      <c r="BB227" s="19">
        <f>SUM(BC227:BE227)</f>
        <v>0</v>
      </c>
      <c r="BC227" s="19">
        <v>0</v>
      </c>
      <c r="BD227" s="19">
        <v>0</v>
      </c>
      <c r="BE227" s="19">
        <v>0</v>
      </c>
      <c r="BF227" s="19">
        <f>SUM(BH227:BH227)</f>
        <v>0</v>
      </c>
      <c r="BG227" s="19">
        <v>0</v>
      </c>
      <c r="BH227" s="19">
        <v>0</v>
      </c>
      <c r="BI227" s="19">
        <v>0</v>
      </c>
      <c r="BJ227" s="19">
        <v>0</v>
      </c>
      <c r="BK227" s="19">
        <f t="shared" si="357"/>
        <v>0</v>
      </c>
      <c r="BL227" s="19">
        <v>0</v>
      </c>
      <c r="BM227" s="19">
        <v>0</v>
      </c>
      <c r="BN227" s="19">
        <f>SUM(BO227:BY227)</f>
        <v>0</v>
      </c>
      <c r="BO227" s="19">
        <v>0</v>
      </c>
      <c r="BP227" s="19">
        <v>0</v>
      </c>
      <c r="BQ227" s="19">
        <v>0</v>
      </c>
      <c r="BR227" s="19">
        <v>0</v>
      </c>
      <c r="BS227" s="19">
        <v>0</v>
      </c>
      <c r="BT227" s="19">
        <v>0</v>
      </c>
      <c r="BU227" s="19">
        <v>0</v>
      </c>
      <c r="BV227" s="19">
        <v>0</v>
      </c>
      <c r="BW227" s="19">
        <v>0</v>
      </c>
      <c r="BX227" s="19">
        <v>0</v>
      </c>
      <c r="BY227" s="19">
        <v>0</v>
      </c>
      <c r="BZ227" s="19">
        <f>SUM(CA227+CS227)</f>
        <v>25000000</v>
      </c>
      <c r="CA227" s="19">
        <f>SUM(CB227+CE227+CK227)</f>
        <v>0</v>
      </c>
      <c r="CB227" s="19">
        <f t="shared" si="358"/>
        <v>0</v>
      </c>
      <c r="CC227" s="19">
        <v>0</v>
      </c>
      <c r="CD227" s="19">
        <v>0</v>
      </c>
      <c r="CE227" s="19">
        <f>SUM(CF227:CJ227)</f>
        <v>0</v>
      </c>
      <c r="CF227" s="19">
        <v>0</v>
      </c>
      <c r="CG227" s="19">
        <v>0</v>
      </c>
      <c r="CH227" s="19">
        <v>0</v>
      </c>
      <c r="CI227" s="19">
        <v>0</v>
      </c>
      <c r="CJ227" s="19">
        <v>0</v>
      </c>
      <c r="CK227" s="19">
        <f>SUM(CL227:CP227)</f>
        <v>0</v>
      </c>
      <c r="CL227" s="19">
        <v>0</v>
      </c>
      <c r="CM227" s="19">
        <v>0</v>
      </c>
      <c r="CN227" s="19">
        <v>0</v>
      </c>
      <c r="CO227" s="19"/>
      <c r="CP227" s="19"/>
      <c r="CQ227" s="19"/>
      <c r="CR227" s="19"/>
      <c r="CS227" s="19">
        <f>18000000+3000000+4000000</f>
        <v>25000000</v>
      </c>
      <c r="CT227" s="19"/>
      <c r="CU227" s="19"/>
      <c r="CV227" s="19"/>
      <c r="CW227" s="19">
        <f t="shared" si="360"/>
        <v>0</v>
      </c>
      <c r="CX227" s="19">
        <f t="shared" si="361"/>
        <v>0</v>
      </c>
      <c r="CY227" s="19">
        <v>0</v>
      </c>
      <c r="CZ227" s="20">
        <v>0</v>
      </c>
    </row>
    <row r="228" spans="1:105" s="58" customFormat="1" ht="22.5" customHeight="1" x14ac:dyDescent="0.25">
      <c r="A228" s="79" t="s">
        <v>314</v>
      </c>
      <c r="B228" s="16" t="s">
        <v>1</v>
      </c>
      <c r="C228" s="17" t="s">
        <v>315</v>
      </c>
      <c r="D228" s="18">
        <f>SUM(D229:D230)</f>
        <v>2272630</v>
      </c>
      <c r="E228" s="18">
        <f t="shared" ref="E228:BP228" si="653">SUM(E229:E230)</f>
        <v>2222159</v>
      </c>
      <c r="F228" s="18">
        <f t="shared" si="653"/>
        <v>2218325</v>
      </c>
      <c r="G228" s="18">
        <f t="shared" si="653"/>
        <v>1100522</v>
      </c>
      <c r="H228" s="18">
        <f t="shared" si="653"/>
        <v>267614</v>
      </c>
      <c r="I228" s="18">
        <f t="shared" si="653"/>
        <v>141683</v>
      </c>
      <c r="J228" s="18">
        <f t="shared" si="653"/>
        <v>0</v>
      </c>
      <c r="K228" s="18">
        <f t="shared" si="653"/>
        <v>0</v>
      </c>
      <c r="L228" s="18">
        <f t="shared" si="653"/>
        <v>0</v>
      </c>
      <c r="M228" s="18">
        <f t="shared" si="653"/>
        <v>0</v>
      </c>
      <c r="N228" s="18">
        <f t="shared" si="653"/>
        <v>84183</v>
      </c>
      <c r="O228" s="18">
        <f t="shared" si="653"/>
        <v>57500</v>
      </c>
      <c r="P228" s="18">
        <f t="shared" si="653"/>
        <v>79000</v>
      </c>
      <c r="Q228" s="18">
        <f t="shared" si="653"/>
        <v>0</v>
      </c>
      <c r="R228" s="18">
        <f t="shared" si="653"/>
        <v>79000</v>
      </c>
      <c r="S228" s="18">
        <f t="shared" si="653"/>
        <v>0</v>
      </c>
      <c r="T228" s="18">
        <f t="shared" si="653"/>
        <v>20518</v>
      </c>
      <c r="U228" s="18">
        <f t="shared" si="653"/>
        <v>56694</v>
      </c>
      <c r="V228" s="18">
        <f t="shared" si="653"/>
        <v>0</v>
      </c>
      <c r="W228" s="18">
        <f t="shared" si="653"/>
        <v>38963</v>
      </c>
      <c r="X228" s="18">
        <f t="shared" si="653"/>
        <v>13151</v>
      </c>
      <c r="Y228" s="18">
        <f t="shared" si="653"/>
        <v>1794</v>
      </c>
      <c r="Z228" s="18">
        <f t="shared" si="653"/>
        <v>2786</v>
      </c>
      <c r="AA228" s="18">
        <f t="shared" si="653"/>
        <v>0</v>
      </c>
      <c r="AB228" s="18">
        <f t="shared" si="653"/>
        <v>0</v>
      </c>
      <c r="AC228" s="18">
        <f t="shared" si="653"/>
        <v>0</v>
      </c>
      <c r="AD228" s="18">
        <f t="shared" si="653"/>
        <v>552294</v>
      </c>
      <c r="AE228" s="18">
        <f t="shared" si="653"/>
        <v>0</v>
      </c>
      <c r="AF228" s="18">
        <f t="shared" si="653"/>
        <v>0</v>
      </c>
      <c r="AG228" s="18">
        <f t="shared" si="653"/>
        <v>4674</v>
      </c>
      <c r="AH228" s="18">
        <f t="shared" si="653"/>
        <v>215484</v>
      </c>
      <c r="AI228" s="18">
        <f t="shared" si="653"/>
        <v>0</v>
      </c>
      <c r="AJ228" s="18">
        <f t="shared" si="653"/>
        <v>325</v>
      </c>
      <c r="AK228" s="18">
        <f t="shared" si="653"/>
        <v>0</v>
      </c>
      <c r="AL228" s="18">
        <f t="shared" si="653"/>
        <v>0</v>
      </c>
      <c r="AM228" s="18">
        <f t="shared" si="653"/>
        <v>0</v>
      </c>
      <c r="AN228" s="18">
        <f t="shared" si="653"/>
        <v>6833</v>
      </c>
      <c r="AO228" s="18">
        <f t="shared" si="653"/>
        <v>0</v>
      </c>
      <c r="AP228" s="18"/>
      <c r="AQ228" s="18">
        <f t="shared" si="653"/>
        <v>0</v>
      </c>
      <c r="AR228" s="18">
        <f t="shared" si="653"/>
        <v>70146</v>
      </c>
      <c r="AS228" s="18">
        <f t="shared" si="653"/>
        <v>1535</v>
      </c>
      <c r="AT228" s="18">
        <f t="shared" si="653"/>
        <v>0</v>
      </c>
      <c r="AU228" s="18">
        <f t="shared" si="653"/>
        <v>0</v>
      </c>
      <c r="AV228" s="18">
        <f t="shared" si="653"/>
        <v>0</v>
      </c>
      <c r="AW228" s="18">
        <f t="shared" si="653"/>
        <v>0</v>
      </c>
      <c r="AX228" s="18">
        <f t="shared" si="653"/>
        <v>10980</v>
      </c>
      <c r="AY228" s="18">
        <f t="shared" si="653"/>
        <v>0</v>
      </c>
      <c r="AZ228" s="18">
        <f t="shared" si="653"/>
        <v>242317</v>
      </c>
      <c r="BA228" s="18">
        <f t="shared" si="653"/>
        <v>3834</v>
      </c>
      <c r="BB228" s="18">
        <f t="shared" si="653"/>
        <v>0</v>
      </c>
      <c r="BC228" s="18">
        <f t="shared" si="653"/>
        <v>0</v>
      </c>
      <c r="BD228" s="18">
        <f t="shared" si="653"/>
        <v>0</v>
      </c>
      <c r="BE228" s="18">
        <f t="shared" si="653"/>
        <v>0</v>
      </c>
      <c r="BF228" s="18">
        <f t="shared" si="653"/>
        <v>0</v>
      </c>
      <c r="BG228" s="18">
        <f t="shared" si="653"/>
        <v>0</v>
      </c>
      <c r="BH228" s="18">
        <f t="shared" si="653"/>
        <v>0</v>
      </c>
      <c r="BI228" s="18">
        <f t="shared" si="653"/>
        <v>0</v>
      </c>
      <c r="BJ228" s="18">
        <f t="shared" si="653"/>
        <v>0</v>
      </c>
      <c r="BK228" s="18">
        <f t="shared" si="653"/>
        <v>0</v>
      </c>
      <c r="BL228" s="18">
        <f t="shared" si="653"/>
        <v>0</v>
      </c>
      <c r="BM228" s="18">
        <f t="shared" si="653"/>
        <v>0</v>
      </c>
      <c r="BN228" s="18">
        <f t="shared" si="653"/>
        <v>3834</v>
      </c>
      <c r="BO228" s="18">
        <f t="shared" si="653"/>
        <v>0</v>
      </c>
      <c r="BP228" s="18">
        <f t="shared" si="653"/>
        <v>0</v>
      </c>
      <c r="BQ228" s="18">
        <f t="shared" ref="BQ228:CZ228" si="654">SUM(BQ229:BQ230)</f>
        <v>0</v>
      </c>
      <c r="BR228" s="18">
        <f t="shared" si="654"/>
        <v>0</v>
      </c>
      <c r="BS228" s="18">
        <f t="shared" si="654"/>
        <v>0</v>
      </c>
      <c r="BT228" s="18">
        <f t="shared" si="654"/>
        <v>0</v>
      </c>
      <c r="BU228" s="18">
        <f t="shared" si="654"/>
        <v>0</v>
      </c>
      <c r="BV228" s="18">
        <f t="shared" si="654"/>
        <v>0</v>
      </c>
      <c r="BW228" s="18">
        <f t="shared" si="654"/>
        <v>0</v>
      </c>
      <c r="BX228" s="18">
        <f t="shared" si="654"/>
        <v>3834</v>
      </c>
      <c r="BY228" s="18">
        <f t="shared" si="654"/>
        <v>0</v>
      </c>
      <c r="BZ228" s="18">
        <f t="shared" si="654"/>
        <v>50471</v>
      </c>
      <c r="CA228" s="18">
        <f t="shared" si="654"/>
        <v>50471</v>
      </c>
      <c r="CB228" s="18">
        <f t="shared" si="654"/>
        <v>14859</v>
      </c>
      <c r="CC228" s="18">
        <f t="shared" si="654"/>
        <v>0</v>
      </c>
      <c r="CD228" s="18">
        <f t="shared" si="654"/>
        <v>14859</v>
      </c>
      <c r="CE228" s="18">
        <f t="shared" si="654"/>
        <v>0</v>
      </c>
      <c r="CF228" s="18">
        <f t="shared" si="654"/>
        <v>0</v>
      </c>
      <c r="CG228" s="18">
        <f t="shared" si="654"/>
        <v>0</v>
      </c>
      <c r="CH228" s="18">
        <f t="shared" si="654"/>
        <v>0</v>
      </c>
      <c r="CI228" s="18">
        <f t="shared" si="654"/>
        <v>0</v>
      </c>
      <c r="CJ228" s="18">
        <f t="shared" si="654"/>
        <v>0</v>
      </c>
      <c r="CK228" s="18">
        <f t="shared" si="654"/>
        <v>35612</v>
      </c>
      <c r="CL228" s="18">
        <f t="shared" si="654"/>
        <v>0</v>
      </c>
      <c r="CM228" s="18">
        <f t="shared" si="654"/>
        <v>0</v>
      </c>
      <c r="CN228" s="18">
        <f t="shared" si="654"/>
        <v>35612</v>
      </c>
      <c r="CO228" s="18">
        <f t="shared" si="654"/>
        <v>0</v>
      </c>
      <c r="CP228" s="18">
        <f t="shared" si="654"/>
        <v>0</v>
      </c>
      <c r="CQ228" s="18">
        <f t="shared" si="654"/>
        <v>0</v>
      </c>
      <c r="CR228" s="18">
        <f t="shared" si="654"/>
        <v>0</v>
      </c>
      <c r="CS228" s="18">
        <f t="shared" si="654"/>
        <v>0</v>
      </c>
      <c r="CT228" s="18"/>
      <c r="CU228" s="18"/>
      <c r="CV228" s="18"/>
      <c r="CW228" s="18">
        <f t="shared" si="654"/>
        <v>0</v>
      </c>
      <c r="CX228" s="18">
        <f t="shared" si="654"/>
        <v>0</v>
      </c>
      <c r="CY228" s="18">
        <f t="shared" si="654"/>
        <v>0</v>
      </c>
      <c r="CZ228" s="46">
        <f t="shared" si="654"/>
        <v>0</v>
      </c>
      <c r="DA228" s="57"/>
    </row>
    <row r="229" spans="1:105" ht="20.25" customHeight="1" x14ac:dyDescent="0.25">
      <c r="A229" s="80" t="s">
        <v>1</v>
      </c>
      <c r="B229" s="21" t="s">
        <v>316</v>
      </c>
      <c r="C229" s="22" t="s">
        <v>609</v>
      </c>
      <c r="D229" s="18">
        <f>SUM(E229+BZ229+CW229)</f>
        <v>238470</v>
      </c>
      <c r="E229" s="19">
        <f>SUM(F229+BA229)</f>
        <v>238470</v>
      </c>
      <c r="F229" s="19">
        <f t="shared" ref="F229:F230" si="655">SUM(G229+H229+I229+P229+S229+T229+U229+AD229)</f>
        <v>238470</v>
      </c>
      <c r="G229" s="19">
        <v>0</v>
      </c>
      <c r="H229" s="19">
        <v>0</v>
      </c>
      <c r="I229" s="19">
        <f t="shared" ref="I229" si="656">SUM(J229:O229)</f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9">
        <f t="shared" ref="P229" si="657">SUM(Q229:R229)</f>
        <v>0</v>
      </c>
      <c r="Q229" s="19">
        <v>0</v>
      </c>
      <c r="R229" s="19">
        <v>0</v>
      </c>
      <c r="S229" s="19">
        <v>0</v>
      </c>
      <c r="T229" s="19">
        <v>0</v>
      </c>
      <c r="U229" s="19">
        <f t="shared" ref="U229" si="658">SUM(V229:AC229)</f>
        <v>0</v>
      </c>
      <c r="V229" s="19">
        <v>0</v>
      </c>
      <c r="W229" s="19">
        <v>0</v>
      </c>
      <c r="X229" s="19">
        <v>0</v>
      </c>
      <c r="Y229" s="19">
        <v>0</v>
      </c>
      <c r="Z229" s="19">
        <v>0</v>
      </c>
      <c r="AA229" s="19">
        <v>0</v>
      </c>
      <c r="AB229" s="19">
        <v>0</v>
      </c>
      <c r="AC229" s="19">
        <v>0</v>
      </c>
      <c r="AD229" s="19">
        <f t="shared" ref="AD229" si="659">SUM(AE229:AZ229)</f>
        <v>238470</v>
      </c>
      <c r="AE229" s="19">
        <v>0</v>
      </c>
      <c r="AF229" s="19">
        <v>0</v>
      </c>
      <c r="AG229" s="19">
        <v>0</v>
      </c>
      <c r="AH229" s="19">
        <v>0</v>
      </c>
      <c r="AI229" s="23">
        <v>0</v>
      </c>
      <c r="AJ229" s="23">
        <v>0</v>
      </c>
      <c r="AK229" s="19">
        <v>0</v>
      </c>
      <c r="AL229" s="19">
        <v>0</v>
      </c>
      <c r="AM229" s="19">
        <v>0</v>
      </c>
      <c r="AN229" s="19">
        <v>0</v>
      </c>
      <c r="AO229" s="19">
        <v>0</v>
      </c>
      <c r="AP229" s="19"/>
      <c r="AQ229" s="23"/>
      <c r="AR229" s="19">
        <v>0</v>
      </c>
      <c r="AS229" s="19">
        <v>0</v>
      </c>
      <c r="AT229" s="19">
        <v>0</v>
      </c>
      <c r="AU229" s="19">
        <v>0</v>
      </c>
      <c r="AV229" s="19">
        <v>0</v>
      </c>
      <c r="AW229" s="19">
        <v>0</v>
      </c>
      <c r="AX229" s="19">
        <v>0</v>
      </c>
      <c r="AY229" s="19">
        <v>0</v>
      </c>
      <c r="AZ229" s="24">
        <f>0+238470</f>
        <v>238470</v>
      </c>
      <c r="BA229" s="19">
        <f>SUM(BB229+BF229+BI229+BK229+BN229)</f>
        <v>0</v>
      </c>
      <c r="BB229" s="19">
        <f t="shared" ref="BB229" si="660">SUM(BC229:BE229)</f>
        <v>0</v>
      </c>
      <c r="BC229" s="19">
        <v>0</v>
      </c>
      <c r="BD229" s="19">
        <v>0</v>
      </c>
      <c r="BE229" s="19">
        <v>0</v>
      </c>
      <c r="BF229" s="19">
        <f t="shared" ref="BF229" si="661">SUM(BH229:BH229)</f>
        <v>0</v>
      </c>
      <c r="BG229" s="19">
        <v>0</v>
      </c>
      <c r="BH229" s="19">
        <v>0</v>
      </c>
      <c r="BI229" s="19">
        <v>0</v>
      </c>
      <c r="BJ229" s="19">
        <v>0</v>
      </c>
      <c r="BK229" s="19">
        <f t="shared" ref="BK229" si="662">SUM(BL229)</f>
        <v>0</v>
      </c>
      <c r="BL229" s="19">
        <v>0</v>
      </c>
      <c r="BM229" s="19">
        <v>0</v>
      </c>
      <c r="BN229" s="19">
        <f t="shared" ref="BN229" si="663">SUM(BO229:BY229)</f>
        <v>0</v>
      </c>
      <c r="BO229" s="19">
        <v>0</v>
      </c>
      <c r="BP229" s="19">
        <v>0</v>
      </c>
      <c r="BQ229" s="19">
        <v>0</v>
      </c>
      <c r="BR229" s="19">
        <v>0</v>
      </c>
      <c r="BS229" s="19">
        <v>0</v>
      </c>
      <c r="BT229" s="19">
        <v>0</v>
      </c>
      <c r="BU229" s="19">
        <v>0</v>
      </c>
      <c r="BV229" s="19">
        <v>0</v>
      </c>
      <c r="BW229" s="19">
        <v>0</v>
      </c>
      <c r="BX229" s="19">
        <v>0</v>
      </c>
      <c r="BY229" s="19">
        <v>0</v>
      </c>
      <c r="BZ229" s="19">
        <f t="shared" ref="BZ229" si="664">SUM(CA229+CS229)</f>
        <v>0</v>
      </c>
      <c r="CA229" s="19">
        <f t="shared" ref="CA229" si="665">SUM(CB229+CE229+CK229)</f>
        <v>0</v>
      </c>
      <c r="CB229" s="19">
        <f t="shared" ref="CB229" si="666">SUM(CC229:CD229)</f>
        <v>0</v>
      </c>
      <c r="CC229" s="19">
        <v>0</v>
      </c>
      <c r="CD229" s="19">
        <v>0</v>
      </c>
      <c r="CE229" s="19">
        <f t="shared" ref="CE229" si="667">SUM(CF229:CJ229)</f>
        <v>0</v>
      </c>
      <c r="CF229" s="19">
        <v>0</v>
      </c>
      <c r="CG229" s="19">
        <v>0</v>
      </c>
      <c r="CH229" s="19">
        <v>0</v>
      </c>
      <c r="CI229" s="19">
        <v>0</v>
      </c>
      <c r="CJ229" s="19">
        <v>0</v>
      </c>
      <c r="CK229" s="19">
        <f t="shared" ref="CK229" si="668">SUM(CL229:CP229)</f>
        <v>0</v>
      </c>
      <c r="CL229" s="19">
        <v>0</v>
      </c>
      <c r="CM229" s="19">
        <v>0</v>
      </c>
      <c r="CN229" s="19">
        <v>0</v>
      </c>
      <c r="CO229" s="19"/>
      <c r="CP229" s="19"/>
      <c r="CQ229" s="19"/>
      <c r="CR229" s="19"/>
      <c r="CS229" s="19">
        <v>0</v>
      </c>
      <c r="CT229" s="19"/>
      <c r="CU229" s="19"/>
      <c r="CV229" s="19"/>
      <c r="CW229" s="19">
        <f t="shared" ref="CW229" si="669">SUM(CX229)</f>
        <v>0</v>
      </c>
      <c r="CX229" s="19">
        <f t="shared" ref="CX229" si="670">SUM(CY229:CZ229)</f>
        <v>0</v>
      </c>
      <c r="CY229" s="19">
        <v>0</v>
      </c>
      <c r="CZ229" s="20">
        <v>0</v>
      </c>
    </row>
    <row r="230" spans="1:105" s="52" customFormat="1" ht="34.5" customHeight="1" x14ac:dyDescent="0.25">
      <c r="A230" s="82" t="s">
        <v>1</v>
      </c>
      <c r="B230" s="36" t="s">
        <v>316</v>
      </c>
      <c r="C230" s="37" t="s">
        <v>317</v>
      </c>
      <c r="D230" s="38">
        <f>SUM(E230+BZ230+CW230)</f>
        <v>2034160</v>
      </c>
      <c r="E230" s="39">
        <f>SUM(F230+BA230)</f>
        <v>1983689</v>
      </c>
      <c r="F230" s="39">
        <f t="shared" si="655"/>
        <v>1979855</v>
      </c>
      <c r="G230" s="35">
        <f>1080522+20000</f>
        <v>1100522</v>
      </c>
      <c r="H230" s="35">
        <f>287614-20000</f>
        <v>267614</v>
      </c>
      <c r="I230" s="39">
        <f t="shared" ref="I230:I292" si="671">SUM(J230:O230)</f>
        <v>141683</v>
      </c>
      <c r="J230" s="39">
        <v>0</v>
      </c>
      <c r="K230" s="39">
        <v>0</v>
      </c>
      <c r="L230" s="39">
        <v>0</v>
      </c>
      <c r="M230" s="39">
        <v>0</v>
      </c>
      <c r="N230" s="35">
        <v>84183</v>
      </c>
      <c r="O230" s="35">
        <v>57500</v>
      </c>
      <c r="P230" s="39">
        <f t="shared" ref="P230:P292" si="672">SUM(Q230:R230)</f>
        <v>79000</v>
      </c>
      <c r="Q230" s="39">
        <v>0</v>
      </c>
      <c r="R230" s="35">
        <v>79000</v>
      </c>
      <c r="S230" s="35">
        <v>0</v>
      </c>
      <c r="T230" s="35">
        <v>20518</v>
      </c>
      <c r="U230" s="39">
        <f t="shared" ref="U230" si="673">SUM(V230:AC230)</f>
        <v>56694</v>
      </c>
      <c r="V230" s="35"/>
      <c r="W230" s="35">
        <v>38963</v>
      </c>
      <c r="X230" s="35">
        <v>13151</v>
      </c>
      <c r="Y230" s="35">
        <v>1794</v>
      </c>
      <c r="Z230" s="35">
        <v>2786</v>
      </c>
      <c r="AA230" s="35">
        <v>0</v>
      </c>
      <c r="AB230" s="35">
        <v>0</v>
      </c>
      <c r="AC230" s="35">
        <v>0</v>
      </c>
      <c r="AD230" s="39">
        <f>SUM(AE230:AZ230)</f>
        <v>313824</v>
      </c>
      <c r="AE230" s="39">
        <v>0</v>
      </c>
      <c r="AF230" s="39">
        <v>0</v>
      </c>
      <c r="AG230" s="35">
        <v>4674</v>
      </c>
      <c r="AH230" s="35">
        <v>215484</v>
      </c>
      <c r="AI230" s="35">
        <v>0</v>
      </c>
      <c r="AJ230" s="35">
        <v>325</v>
      </c>
      <c r="AK230" s="35">
        <v>0</v>
      </c>
      <c r="AL230" s="35">
        <v>0</v>
      </c>
      <c r="AM230" s="35">
        <v>0</v>
      </c>
      <c r="AN230" s="35">
        <v>6833</v>
      </c>
      <c r="AO230" s="35">
        <v>0</v>
      </c>
      <c r="AP230" s="35"/>
      <c r="AQ230" s="35">
        <v>0</v>
      </c>
      <c r="AR230" s="35">
        <v>70146</v>
      </c>
      <c r="AS230" s="35">
        <v>1535</v>
      </c>
      <c r="AT230" s="35">
        <v>0</v>
      </c>
      <c r="AU230" s="35">
        <v>0</v>
      </c>
      <c r="AV230" s="35">
        <v>0</v>
      </c>
      <c r="AW230" s="35">
        <v>0</v>
      </c>
      <c r="AX230" s="35">
        <v>10980</v>
      </c>
      <c r="AY230" s="35">
        <v>0</v>
      </c>
      <c r="AZ230" s="35">
        <v>3847</v>
      </c>
      <c r="BA230" s="39">
        <f>SUM(BB230+BF230+BI230+BK230+BN230)</f>
        <v>3834</v>
      </c>
      <c r="BB230" s="39">
        <f>SUM(BC230:BE230)</f>
        <v>0</v>
      </c>
      <c r="BC230" s="39">
        <v>0</v>
      </c>
      <c r="BD230" s="39">
        <v>0</v>
      </c>
      <c r="BE230" s="39">
        <v>0</v>
      </c>
      <c r="BF230" s="39">
        <f>SUM(BH230:BH230)</f>
        <v>0</v>
      </c>
      <c r="BG230" s="39">
        <v>0</v>
      </c>
      <c r="BH230" s="39">
        <v>0</v>
      </c>
      <c r="BI230" s="39">
        <v>0</v>
      </c>
      <c r="BJ230" s="39">
        <v>0</v>
      </c>
      <c r="BK230" s="39">
        <f t="shared" ref="BK230:BK292" si="674">SUM(BL230)</f>
        <v>0</v>
      </c>
      <c r="BL230" s="39">
        <v>0</v>
      </c>
      <c r="BM230" s="39">
        <v>0</v>
      </c>
      <c r="BN230" s="39">
        <f>SUM(BO230:BY230)</f>
        <v>3834</v>
      </c>
      <c r="BO230" s="39">
        <v>0</v>
      </c>
      <c r="BP230" s="39">
        <v>0</v>
      </c>
      <c r="BQ230" s="39">
        <v>0</v>
      </c>
      <c r="BR230" s="39">
        <v>0</v>
      </c>
      <c r="BS230" s="39">
        <v>0</v>
      </c>
      <c r="BT230" s="39">
        <v>0</v>
      </c>
      <c r="BU230" s="39">
        <v>0</v>
      </c>
      <c r="BV230" s="39">
        <v>0</v>
      </c>
      <c r="BW230" s="39">
        <v>0</v>
      </c>
      <c r="BX230" s="39">
        <v>3834</v>
      </c>
      <c r="BY230" s="39">
        <v>0</v>
      </c>
      <c r="BZ230" s="39">
        <f>SUM(CA230+CS230)</f>
        <v>50471</v>
      </c>
      <c r="CA230" s="39">
        <f>SUM(CB230+CE230+CK230)</f>
        <v>50471</v>
      </c>
      <c r="CB230" s="39">
        <f t="shared" ref="CB230:CB292" si="675">SUM(CC230:CD230)</f>
        <v>14859</v>
      </c>
      <c r="CC230" s="39">
        <v>0</v>
      </c>
      <c r="CD230" s="35">
        <v>14859</v>
      </c>
      <c r="CE230" s="39">
        <f>SUM(CF230:CJ230)</f>
        <v>0</v>
      </c>
      <c r="CF230" s="39">
        <v>0</v>
      </c>
      <c r="CG230" s="39">
        <v>0</v>
      </c>
      <c r="CH230" s="39">
        <v>0</v>
      </c>
      <c r="CI230" s="39">
        <v>0</v>
      </c>
      <c r="CJ230" s="39">
        <v>0</v>
      </c>
      <c r="CK230" s="39">
        <f>SUM(CL230:CP230)</f>
        <v>35612</v>
      </c>
      <c r="CL230" s="39">
        <v>0</v>
      </c>
      <c r="CM230" s="39">
        <v>0</v>
      </c>
      <c r="CN230" s="39">
        <v>35612</v>
      </c>
      <c r="CO230" s="39"/>
      <c r="CP230" s="39"/>
      <c r="CQ230" s="39"/>
      <c r="CR230" s="39"/>
      <c r="CS230" s="39">
        <v>0</v>
      </c>
      <c r="CT230" s="39"/>
      <c r="CU230" s="39"/>
      <c r="CV230" s="39"/>
      <c r="CW230" s="39">
        <f t="shared" ref="CW230:CW292" si="676">SUM(CX230)</f>
        <v>0</v>
      </c>
      <c r="CX230" s="39">
        <f t="shared" ref="CX230:CX292" si="677">SUM(CY230:CZ230)</f>
        <v>0</v>
      </c>
      <c r="CY230" s="39">
        <v>0</v>
      </c>
      <c r="CZ230" s="41">
        <v>0</v>
      </c>
    </row>
    <row r="231" spans="1:105" s="90" customFormat="1" ht="31.5" x14ac:dyDescent="0.25">
      <c r="A231" s="86" t="s">
        <v>318</v>
      </c>
      <c r="B231" s="87" t="s">
        <v>1</v>
      </c>
      <c r="C231" s="88" t="s">
        <v>319</v>
      </c>
      <c r="D231" s="68">
        <f>SUM(D232:D245)</f>
        <v>340086281</v>
      </c>
      <c r="E231" s="68">
        <f t="shared" ref="E231:BP231" si="678">SUM(E232:E245)</f>
        <v>257248794</v>
      </c>
      <c r="F231" s="68">
        <f t="shared" si="678"/>
        <v>244088281</v>
      </c>
      <c r="G231" s="68">
        <f t="shared" si="678"/>
        <v>111085282</v>
      </c>
      <c r="H231" s="68">
        <f t="shared" si="678"/>
        <v>22606142</v>
      </c>
      <c r="I231" s="68">
        <f t="shared" si="678"/>
        <v>51768170</v>
      </c>
      <c r="J231" s="68">
        <f t="shared" si="678"/>
        <v>14870954</v>
      </c>
      <c r="K231" s="68">
        <f t="shared" si="678"/>
        <v>1894482</v>
      </c>
      <c r="L231" s="68">
        <f t="shared" si="678"/>
        <v>1504041</v>
      </c>
      <c r="M231" s="68">
        <f t="shared" si="678"/>
        <v>0</v>
      </c>
      <c r="N231" s="68">
        <f t="shared" si="678"/>
        <v>11184804</v>
      </c>
      <c r="O231" s="68">
        <f t="shared" si="678"/>
        <v>22313889</v>
      </c>
      <c r="P231" s="68">
        <f t="shared" si="678"/>
        <v>560140</v>
      </c>
      <c r="Q231" s="68">
        <f t="shared" si="678"/>
        <v>89717</v>
      </c>
      <c r="R231" s="68">
        <f t="shared" si="678"/>
        <v>470423</v>
      </c>
      <c r="S231" s="68">
        <f t="shared" si="678"/>
        <v>224964</v>
      </c>
      <c r="T231" s="68">
        <f t="shared" si="678"/>
        <v>1309023</v>
      </c>
      <c r="U231" s="68">
        <f t="shared" si="678"/>
        <v>9336581</v>
      </c>
      <c r="V231" s="68">
        <f t="shared" si="678"/>
        <v>2745930</v>
      </c>
      <c r="W231" s="68">
        <f t="shared" si="678"/>
        <v>3333194</v>
      </c>
      <c r="X231" s="68">
        <f t="shared" si="678"/>
        <v>1170032</v>
      </c>
      <c r="Y231" s="68">
        <f t="shared" si="678"/>
        <v>1077454</v>
      </c>
      <c r="Z231" s="68">
        <f t="shared" si="678"/>
        <v>684402</v>
      </c>
      <c r="AA231" s="68">
        <f t="shared" si="678"/>
        <v>133016</v>
      </c>
      <c r="AB231" s="68">
        <f t="shared" si="678"/>
        <v>0</v>
      </c>
      <c r="AC231" s="68">
        <f t="shared" si="678"/>
        <v>192553</v>
      </c>
      <c r="AD231" s="68">
        <f t="shared" si="678"/>
        <v>47197979</v>
      </c>
      <c r="AE231" s="68">
        <f t="shared" si="678"/>
        <v>76256</v>
      </c>
      <c r="AF231" s="68">
        <f t="shared" si="678"/>
        <v>0</v>
      </c>
      <c r="AG231" s="68">
        <f t="shared" si="678"/>
        <v>3981724</v>
      </c>
      <c r="AH231" s="68">
        <f t="shared" si="678"/>
        <v>8904259</v>
      </c>
      <c r="AI231" s="68">
        <f t="shared" si="678"/>
        <v>442949</v>
      </c>
      <c r="AJ231" s="68">
        <f t="shared" si="678"/>
        <v>1631622</v>
      </c>
      <c r="AK231" s="68">
        <f t="shared" si="678"/>
        <v>5000</v>
      </c>
      <c r="AL231" s="68">
        <f t="shared" si="678"/>
        <v>355782</v>
      </c>
      <c r="AM231" s="68">
        <f t="shared" si="678"/>
        <v>2788811</v>
      </c>
      <c r="AN231" s="68">
        <f t="shared" si="678"/>
        <v>15000</v>
      </c>
      <c r="AO231" s="68">
        <f t="shared" si="678"/>
        <v>22000</v>
      </c>
      <c r="AP231" s="68">
        <f t="shared" si="678"/>
        <v>50000</v>
      </c>
      <c r="AQ231" s="68">
        <f t="shared" si="678"/>
        <v>7784726</v>
      </c>
      <c r="AR231" s="68">
        <f t="shared" si="678"/>
        <v>329694</v>
      </c>
      <c r="AS231" s="68">
        <f t="shared" si="678"/>
        <v>849519</v>
      </c>
      <c r="AT231" s="68">
        <f t="shared" si="678"/>
        <v>0</v>
      </c>
      <c r="AU231" s="68">
        <f t="shared" si="678"/>
        <v>3618</v>
      </c>
      <c r="AV231" s="68">
        <f t="shared" si="678"/>
        <v>0</v>
      </c>
      <c r="AW231" s="68">
        <f t="shared" si="678"/>
        <v>1271578</v>
      </c>
      <c r="AX231" s="68">
        <f t="shared" si="678"/>
        <v>400434</v>
      </c>
      <c r="AY231" s="68">
        <f t="shared" si="678"/>
        <v>100000</v>
      </c>
      <c r="AZ231" s="68">
        <f t="shared" si="678"/>
        <v>18185007</v>
      </c>
      <c r="BA231" s="68">
        <f t="shared" si="678"/>
        <v>13160513</v>
      </c>
      <c r="BB231" s="68">
        <f t="shared" si="678"/>
        <v>0</v>
      </c>
      <c r="BC231" s="68">
        <f t="shared" si="678"/>
        <v>0</v>
      </c>
      <c r="BD231" s="68">
        <f t="shared" si="678"/>
        <v>0</v>
      </c>
      <c r="BE231" s="68">
        <f t="shared" si="678"/>
        <v>0</v>
      </c>
      <c r="BF231" s="68">
        <f t="shared" si="678"/>
        <v>0</v>
      </c>
      <c r="BG231" s="68">
        <f t="shared" si="678"/>
        <v>0</v>
      </c>
      <c r="BH231" s="68">
        <f t="shared" si="678"/>
        <v>0</v>
      </c>
      <c r="BI231" s="68">
        <f t="shared" si="678"/>
        <v>12969667</v>
      </c>
      <c r="BJ231" s="68">
        <f t="shared" si="678"/>
        <v>12969667</v>
      </c>
      <c r="BK231" s="68">
        <f t="shared" si="678"/>
        <v>0</v>
      </c>
      <c r="BL231" s="68">
        <f t="shared" si="678"/>
        <v>0</v>
      </c>
      <c r="BM231" s="68">
        <f t="shared" si="678"/>
        <v>0</v>
      </c>
      <c r="BN231" s="68">
        <f t="shared" si="678"/>
        <v>190846</v>
      </c>
      <c r="BO231" s="68">
        <f t="shared" si="678"/>
        <v>0</v>
      </c>
      <c r="BP231" s="68">
        <f t="shared" si="678"/>
        <v>0</v>
      </c>
      <c r="BQ231" s="68">
        <f t="shared" ref="BQ231:CZ231" si="679">SUM(BQ232:BQ245)</f>
        <v>0</v>
      </c>
      <c r="BR231" s="68">
        <f t="shared" si="679"/>
        <v>0</v>
      </c>
      <c r="BS231" s="68">
        <f t="shared" si="679"/>
        <v>0</v>
      </c>
      <c r="BT231" s="68">
        <f t="shared" si="679"/>
        <v>0</v>
      </c>
      <c r="BU231" s="68">
        <f t="shared" si="679"/>
        <v>0</v>
      </c>
      <c r="BV231" s="68">
        <f t="shared" si="679"/>
        <v>0</v>
      </c>
      <c r="BW231" s="68">
        <f t="shared" si="679"/>
        <v>0</v>
      </c>
      <c r="BX231" s="68">
        <f t="shared" si="679"/>
        <v>36502</v>
      </c>
      <c r="BY231" s="68">
        <f t="shared" si="679"/>
        <v>154344</v>
      </c>
      <c r="BZ231" s="68">
        <f t="shared" si="679"/>
        <v>74310036</v>
      </c>
      <c r="CA231" s="68">
        <f t="shared" si="679"/>
        <v>74310036</v>
      </c>
      <c r="CB231" s="68">
        <f t="shared" si="679"/>
        <v>70637325</v>
      </c>
      <c r="CC231" s="68">
        <f t="shared" si="679"/>
        <v>220580</v>
      </c>
      <c r="CD231" s="68">
        <f t="shared" si="679"/>
        <v>70416745</v>
      </c>
      <c r="CE231" s="68">
        <f t="shared" si="679"/>
        <v>0</v>
      </c>
      <c r="CF231" s="68">
        <f t="shared" si="679"/>
        <v>0</v>
      </c>
      <c r="CG231" s="68">
        <f t="shared" si="679"/>
        <v>0</v>
      </c>
      <c r="CH231" s="68">
        <f t="shared" si="679"/>
        <v>0</v>
      </c>
      <c r="CI231" s="68">
        <f t="shared" si="679"/>
        <v>0</v>
      </c>
      <c r="CJ231" s="68">
        <f t="shared" si="679"/>
        <v>0</v>
      </c>
      <c r="CK231" s="68">
        <f t="shared" si="679"/>
        <v>3672711</v>
      </c>
      <c r="CL231" s="68">
        <f t="shared" si="679"/>
        <v>100000</v>
      </c>
      <c r="CM231" s="68">
        <f t="shared" si="679"/>
        <v>785662</v>
      </c>
      <c r="CN231" s="68">
        <f t="shared" si="679"/>
        <v>2787049</v>
      </c>
      <c r="CO231" s="68">
        <f t="shared" si="679"/>
        <v>0</v>
      </c>
      <c r="CP231" s="68">
        <f t="shared" si="679"/>
        <v>0</v>
      </c>
      <c r="CQ231" s="68">
        <f t="shared" si="679"/>
        <v>0</v>
      </c>
      <c r="CR231" s="68">
        <f t="shared" si="679"/>
        <v>0</v>
      </c>
      <c r="CS231" s="68">
        <f t="shared" si="679"/>
        <v>0</v>
      </c>
      <c r="CT231" s="68">
        <f t="shared" ref="CT231:CU231" si="680">CT236</f>
        <v>8527451</v>
      </c>
      <c r="CU231" s="68">
        <f t="shared" si="680"/>
        <v>8527451</v>
      </c>
      <c r="CV231" s="68">
        <f>CV236</f>
        <v>8527451</v>
      </c>
      <c r="CW231" s="68">
        <f t="shared" si="679"/>
        <v>0</v>
      </c>
      <c r="CX231" s="68">
        <f t="shared" si="679"/>
        <v>0</v>
      </c>
      <c r="CY231" s="68">
        <f t="shared" si="679"/>
        <v>0</v>
      </c>
      <c r="CZ231" s="89">
        <f t="shared" si="679"/>
        <v>0</v>
      </c>
    </row>
    <row r="232" spans="1:105" ht="45.75" customHeight="1" x14ac:dyDescent="0.25">
      <c r="A232" s="80" t="s">
        <v>1</v>
      </c>
      <c r="B232" s="21" t="s">
        <v>115</v>
      </c>
      <c r="C232" s="22" t="s">
        <v>619</v>
      </c>
      <c r="D232" s="18">
        <f>SUM(E232+BZ232+CW232)</f>
        <v>30000000</v>
      </c>
      <c r="E232" s="19">
        <f t="shared" ref="E232:E244" si="681">SUM(F232+BA232)</f>
        <v>0</v>
      </c>
      <c r="F232" s="19">
        <f t="shared" ref="F232:F244" si="682">SUM(G232+H232+I232+P232+S232+T232+U232+AD232)</f>
        <v>0</v>
      </c>
      <c r="G232" s="19">
        <v>0</v>
      </c>
      <c r="H232" s="19">
        <v>0</v>
      </c>
      <c r="I232" s="19">
        <f t="shared" ref="I232" si="683">SUM(J232:O232)</f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f t="shared" ref="P232" si="684">SUM(Q232:R232)</f>
        <v>0</v>
      </c>
      <c r="Q232" s="19">
        <v>0</v>
      </c>
      <c r="R232" s="19">
        <v>0</v>
      </c>
      <c r="S232" s="19">
        <v>0</v>
      </c>
      <c r="T232" s="19">
        <v>0</v>
      </c>
      <c r="U232" s="19">
        <f t="shared" ref="U232" si="685">SUM(V232:AC232)</f>
        <v>0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0</v>
      </c>
      <c r="AB232" s="19">
        <v>0</v>
      </c>
      <c r="AC232" s="19">
        <v>0</v>
      </c>
      <c r="AD232" s="19">
        <f t="shared" ref="AD232" si="686">SUM(AE232:AZ232)</f>
        <v>0</v>
      </c>
      <c r="AE232" s="19">
        <v>0</v>
      </c>
      <c r="AF232" s="19">
        <v>0</v>
      </c>
      <c r="AG232" s="19">
        <v>0</v>
      </c>
      <c r="AH232" s="19">
        <v>0</v>
      </c>
      <c r="AI232" s="23">
        <v>0</v>
      </c>
      <c r="AJ232" s="23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/>
      <c r="AQ232" s="23"/>
      <c r="AR232" s="19">
        <v>0</v>
      </c>
      <c r="AS232" s="19">
        <v>0</v>
      </c>
      <c r="AT232" s="19">
        <v>0</v>
      </c>
      <c r="AU232" s="19">
        <v>0</v>
      </c>
      <c r="AV232" s="19">
        <v>0</v>
      </c>
      <c r="AW232" s="19">
        <v>0</v>
      </c>
      <c r="AX232" s="19">
        <v>0</v>
      </c>
      <c r="AY232" s="19">
        <v>0</v>
      </c>
      <c r="AZ232" s="24">
        <v>0</v>
      </c>
      <c r="BA232" s="19">
        <f>SUM(BB232+BF232+BI232+BK232+BN232)</f>
        <v>0</v>
      </c>
      <c r="BB232" s="19">
        <f t="shared" ref="BB232" si="687">SUM(BC232:BE232)</f>
        <v>0</v>
      </c>
      <c r="BC232" s="19">
        <v>0</v>
      </c>
      <c r="BD232" s="19">
        <v>0</v>
      </c>
      <c r="BE232" s="19">
        <v>0</v>
      </c>
      <c r="BF232" s="19">
        <f t="shared" ref="BF232" si="688">SUM(BH232:BH232)</f>
        <v>0</v>
      </c>
      <c r="BG232" s="19">
        <v>0</v>
      </c>
      <c r="BH232" s="19">
        <v>0</v>
      </c>
      <c r="BI232" s="19">
        <v>0</v>
      </c>
      <c r="BJ232" s="19">
        <v>0</v>
      </c>
      <c r="BK232" s="19">
        <f t="shared" ref="BK232" si="689">SUM(BL232)</f>
        <v>0</v>
      </c>
      <c r="BL232" s="19">
        <v>0</v>
      </c>
      <c r="BM232" s="19">
        <v>0</v>
      </c>
      <c r="BN232" s="19">
        <f t="shared" ref="BN232" si="690">SUM(BO232:BY232)</f>
        <v>0</v>
      </c>
      <c r="BO232" s="19">
        <v>0</v>
      </c>
      <c r="BP232" s="19">
        <v>0</v>
      </c>
      <c r="BQ232" s="19">
        <v>0</v>
      </c>
      <c r="BR232" s="19">
        <v>0</v>
      </c>
      <c r="BS232" s="19">
        <v>0</v>
      </c>
      <c r="BT232" s="19">
        <v>0</v>
      </c>
      <c r="BU232" s="19">
        <v>0</v>
      </c>
      <c r="BV232" s="19">
        <v>0</v>
      </c>
      <c r="BW232" s="19">
        <v>0</v>
      </c>
      <c r="BX232" s="19">
        <v>0</v>
      </c>
      <c r="BY232" s="19">
        <v>0</v>
      </c>
      <c r="BZ232" s="19">
        <f t="shared" ref="BZ232" si="691">SUM(CA232+CS232)</f>
        <v>30000000</v>
      </c>
      <c r="CA232" s="19">
        <f t="shared" ref="CA232" si="692">SUM(CB232+CE232+CK232)</f>
        <v>30000000</v>
      </c>
      <c r="CB232" s="19">
        <f t="shared" ref="CB232" si="693">SUM(CC232:CD232)</f>
        <v>30000000</v>
      </c>
      <c r="CC232" s="19">
        <v>0</v>
      </c>
      <c r="CD232" s="19">
        <f>0+30000000</f>
        <v>30000000</v>
      </c>
      <c r="CE232" s="19">
        <f t="shared" ref="CE232" si="694">SUM(CF232:CJ232)</f>
        <v>0</v>
      </c>
      <c r="CF232" s="19">
        <v>0</v>
      </c>
      <c r="CG232" s="19">
        <v>0</v>
      </c>
      <c r="CH232" s="19">
        <v>0</v>
      </c>
      <c r="CI232" s="19">
        <v>0</v>
      </c>
      <c r="CJ232" s="19">
        <v>0</v>
      </c>
      <c r="CK232" s="19">
        <f t="shared" ref="CK232" si="695">SUM(CL232:CP232)</f>
        <v>0</v>
      </c>
      <c r="CL232" s="19">
        <v>0</v>
      </c>
      <c r="CM232" s="19">
        <v>0</v>
      </c>
      <c r="CN232" s="19">
        <v>0</v>
      </c>
      <c r="CO232" s="19"/>
      <c r="CP232" s="19"/>
      <c r="CQ232" s="19"/>
      <c r="CR232" s="19"/>
      <c r="CS232" s="19">
        <v>0</v>
      </c>
      <c r="CT232" s="19"/>
      <c r="CU232" s="19"/>
      <c r="CV232" s="19"/>
      <c r="CW232" s="19">
        <f t="shared" ref="CW232" si="696">SUM(CX232)</f>
        <v>0</v>
      </c>
      <c r="CX232" s="19">
        <f t="shared" ref="CX232" si="697">SUM(CY232:CZ232)</f>
        <v>0</v>
      </c>
      <c r="CY232" s="19">
        <v>0</v>
      </c>
      <c r="CZ232" s="20">
        <v>0</v>
      </c>
    </row>
    <row r="233" spans="1:105" ht="36.6" customHeight="1" x14ac:dyDescent="0.25">
      <c r="A233" s="80" t="s">
        <v>1</v>
      </c>
      <c r="B233" s="21" t="s">
        <v>69</v>
      </c>
      <c r="C233" s="22" t="s">
        <v>320</v>
      </c>
      <c r="D233" s="18">
        <f>SUM(E233+BZ233+CW233)</f>
        <v>7500000</v>
      </c>
      <c r="E233" s="19">
        <f t="shared" si="681"/>
        <v>7500000</v>
      </c>
      <c r="F233" s="19">
        <f t="shared" si="682"/>
        <v>7500000</v>
      </c>
      <c r="G233" s="19">
        <v>0</v>
      </c>
      <c r="H233" s="19">
        <v>0</v>
      </c>
      <c r="I233" s="19">
        <f t="shared" si="671"/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9">
        <f t="shared" si="672"/>
        <v>0</v>
      </c>
      <c r="Q233" s="19">
        <v>0</v>
      </c>
      <c r="R233" s="19">
        <v>0</v>
      </c>
      <c r="S233" s="19">
        <v>0</v>
      </c>
      <c r="T233" s="19">
        <v>0</v>
      </c>
      <c r="U233" s="19">
        <f t="shared" ref="U233:U244" si="698">SUM(V233:AC233)</f>
        <v>0</v>
      </c>
      <c r="V233" s="19">
        <v>0</v>
      </c>
      <c r="W233" s="19">
        <v>0</v>
      </c>
      <c r="X233" s="19">
        <v>0</v>
      </c>
      <c r="Y233" s="19">
        <v>0</v>
      </c>
      <c r="Z233" s="19">
        <v>0</v>
      </c>
      <c r="AA233" s="19">
        <v>0</v>
      </c>
      <c r="AB233" s="19">
        <v>0</v>
      </c>
      <c r="AC233" s="19">
        <v>0</v>
      </c>
      <c r="AD233" s="19">
        <f t="shared" ref="AD233:AD244" si="699">SUM(AE233:AZ233)</f>
        <v>7500000</v>
      </c>
      <c r="AE233" s="19">
        <v>0</v>
      </c>
      <c r="AF233" s="19">
        <v>0</v>
      </c>
      <c r="AG233" s="19">
        <v>0</v>
      </c>
      <c r="AH233" s="19">
        <v>0</v>
      </c>
      <c r="AI233" s="23">
        <v>0</v>
      </c>
      <c r="AJ233" s="23">
        <v>0</v>
      </c>
      <c r="AK233" s="19">
        <v>0</v>
      </c>
      <c r="AL233" s="19">
        <v>0</v>
      </c>
      <c r="AM233" s="19">
        <v>0</v>
      </c>
      <c r="AN233" s="19">
        <v>0</v>
      </c>
      <c r="AO233" s="19">
        <v>0</v>
      </c>
      <c r="AP233" s="19"/>
      <c r="AQ233" s="23">
        <v>7500000</v>
      </c>
      <c r="AR233" s="19">
        <v>0</v>
      </c>
      <c r="AS233" s="19">
        <v>0</v>
      </c>
      <c r="AT233" s="19">
        <v>0</v>
      </c>
      <c r="AU233" s="19">
        <v>0</v>
      </c>
      <c r="AV233" s="19">
        <v>0</v>
      </c>
      <c r="AW233" s="19">
        <v>0</v>
      </c>
      <c r="AX233" s="19">
        <v>0</v>
      </c>
      <c r="AY233" s="19">
        <v>0</v>
      </c>
      <c r="AZ233" s="24">
        <v>0</v>
      </c>
      <c r="BA233" s="19">
        <f>SUM(BB233+BF233+BI233+BK233+BN233)</f>
        <v>0</v>
      </c>
      <c r="BB233" s="19">
        <f t="shared" ref="BB233:BB244" si="700">SUM(BC233:BE233)</f>
        <v>0</v>
      </c>
      <c r="BC233" s="19">
        <v>0</v>
      </c>
      <c r="BD233" s="19">
        <v>0</v>
      </c>
      <c r="BE233" s="19">
        <v>0</v>
      </c>
      <c r="BF233" s="19">
        <f t="shared" ref="BF233:BF244" si="701">SUM(BH233:BH233)</f>
        <v>0</v>
      </c>
      <c r="BG233" s="19">
        <v>0</v>
      </c>
      <c r="BH233" s="19">
        <v>0</v>
      </c>
      <c r="BI233" s="19">
        <v>0</v>
      </c>
      <c r="BJ233" s="19">
        <v>0</v>
      </c>
      <c r="BK233" s="19">
        <f t="shared" si="674"/>
        <v>0</v>
      </c>
      <c r="BL233" s="19">
        <v>0</v>
      </c>
      <c r="BM233" s="19">
        <v>0</v>
      </c>
      <c r="BN233" s="19">
        <f t="shared" ref="BN233:BN244" si="702">SUM(BO233:BY233)</f>
        <v>0</v>
      </c>
      <c r="BO233" s="19">
        <v>0</v>
      </c>
      <c r="BP233" s="19">
        <v>0</v>
      </c>
      <c r="BQ233" s="19">
        <v>0</v>
      </c>
      <c r="BR233" s="19">
        <v>0</v>
      </c>
      <c r="BS233" s="19">
        <v>0</v>
      </c>
      <c r="BT233" s="19">
        <v>0</v>
      </c>
      <c r="BU233" s="19">
        <v>0</v>
      </c>
      <c r="BV233" s="19">
        <v>0</v>
      </c>
      <c r="BW233" s="19">
        <v>0</v>
      </c>
      <c r="BX233" s="19">
        <v>0</v>
      </c>
      <c r="BY233" s="19">
        <v>0</v>
      </c>
      <c r="BZ233" s="19">
        <f t="shared" ref="BZ233:BZ244" si="703">SUM(CA233+CS233)</f>
        <v>0</v>
      </c>
      <c r="CA233" s="19">
        <f t="shared" ref="CA233:CA244" si="704">SUM(CB233+CE233+CK233)</f>
        <v>0</v>
      </c>
      <c r="CB233" s="19">
        <f t="shared" si="675"/>
        <v>0</v>
      </c>
      <c r="CC233" s="19">
        <v>0</v>
      </c>
      <c r="CD233" s="19">
        <v>0</v>
      </c>
      <c r="CE233" s="19">
        <f t="shared" ref="CE233:CE244" si="705">SUM(CF233:CJ233)</f>
        <v>0</v>
      </c>
      <c r="CF233" s="19">
        <v>0</v>
      </c>
      <c r="CG233" s="19">
        <v>0</v>
      </c>
      <c r="CH233" s="19">
        <v>0</v>
      </c>
      <c r="CI233" s="19">
        <v>0</v>
      </c>
      <c r="CJ233" s="19">
        <v>0</v>
      </c>
      <c r="CK233" s="19">
        <f t="shared" ref="CK233:CK244" si="706">SUM(CL233:CP233)</f>
        <v>0</v>
      </c>
      <c r="CL233" s="19">
        <v>0</v>
      </c>
      <c r="CM233" s="19">
        <v>0</v>
      </c>
      <c r="CN233" s="19">
        <v>0</v>
      </c>
      <c r="CO233" s="19"/>
      <c r="CP233" s="19"/>
      <c r="CQ233" s="19"/>
      <c r="CR233" s="19"/>
      <c r="CS233" s="19">
        <v>0</v>
      </c>
      <c r="CT233" s="19"/>
      <c r="CU233" s="19"/>
      <c r="CV233" s="19"/>
      <c r="CW233" s="19">
        <f t="shared" si="676"/>
        <v>0</v>
      </c>
      <c r="CX233" s="19">
        <f t="shared" si="677"/>
        <v>0</v>
      </c>
      <c r="CY233" s="19">
        <v>0</v>
      </c>
      <c r="CZ233" s="20">
        <v>0</v>
      </c>
    </row>
    <row r="234" spans="1:105" ht="30.6" customHeight="1" x14ac:dyDescent="0.25">
      <c r="A234" s="80" t="s">
        <v>1</v>
      </c>
      <c r="B234" s="36" t="s">
        <v>80</v>
      </c>
      <c r="C234" s="37" t="s">
        <v>508</v>
      </c>
      <c r="D234" s="18">
        <f>SUM(E234+BZ234+CW234)</f>
        <v>1445613</v>
      </c>
      <c r="E234" s="19">
        <f t="shared" si="681"/>
        <v>1445613</v>
      </c>
      <c r="F234" s="19">
        <f t="shared" si="682"/>
        <v>1445613</v>
      </c>
      <c r="G234" s="19">
        <v>0</v>
      </c>
      <c r="H234" s="19">
        <v>0</v>
      </c>
      <c r="I234" s="19">
        <f>SUM(J234:O234)</f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f>32507-32507</f>
        <v>0</v>
      </c>
      <c r="P234" s="19">
        <f>SUM(Q234:R234)</f>
        <v>0</v>
      </c>
      <c r="Q234" s="19">
        <v>0</v>
      </c>
      <c r="R234" s="19">
        <v>0</v>
      </c>
      <c r="S234" s="19">
        <v>0</v>
      </c>
      <c r="T234" s="19">
        <v>0</v>
      </c>
      <c r="U234" s="19">
        <f>SUM(V234:AC234)</f>
        <v>0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0</v>
      </c>
      <c r="AB234" s="19">
        <v>0</v>
      </c>
      <c r="AC234" s="19">
        <v>0</v>
      </c>
      <c r="AD234" s="19">
        <f t="shared" si="699"/>
        <v>1445613</v>
      </c>
      <c r="AE234" s="19">
        <v>0</v>
      </c>
      <c r="AF234" s="19">
        <v>0</v>
      </c>
      <c r="AG234" s="19">
        <v>0</v>
      </c>
      <c r="AH234" s="19">
        <v>0</v>
      </c>
      <c r="AI234" s="24"/>
      <c r="AJ234" s="24"/>
      <c r="AK234" s="19"/>
      <c r="AL234" s="19">
        <v>0</v>
      </c>
      <c r="AM234" s="19">
        <v>0</v>
      </c>
      <c r="AN234" s="19">
        <v>0</v>
      </c>
      <c r="AO234" s="19">
        <v>0</v>
      </c>
      <c r="AP234" s="19"/>
      <c r="AQ234" s="19">
        <v>0</v>
      </c>
      <c r="AR234" s="19">
        <v>0</v>
      </c>
      <c r="AS234" s="19">
        <v>0</v>
      </c>
      <c r="AT234" s="19">
        <v>0</v>
      </c>
      <c r="AU234" s="19">
        <v>0</v>
      </c>
      <c r="AV234" s="19">
        <v>0</v>
      </c>
      <c r="AW234" s="19">
        <v>0</v>
      </c>
      <c r="AX234" s="19">
        <v>0</v>
      </c>
      <c r="AY234" s="19">
        <v>0</v>
      </c>
      <c r="AZ234" s="24">
        <v>1445613</v>
      </c>
      <c r="BA234" s="19"/>
      <c r="BB234" s="19">
        <f>SUM(BC234:BE234)</f>
        <v>0</v>
      </c>
      <c r="BC234" s="19">
        <v>0</v>
      </c>
      <c r="BD234" s="19">
        <v>0</v>
      </c>
      <c r="BE234" s="19">
        <v>0</v>
      </c>
      <c r="BF234" s="19">
        <f>SUM(BH234:BH234)</f>
        <v>0</v>
      </c>
      <c r="BG234" s="19">
        <v>0</v>
      </c>
      <c r="BH234" s="19">
        <v>0</v>
      </c>
      <c r="BI234" s="19"/>
      <c r="BJ234" s="19">
        <v>0</v>
      </c>
      <c r="BK234" s="19">
        <f>SUM(BL234)</f>
        <v>0</v>
      </c>
      <c r="BL234" s="19">
        <v>0</v>
      </c>
      <c r="BM234" s="19">
        <v>0</v>
      </c>
      <c r="BN234" s="19">
        <f t="shared" si="702"/>
        <v>0</v>
      </c>
      <c r="BO234" s="19">
        <v>0</v>
      </c>
      <c r="BP234" s="19">
        <v>0</v>
      </c>
      <c r="BQ234" s="19">
        <v>0</v>
      </c>
      <c r="BR234" s="19">
        <v>0</v>
      </c>
      <c r="BS234" s="19">
        <v>0</v>
      </c>
      <c r="BT234" s="19">
        <v>0</v>
      </c>
      <c r="BU234" s="19">
        <v>0</v>
      </c>
      <c r="BV234" s="19">
        <v>0</v>
      </c>
      <c r="BW234" s="19">
        <v>0</v>
      </c>
      <c r="BX234" s="19">
        <v>0</v>
      </c>
      <c r="BY234" s="19">
        <v>0</v>
      </c>
      <c r="BZ234" s="19">
        <f t="shared" si="703"/>
        <v>0</v>
      </c>
      <c r="CA234" s="19">
        <f t="shared" si="704"/>
        <v>0</v>
      </c>
      <c r="CB234" s="19">
        <f>SUM(CC234:CD234)</f>
        <v>0</v>
      </c>
      <c r="CC234" s="19">
        <v>0</v>
      </c>
      <c r="CD234" s="19">
        <v>0</v>
      </c>
      <c r="CE234" s="19">
        <f t="shared" si="705"/>
        <v>0</v>
      </c>
      <c r="CF234" s="19">
        <v>0</v>
      </c>
      <c r="CG234" s="19">
        <v>0</v>
      </c>
      <c r="CH234" s="19">
        <v>0</v>
      </c>
      <c r="CI234" s="19">
        <v>0</v>
      </c>
      <c r="CJ234" s="19">
        <v>0</v>
      </c>
      <c r="CK234" s="19">
        <f>SUM(CL234:CP234)</f>
        <v>0</v>
      </c>
      <c r="CL234" s="19">
        <v>0</v>
      </c>
      <c r="CM234" s="19">
        <v>0</v>
      </c>
      <c r="CN234" s="19">
        <v>0</v>
      </c>
      <c r="CO234" s="19"/>
      <c r="CP234" s="19"/>
      <c r="CQ234" s="19"/>
      <c r="CR234" s="19"/>
      <c r="CS234" s="19">
        <v>0</v>
      </c>
      <c r="CT234" s="19"/>
      <c r="CU234" s="19"/>
      <c r="CV234" s="19"/>
      <c r="CW234" s="19">
        <f>SUM(CX234)</f>
        <v>0</v>
      </c>
      <c r="CX234" s="19">
        <f>SUM(CY234:CZ234)</f>
        <v>0</v>
      </c>
      <c r="CY234" s="19">
        <v>0</v>
      </c>
      <c r="CZ234" s="20">
        <v>0</v>
      </c>
    </row>
    <row r="235" spans="1:105" ht="15.75" x14ac:dyDescent="0.25">
      <c r="A235" s="80" t="s">
        <v>1</v>
      </c>
      <c r="B235" s="36" t="s">
        <v>80</v>
      </c>
      <c r="C235" s="37" t="s">
        <v>620</v>
      </c>
      <c r="D235" s="18">
        <f>SUM(E235+BZ235+CW235)</f>
        <v>1270160</v>
      </c>
      <c r="E235" s="19">
        <f t="shared" si="681"/>
        <v>0</v>
      </c>
      <c r="F235" s="19">
        <f t="shared" si="682"/>
        <v>0</v>
      </c>
      <c r="G235" s="19">
        <v>0</v>
      </c>
      <c r="H235" s="19">
        <v>0</v>
      </c>
      <c r="I235" s="19">
        <f>SUM(J235:O235)</f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f>32507-32507</f>
        <v>0</v>
      </c>
      <c r="P235" s="19">
        <f>SUM(Q235:R235)</f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f>SUM(V235:AC235)</f>
        <v>0</v>
      </c>
      <c r="V235" s="19">
        <v>0</v>
      </c>
      <c r="W235" s="19">
        <v>0</v>
      </c>
      <c r="X235" s="19">
        <v>0</v>
      </c>
      <c r="Y235" s="19">
        <v>0</v>
      </c>
      <c r="Z235" s="19">
        <v>0</v>
      </c>
      <c r="AA235" s="19">
        <v>0</v>
      </c>
      <c r="AB235" s="19">
        <v>0</v>
      </c>
      <c r="AC235" s="19">
        <v>0</v>
      </c>
      <c r="AD235" s="19">
        <f t="shared" ref="AD235" si="707">SUM(AE235:AZ235)</f>
        <v>0</v>
      </c>
      <c r="AE235" s="19">
        <v>0</v>
      </c>
      <c r="AF235" s="19">
        <v>0</v>
      </c>
      <c r="AG235" s="19">
        <v>0</v>
      </c>
      <c r="AH235" s="19">
        <v>0</v>
      </c>
      <c r="AI235" s="24"/>
      <c r="AJ235" s="24"/>
      <c r="AK235" s="19"/>
      <c r="AL235" s="19">
        <v>0</v>
      </c>
      <c r="AM235" s="19">
        <v>0</v>
      </c>
      <c r="AN235" s="19">
        <v>0</v>
      </c>
      <c r="AO235" s="19">
        <v>0</v>
      </c>
      <c r="AP235" s="19"/>
      <c r="AQ235" s="19">
        <v>0</v>
      </c>
      <c r="AR235" s="19">
        <v>0</v>
      </c>
      <c r="AS235" s="19">
        <v>0</v>
      </c>
      <c r="AT235" s="19">
        <v>0</v>
      </c>
      <c r="AU235" s="19">
        <v>0</v>
      </c>
      <c r="AV235" s="19">
        <v>0</v>
      </c>
      <c r="AW235" s="19">
        <v>0</v>
      </c>
      <c r="AX235" s="19">
        <v>0</v>
      </c>
      <c r="AY235" s="19">
        <v>0</v>
      </c>
      <c r="AZ235" s="24"/>
      <c r="BA235" s="19"/>
      <c r="BB235" s="19">
        <f>SUM(BC235:BE235)</f>
        <v>0</v>
      </c>
      <c r="BC235" s="19">
        <v>0</v>
      </c>
      <c r="BD235" s="19">
        <v>0</v>
      </c>
      <c r="BE235" s="19">
        <v>0</v>
      </c>
      <c r="BF235" s="19">
        <f>SUM(BH235:BH235)</f>
        <v>0</v>
      </c>
      <c r="BG235" s="19">
        <v>0</v>
      </c>
      <c r="BH235" s="19">
        <v>0</v>
      </c>
      <c r="BI235" s="19"/>
      <c r="BJ235" s="19">
        <v>0</v>
      </c>
      <c r="BK235" s="19">
        <f>SUM(BL235)</f>
        <v>0</v>
      </c>
      <c r="BL235" s="19">
        <v>0</v>
      </c>
      <c r="BM235" s="19">
        <v>0</v>
      </c>
      <c r="BN235" s="19">
        <f t="shared" ref="BN235" si="708">SUM(BO235:BY235)</f>
        <v>0</v>
      </c>
      <c r="BO235" s="19">
        <v>0</v>
      </c>
      <c r="BP235" s="19">
        <v>0</v>
      </c>
      <c r="BQ235" s="19">
        <v>0</v>
      </c>
      <c r="BR235" s="19">
        <v>0</v>
      </c>
      <c r="BS235" s="19">
        <v>0</v>
      </c>
      <c r="BT235" s="19">
        <v>0</v>
      </c>
      <c r="BU235" s="19">
        <v>0</v>
      </c>
      <c r="BV235" s="19">
        <v>0</v>
      </c>
      <c r="BW235" s="19">
        <v>0</v>
      </c>
      <c r="BX235" s="19">
        <v>0</v>
      </c>
      <c r="BY235" s="19">
        <v>0</v>
      </c>
      <c r="BZ235" s="19">
        <f t="shared" ref="BZ235" si="709">SUM(CA235+CS235)</f>
        <v>1270160</v>
      </c>
      <c r="CA235" s="19">
        <f t="shared" ref="CA235" si="710">SUM(CB235+CE235+CK235)</f>
        <v>1270160</v>
      </c>
      <c r="CB235" s="19">
        <f>SUM(CC235:CD235)</f>
        <v>1270160</v>
      </c>
      <c r="CC235" s="19">
        <v>0</v>
      </c>
      <c r="CD235" s="19">
        <f>0+1270160</f>
        <v>1270160</v>
      </c>
      <c r="CE235" s="19">
        <f t="shared" ref="CE235" si="711">SUM(CF235:CJ235)</f>
        <v>0</v>
      </c>
      <c r="CF235" s="19">
        <v>0</v>
      </c>
      <c r="CG235" s="19">
        <v>0</v>
      </c>
      <c r="CH235" s="19">
        <v>0</v>
      </c>
      <c r="CI235" s="19">
        <v>0</v>
      </c>
      <c r="CJ235" s="19">
        <v>0</v>
      </c>
      <c r="CK235" s="19">
        <f>SUM(CL235:CP235)</f>
        <v>0</v>
      </c>
      <c r="CL235" s="19">
        <v>0</v>
      </c>
      <c r="CM235" s="19">
        <v>0</v>
      </c>
      <c r="CN235" s="19">
        <v>0</v>
      </c>
      <c r="CO235" s="19"/>
      <c r="CP235" s="19"/>
      <c r="CQ235" s="19"/>
      <c r="CR235" s="19"/>
      <c r="CS235" s="19">
        <v>0</v>
      </c>
      <c r="CT235" s="19"/>
      <c r="CU235" s="19"/>
      <c r="CV235" s="19"/>
      <c r="CW235" s="19">
        <f>SUM(CX235)</f>
        <v>0</v>
      </c>
      <c r="CX235" s="19">
        <f>SUM(CY235:CZ235)</f>
        <v>0</v>
      </c>
      <c r="CY235" s="19">
        <v>0</v>
      </c>
      <c r="CZ235" s="20">
        <v>0</v>
      </c>
    </row>
    <row r="236" spans="1:105" s="73" customFormat="1" ht="15.75" x14ac:dyDescent="0.25">
      <c r="A236" s="83" t="s">
        <v>1</v>
      </c>
      <c r="B236" s="66" t="s">
        <v>80</v>
      </c>
      <c r="C236" s="67" t="s">
        <v>621</v>
      </c>
      <c r="D236" s="68">
        <f>SUM(E236+BZ236+CW236+CT236)</f>
        <v>8527451</v>
      </c>
      <c r="E236" s="69">
        <f t="shared" si="681"/>
        <v>0</v>
      </c>
      <c r="F236" s="69">
        <f t="shared" si="682"/>
        <v>0</v>
      </c>
      <c r="G236" s="69">
        <v>0</v>
      </c>
      <c r="H236" s="69">
        <v>0</v>
      </c>
      <c r="I236" s="69">
        <f>SUM(J236:O236)</f>
        <v>0</v>
      </c>
      <c r="J236" s="69">
        <v>0</v>
      </c>
      <c r="K236" s="69">
        <v>0</v>
      </c>
      <c r="L236" s="69">
        <v>0</v>
      </c>
      <c r="M236" s="69">
        <v>0</v>
      </c>
      <c r="N236" s="69">
        <v>0</v>
      </c>
      <c r="O236" s="69">
        <f>32507-32507</f>
        <v>0</v>
      </c>
      <c r="P236" s="69">
        <f>SUM(Q236:R236)</f>
        <v>0</v>
      </c>
      <c r="Q236" s="69">
        <v>0</v>
      </c>
      <c r="R236" s="69">
        <v>0</v>
      </c>
      <c r="S236" s="69">
        <v>0</v>
      </c>
      <c r="T236" s="69">
        <v>0</v>
      </c>
      <c r="U236" s="69">
        <f>SUM(V236:AC236)</f>
        <v>0</v>
      </c>
      <c r="V236" s="69">
        <v>0</v>
      </c>
      <c r="W236" s="69">
        <v>0</v>
      </c>
      <c r="X236" s="69">
        <v>0</v>
      </c>
      <c r="Y236" s="69">
        <v>0</v>
      </c>
      <c r="Z236" s="69">
        <v>0</v>
      </c>
      <c r="AA236" s="69">
        <v>0</v>
      </c>
      <c r="AB236" s="69">
        <v>0</v>
      </c>
      <c r="AC236" s="69">
        <v>0</v>
      </c>
      <c r="AD236" s="69">
        <f t="shared" ref="AD236" si="712">SUM(AE236:AZ236)</f>
        <v>0</v>
      </c>
      <c r="AE236" s="69">
        <v>0</v>
      </c>
      <c r="AF236" s="69">
        <v>0</v>
      </c>
      <c r="AG236" s="69">
        <v>0</v>
      </c>
      <c r="AH236" s="69">
        <v>0</v>
      </c>
      <c r="AI236" s="71"/>
      <c r="AJ236" s="71"/>
      <c r="AK236" s="69"/>
      <c r="AL236" s="69">
        <v>0</v>
      </c>
      <c r="AM236" s="69">
        <v>0</v>
      </c>
      <c r="AN236" s="69">
        <v>0</v>
      </c>
      <c r="AO236" s="69">
        <v>0</v>
      </c>
      <c r="AP236" s="69"/>
      <c r="AQ236" s="69">
        <v>0</v>
      </c>
      <c r="AR236" s="69">
        <v>0</v>
      </c>
      <c r="AS236" s="69">
        <v>0</v>
      </c>
      <c r="AT236" s="69">
        <v>0</v>
      </c>
      <c r="AU236" s="69">
        <v>0</v>
      </c>
      <c r="AV236" s="69">
        <v>0</v>
      </c>
      <c r="AW236" s="69">
        <v>0</v>
      </c>
      <c r="AX236" s="69">
        <v>0</v>
      </c>
      <c r="AY236" s="69">
        <v>0</v>
      </c>
      <c r="AZ236" s="71"/>
      <c r="BA236" s="69"/>
      <c r="BB236" s="69">
        <f>SUM(BC236:BE236)</f>
        <v>0</v>
      </c>
      <c r="BC236" s="69">
        <v>0</v>
      </c>
      <c r="BD236" s="69">
        <v>0</v>
      </c>
      <c r="BE236" s="69">
        <v>0</v>
      </c>
      <c r="BF236" s="69">
        <f>SUM(BH236:BH236)</f>
        <v>0</v>
      </c>
      <c r="BG236" s="69">
        <v>0</v>
      </c>
      <c r="BH236" s="69">
        <v>0</v>
      </c>
      <c r="BI236" s="69"/>
      <c r="BJ236" s="69">
        <v>0</v>
      </c>
      <c r="BK236" s="69">
        <f>SUM(BL236)</f>
        <v>0</v>
      </c>
      <c r="BL236" s="69">
        <v>0</v>
      </c>
      <c r="BM236" s="69">
        <v>0</v>
      </c>
      <c r="BN236" s="69">
        <f t="shared" ref="BN236" si="713">SUM(BO236:BY236)</f>
        <v>0</v>
      </c>
      <c r="BO236" s="69">
        <v>0</v>
      </c>
      <c r="BP236" s="69">
        <v>0</v>
      </c>
      <c r="BQ236" s="69">
        <v>0</v>
      </c>
      <c r="BR236" s="69">
        <v>0</v>
      </c>
      <c r="BS236" s="69">
        <v>0</v>
      </c>
      <c r="BT236" s="69">
        <v>0</v>
      </c>
      <c r="BU236" s="69">
        <v>0</v>
      </c>
      <c r="BV236" s="69">
        <v>0</v>
      </c>
      <c r="BW236" s="69">
        <v>0</v>
      </c>
      <c r="BX236" s="69">
        <v>0</v>
      </c>
      <c r="BY236" s="69">
        <v>0</v>
      </c>
      <c r="BZ236" s="69">
        <f t="shared" ref="BZ236" si="714">SUM(CA236+CS236)</f>
        <v>0</v>
      </c>
      <c r="CA236" s="69">
        <f t="shared" ref="CA236" si="715">SUM(CB236+CE236+CK236)</f>
        <v>0</v>
      </c>
      <c r="CB236" s="69">
        <f>SUM(CC236:CD236)</f>
        <v>0</v>
      </c>
      <c r="CC236" s="69">
        <v>0</v>
      </c>
      <c r="CD236" s="69"/>
      <c r="CE236" s="69">
        <f t="shared" ref="CE236" si="716">SUM(CF236:CJ236)</f>
        <v>0</v>
      </c>
      <c r="CF236" s="69">
        <v>0</v>
      </c>
      <c r="CG236" s="69">
        <v>0</v>
      </c>
      <c r="CH236" s="69">
        <v>0</v>
      </c>
      <c r="CI236" s="69">
        <v>0</v>
      </c>
      <c r="CJ236" s="69">
        <v>0</v>
      </c>
      <c r="CK236" s="69">
        <f>SUM(CL236:CP236)</f>
        <v>0</v>
      </c>
      <c r="CL236" s="69">
        <v>0</v>
      </c>
      <c r="CM236" s="69">
        <v>0</v>
      </c>
      <c r="CN236" s="69">
        <v>0</v>
      </c>
      <c r="CO236" s="69"/>
      <c r="CP236" s="69"/>
      <c r="CQ236" s="69"/>
      <c r="CR236" s="69"/>
      <c r="CS236" s="69">
        <v>0</v>
      </c>
      <c r="CT236" s="69">
        <f>CU236</f>
        <v>8527451</v>
      </c>
      <c r="CU236" s="69">
        <f>CV236</f>
        <v>8527451</v>
      </c>
      <c r="CV236" s="69">
        <f>0+8527451</f>
        <v>8527451</v>
      </c>
      <c r="CW236" s="69">
        <f>SUM(CX236)</f>
        <v>0</v>
      </c>
      <c r="CX236" s="69">
        <f>SUM(CY236:CZ236)</f>
        <v>0</v>
      </c>
      <c r="CY236" s="69">
        <v>0</v>
      </c>
      <c r="CZ236" s="72">
        <v>0</v>
      </c>
    </row>
    <row r="237" spans="1:105" ht="31.5" x14ac:dyDescent="0.25">
      <c r="A237" s="82"/>
      <c r="B237" s="42" t="s">
        <v>82</v>
      </c>
      <c r="C237" s="43" t="s">
        <v>492</v>
      </c>
      <c r="D237" s="38">
        <f t="shared" ref="D237:D244" si="717">SUM(E237+BZ237+CW237)</f>
        <v>166450</v>
      </c>
      <c r="E237" s="39">
        <f t="shared" si="681"/>
        <v>166450</v>
      </c>
      <c r="F237" s="39">
        <f t="shared" si="682"/>
        <v>166450</v>
      </c>
      <c r="G237" s="39">
        <v>0</v>
      </c>
      <c r="H237" s="39">
        <v>0</v>
      </c>
      <c r="I237" s="39">
        <f t="shared" ref="I237" si="718">SUM(J237:O237)</f>
        <v>0</v>
      </c>
      <c r="J237" s="39">
        <v>0</v>
      </c>
      <c r="K237" s="39">
        <v>0</v>
      </c>
      <c r="L237" s="39">
        <v>0</v>
      </c>
      <c r="M237" s="39">
        <v>0</v>
      </c>
      <c r="N237" s="39">
        <v>0</v>
      </c>
      <c r="O237" s="39">
        <v>0</v>
      </c>
      <c r="P237" s="39">
        <f t="shared" ref="P237" si="719">SUM(Q237:R237)</f>
        <v>0</v>
      </c>
      <c r="Q237" s="39">
        <v>0</v>
      </c>
      <c r="R237" s="39">
        <v>0</v>
      </c>
      <c r="S237" s="39">
        <v>0</v>
      </c>
      <c r="T237" s="39">
        <v>0</v>
      </c>
      <c r="U237" s="39">
        <f t="shared" si="698"/>
        <v>0</v>
      </c>
      <c r="V237" s="39">
        <v>0</v>
      </c>
      <c r="W237" s="39">
        <v>0</v>
      </c>
      <c r="X237" s="39">
        <v>0</v>
      </c>
      <c r="Y237" s="39">
        <v>0</v>
      </c>
      <c r="Z237" s="39">
        <v>0</v>
      </c>
      <c r="AA237" s="39">
        <v>0</v>
      </c>
      <c r="AB237" s="39">
        <v>0</v>
      </c>
      <c r="AC237" s="39">
        <v>0</v>
      </c>
      <c r="AD237" s="39">
        <f t="shared" si="699"/>
        <v>166450</v>
      </c>
      <c r="AE237" s="40"/>
      <c r="AF237" s="40"/>
      <c r="AG237" s="39">
        <v>0</v>
      </c>
      <c r="AH237" s="39">
        <v>0</v>
      </c>
      <c r="AI237" s="35">
        <v>166450</v>
      </c>
      <c r="AJ237" s="35">
        <v>0</v>
      </c>
      <c r="AK237" s="39">
        <v>0</v>
      </c>
      <c r="AL237" s="39">
        <v>0</v>
      </c>
      <c r="AM237" s="39">
        <v>0</v>
      </c>
      <c r="AN237" s="39">
        <v>0</v>
      </c>
      <c r="AO237" s="39">
        <v>0</v>
      </c>
      <c r="AP237" s="39"/>
      <c r="AQ237" s="39">
        <v>0</v>
      </c>
      <c r="AR237" s="39">
        <v>0</v>
      </c>
      <c r="AS237" s="39">
        <v>0</v>
      </c>
      <c r="AT237" s="39">
        <v>0</v>
      </c>
      <c r="AU237" s="39">
        <v>0</v>
      </c>
      <c r="AV237" s="39">
        <v>0</v>
      </c>
      <c r="AW237" s="39">
        <v>0</v>
      </c>
      <c r="AX237" s="39">
        <v>0</v>
      </c>
      <c r="AY237" s="39">
        <v>0</v>
      </c>
      <c r="AZ237" s="39"/>
      <c r="BA237" s="39">
        <f t="shared" ref="BA237:BA241" si="720">SUM(BB237+BF237+BI237+BK237+BN237)</f>
        <v>0</v>
      </c>
      <c r="BB237" s="39">
        <f t="shared" si="700"/>
        <v>0</v>
      </c>
      <c r="BC237" s="39">
        <v>0</v>
      </c>
      <c r="BD237" s="39">
        <v>0</v>
      </c>
      <c r="BE237" s="39">
        <v>0</v>
      </c>
      <c r="BF237" s="39">
        <f t="shared" si="701"/>
        <v>0</v>
      </c>
      <c r="BG237" s="39">
        <v>0</v>
      </c>
      <c r="BH237" s="39">
        <v>0</v>
      </c>
      <c r="BI237" s="39">
        <v>0</v>
      </c>
      <c r="BJ237" s="39">
        <v>0</v>
      </c>
      <c r="BK237" s="39">
        <f t="shared" si="674"/>
        <v>0</v>
      </c>
      <c r="BL237" s="39">
        <v>0</v>
      </c>
      <c r="BM237" s="39">
        <v>0</v>
      </c>
      <c r="BN237" s="39">
        <f t="shared" si="702"/>
        <v>0</v>
      </c>
      <c r="BO237" s="39">
        <v>0</v>
      </c>
      <c r="BP237" s="39">
        <v>0</v>
      </c>
      <c r="BQ237" s="39">
        <v>0</v>
      </c>
      <c r="BR237" s="39">
        <v>0</v>
      </c>
      <c r="BS237" s="39">
        <v>0</v>
      </c>
      <c r="BT237" s="39">
        <v>0</v>
      </c>
      <c r="BU237" s="39">
        <v>0</v>
      </c>
      <c r="BV237" s="39">
        <v>0</v>
      </c>
      <c r="BW237" s="39">
        <v>0</v>
      </c>
      <c r="BX237" s="39">
        <v>0</v>
      </c>
      <c r="BY237" s="39">
        <v>0</v>
      </c>
      <c r="BZ237" s="39">
        <f t="shared" si="703"/>
        <v>0</v>
      </c>
      <c r="CA237" s="39">
        <f t="shared" si="704"/>
        <v>0</v>
      </c>
      <c r="CB237" s="39">
        <f t="shared" ref="CB237" si="721">SUM(CC237:CD237)</f>
        <v>0</v>
      </c>
      <c r="CC237" s="39">
        <v>0</v>
      </c>
      <c r="CD237" s="39">
        <v>0</v>
      </c>
      <c r="CE237" s="19">
        <f t="shared" si="705"/>
        <v>0</v>
      </c>
      <c r="CF237" s="39">
        <v>0</v>
      </c>
      <c r="CG237" s="39">
        <v>0</v>
      </c>
      <c r="CH237" s="39">
        <v>0</v>
      </c>
      <c r="CI237" s="39">
        <v>0</v>
      </c>
      <c r="CJ237" s="39">
        <v>0</v>
      </c>
      <c r="CK237" s="39">
        <f t="shared" si="706"/>
        <v>0</v>
      </c>
      <c r="CL237" s="39">
        <v>0</v>
      </c>
      <c r="CM237" s="39">
        <v>0</v>
      </c>
      <c r="CN237" s="39">
        <v>0</v>
      </c>
      <c r="CO237" s="39"/>
      <c r="CP237" s="39"/>
      <c r="CQ237" s="39"/>
      <c r="CR237" s="39"/>
      <c r="CS237" s="39">
        <v>0</v>
      </c>
      <c r="CT237" s="39"/>
      <c r="CU237" s="39"/>
      <c r="CV237" s="39"/>
      <c r="CW237" s="39">
        <f t="shared" si="676"/>
        <v>0</v>
      </c>
      <c r="CX237" s="39">
        <f t="shared" si="677"/>
        <v>0</v>
      </c>
      <c r="CY237" s="39">
        <v>0</v>
      </c>
      <c r="CZ237" s="41">
        <v>0</v>
      </c>
    </row>
    <row r="238" spans="1:105" ht="47.25" x14ac:dyDescent="0.25">
      <c r="A238" s="82"/>
      <c r="B238" s="42">
        <v>113</v>
      </c>
      <c r="C238" s="43" t="s">
        <v>558</v>
      </c>
      <c r="D238" s="38">
        <f t="shared" si="717"/>
        <v>25149842</v>
      </c>
      <c r="E238" s="39">
        <f t="shared" si="681"/>
        <v>1005262</v>
      </c>
      <c r="F238" s="39">
        <f t="shared" si="682"/>
        <v>1005262</v>
      </c>
      <c r="G238" s="39">
        <v>0</v>
      </c>
      <c r="H238" s="39">
        <v>0</v>
      </c>
      <c r="I238" s="39">
        <f t="shared" ref="I238" si="722">SUM(J238:O238)</f>
        <v>0</v>
      </c>
      <c r="J238" s="35">
        <v>0</v>
      </c>
      <c r="K238" s="35">
        <v>0</v>
      </c>
      <c r="L238" s="35">
        <v>0</v>
      </c>
      <c r="M238" s="35">
        <v>0</v>
      </c>
      <c r="N238" s="35">
        <v>0</v>
      </c>
      <c r="O238" s="35"/>
      <c r="P238" s="39">
        <f t="shared" ref="P238" si="723">SUM(Q238:R238)</f>
        <v>0</v>
      </c>
      <c r="Q238" s="39">
        <v>0</v>
      </c>
      <c r="R238" s="39">
        <v>0</v>
      </c>
      <c r="S238" s="39">
        <v>0</v>
      </c>
      <c r="T238" s="39">
        <v>0</v>
      </c>
      <c r="U238" s="39">
        <f t="shared" ref="U238" si="724">SUM(V238:AC238)</f>
        <v>0</v>
      </c>
      <c r="V238" s="39">
        <v>0</v>
      </c>
      <c r="W238" s="39">
        <v>0</v>
      </c>
      <c r="X238" s="39">
        <v>0</v>
      </c>
      <c r="Y238" s="39">
        <v>0</v>
      </c>
      <c r="Z238" s="39">
        <v>0</v>
      </c>
      <c r="AA238" s="39">
        <v>0</v>
      </c>
      <c r="AB238" s="39">
        <v>0</v>
      </c>
      <c r="AC238" s="39">
        <v>0</v>
      </c>
      <c r="AD238" s="39">
        <f t="shared" si="699"/>
        <v>1005262</v>
      </c>
      <c r="AE238" s="39">
        <v>0</v>
      </c>
      <c r="AF238" s="39">
        <v>0</v>
      </c>
      <c r="AG238" s="35">
        <f>0+1000000+5262</f>
        <v>1005262</v>
      </c>
      <c r="AH238" s="35"/>
      <c r="AI238" s="35"/>
      <c r="AJ238" s="35">
        <v>0</v>
      </c>
      <c r="AK238" s="35">
        <v>0</v>
      </c>
      <c r="AL238" s="35">
        <v>0</v>
      </c>
      <c r="AM238" s="35">
        <v>0</v>
      </c>
      <c r="AN238" s="35">
        <v>0</v>
      </c>
      <c r="AO238" s="35">
        <v>0</v>
      </c>
      <c r="AP238" s="35"/>
      <c r="AQ238" s="35">
        <v>0</v>
      </c>
      <c r="AR238" s="35">
        <v>0</v>
      </c>
      <c r="AS238" s="35">
        <v>0</v>
      </c>
      <c r="AT238" s="35">
        <v>0</v>
      </c>
      <c r="AU238" s="35">
        <v>0</v>
      </c>
      <c r="AV238" s="35">
        <v>0</v>
      </c>
      <c r="AW238" s="35">
        <v>0</v>
      </c>
      <c r="AX238" s="35">
        <v>0</v>
      </c>
      <c r="AY238" s="35">
        <v>0</v>
      </c>
      <c r="AZ238" s="35">
        <v>0</v>
      </c>
      <c r="BA238" s="39">
        <f t="shared" si="720"/>
        <v>0</v>
      </c>
      <c r="BB238" s="39">
        <f t="shared" ref="BB238" si="725">SUM(BC238:BE238)</f>
        <v>0</v>
      </c>
      <c r="BC238" s="39">
        <v>0</v>
      </c>
      <c r="BD238" s="39">
        <v>0</v>
      </c>
      <c r="BE238" s="39">
        <v>0</v>
      </c>
      <c r="BF238" s="39">
        <f t="shared" ref="BF238" si="726">SUM(BH238:BH238)</f>
        <v>0</v>
      </c>
      <c r="BG238" s="39">
        <v>0</v>
      </c>
      <c r="BH238" s="39">
        <v>0</v>
      </c>
      <c r="BI238" s="39">
        <v>0</v>
      </c>
      <c r="BJ238" s="39">
        <v>0</v>
      </c>
      <c r="BK238" s="39">
        <f t="shared" ref="BK238" si="727">SUM(BL238)</f>
        <v>0</v>
      </c>
      <c r="BL238" s="39">
        <v>0</v>
      </c>
      <c r="BM238" s="39">
        <v>0</v>
      </c>
      <c r="BN238" s="39">
        <f t="shared" si="702"/>
        <v>0</v>
      </c>
      <c r="BO238" s="39">
        <v>0</v>
      </c>
      <c r="BP238" s="39">
        <v>0</v>
      </c>
      <c r="BQ238" s="39">
        <v>0</v>
      </c>
      <c r="BR238" s="39">
        <v>0</v>
      </c>
      <c r="BS238" s="39">
        <v>0</v>
      </c>
      <c r="BT238" s="39">
        <v>0</v>
      </c>
      <c r="BU238" s="39">
        <v>0</v>
      </c>
      <c r="BV238" s="39">
        <v>0</v>
      </c>
      <c r="BW238" s="39">
        <v>0</v>
      </c>
      <c r="BX238" s="39">
        <v>0</v>
      </c>
      <c r="BY238" s="39">
        <v>0</v>
      </c>
      <c r="BZ238" s="39">
        <f t="shared" si="703"/>
        <v>24144580</v>
      </c>
      <c r="CA238" s="39">
        <f t="shared" si="704"/>
        <v>24144580</v>
      </c>
      <c r="CB238" s="39">
        <f t="shared" ref="CB238" si="728">SUM(CC238:CD238)</f>
        <v>24144580</v>
      </c>
      <c r="CC238" s="39">
        <v>0</v>
      </c>
      <c r="CD238" s="39">
        <f>27029069-1000000+4010511-5895000</f>
        <v>24144580</v>
      </c>
      <c r="CE238" s="19">
        <f t="shared" si="705"/>
        <v>0</v>
      </c>
      <c r="CF238" s="39">
        <v>0</v>
      </c>
      <c r="CG238" s="39">
        <v>0</v>
      </c>
      <c r="CH238" s="39">
        <v>0</v>
      </c>
      <c r="CI238" s="39">
        <v>0</v>
      </c>
      <c r="CJ238" s="39">
        <v>0</v>
      </c>
      <c r="CK238" s="39">
        <f t="shared" ref="CK238" si="729">SUM(CL238:CP238)</f>
        <v>0</v>
      </c>
      <c r="CL238" s="39">
        <v>0</v>
      </c>
      <c r="CM238" s="39">
        <v>0</v>
      </c>
      <c r="CN238" s="39">
        <v>0</v>
      </c>
      <c r="CO238" s="39"/>
      <c r="CP238" s="39"/>
      <c r="CQ238" s="39"/>
      <c r="CR238" s="39"/>
      <c r="CS238" s="39">
        <v>0</v>
      </c>
      <c r="CT238" s="39"/>
      <c r="CU238" s="39"/>
      <c r="CV238" s="39"/>
      <c r="CW238" s="39">
        <f t="shared" ref="CW238" si="730">SUM(CX238)</f>
        <v>0</v>
      </c>
      <c r="CX238" s="39">
        <f t="shared" ref="CX238" si="731">SUM(CY238:CZ238)</f>
        <v>0</v>
      </c>
      <c r="CY238" s="39">
        <v>0</v>
      </c>
      <c r="CZ238" s="41">
        <v>0</v>
      </c>
    </row>
    <row r="239" spans="1:105" ht="31.5" x14ac:dyDescent="0.25">
      <c r="A239" s="82"/>
      <c r="B239" s="42" t="s">
        <v>86</v>
      </c>
      <c r="C239" s="43" t="s">
        <v>492</v>
      </c>
      <c r="D239" s="38">
        <f t="shared" si="717"/>
        <v>1575</v>
      </c>
      <c r="E239" s="39">
        <f t="shared" si="681"/>
        <v>1575</v>
      </c>
      <c r="F239" s="39">
        <f t="shared" si="682"/>
        <v>1575</v>
      </c>
      <c r="G239" s="39">
        <v>0</v>
      </c>
      <c r="H239" s="39">
        <v>0</v>
      </c>
      <c r="I239" s="39">
        <f t="shared" ref="I239" si="732">SUM(J239:O239)</f>
        <v>0</v>
      </c>
      <c r="J239" s="35">
        <v>0</v>
      </c>
      <c r="K239" s="35">
        <v>0</v>
      </c>
      <c r="L239" s="35">
        <v>0</v>
      </c>
      <c r="M239" s="35">
        <v>0</v>
      </c>
      <c r="N239" s="35">
        <v>0</v>
      </c>
      <c r="O239" s="35">
        <v>0</v>
      </c>
      <c r="P239" s="39">
        <f t="shared" ref="P239" si="733">SUM(Q239:R239)</f>
        <v>0</v>
      </c>
      <c r="Q239" s="39">
        <v>0</v>
      </c>
      <c r="R239" s="39">
        <v>0</v>
      </c>
      <c r="S239" s="39">
        <v>0</v>
      </c>
      <c r="T239" s="39">
        <v>0</v>
      </c>
      <c r="U239" s="39">
        <f t="shared" si="698"/>
        <v>0</v>
      </c>
      <c r="V239" s="39">
        <v>0</v>
      </c>
      <c r="W239" s="39">
        <v>0</v>
      </c>
      <c r="X239" s="39">
        <v>0</v>
      </c>
      <c r="Y239" s="39">
        <v>0</v>
      </c>
      <c r="Z239" s="39">
        <v>0</v>
      </c>
      <c r="AA239" s="39">
        <v>0</v>
      </c>
      <c r="AB239" s="39">
        <v>0</v>
      </c>
      <c r="AC239" s="39">
        <v>0</v>
      </c>
      <c r="AD239" s="39">
        <f t="shared" si="699"/>
        <v>1575</v>
      </c>
      <c r="AE239" s="40"/>
      <c r="AF239" s="40"/>
      <c r="AG239" s="35"/>
      <c r="AH239" s="35"/>
      <c r="AI239" s="35">
        <v>1575</v>
      </c>
      <c r="AJ239" s="35"/>
      <c r="AK239" s="35">
        <v>0</v>
      </c>
      <c r="AL239" s="35">
        <v>0</v>
      </c>
      <c r="AM239" s="35">
        <v>0</v>
      </c>
      <c r="AN239" s="35">
        <v>0</v>
      </c>
      <c r="AO239" s="35">
        <v>0</v>
      </c>
      <c r="AP239" s="35"/>
      <c r="AQ239" s="35">
        <v>0</v>
      </c>
      <c r="AR239" s="35">
        <v>0</v>
      </c>
      <c r="AS239" s="35">
        <v>0</v>
      </c>
      <c r="AT239" s="35">
        <v>0</v>
      </c>
      <c r="AU239" s="35">
        <v>0</v>
      </c>
      <c r="AV239" s="35">
        <v>0</v>
      </c>
      <c r="AW239" s="35">
        <v>0</v>
      </c>
      <c r="AX239" s="35">
        <v>0</v>
      </c>
      <c r="AY239" s="35">
        <v>0</v>
      </c>
      <c r="AZ239" s="35">
        <v>0</v>
      </c>
      <c r="BA239" s="39">
        <f t="shared" si="720"/>
        <v>0</v>
      </c>
      <c r="BB239" s="39">
        <f t="shared" si="700"/>
        <v>0</v>
      </c>
      <c r="BC239" s="39">
        <v>0</v>
      </c>
      <c r="BD239" s="39">
        <v>0</v>
      </c>
      <c r="BE239" s="39">
        <v>0</v>
      </c>
      <c r="BF239" s="39">
        <f t="shared" si="701"/>
        <v>0</v>
      </c>
      <c r="BG239" s="39">
        <v>0</v>
      </c>
      <c r="BH239" s="39">
        <v>0</v>
      </c>
      <c r="BI239" s="39">
        <v>0</v>
      </c>
      <c r="BJ239" s="39">
        <v>0</v>
      </c>
      <c r="BK239" s="39">
        <f t="shared" si="674"/>
        <v>0</v>
      </c>
      <c r="BL239" s="39">
        <v>0</v>
      </c>
      <c r="BM239" s="39">
        <v>0</v>
      </c>
      <c r="BN239" s="39">
        <f t="shared" si="702"/>
        <v>0</v>
      </c>
      <c r="BO239" s="39">
        <v>0</v>
      </c>
      <c r="BP239" s="39">
        <v>0</v>
      </c>
      <c r="BQ239" s="39">
        <v>0</v>
      </c>
      <c r="BR239" s="39">
        <v>0</v>
      </c>
      <c r="BS239" s="39">
        <v>0</v>
      </c>
      <c r="BT239" s="39">
        <v>0</v>
      </c>
      <c r="BU239" s="39">
        <v>0</v>
      </c>
      <c r="BV239" s="39">
        <v>0</v>
      </c>
      <c r="BW239" s="39">
        <v>0</v>
      </c>
      <c r="BX239" s="39">
        <v>0</v>
      </c>
      <c r="BY239" s="39">
        <v>0</v>
      </c>
      <c r="BZ239" s="39">
        <f t="shared" si="703"/>
        <v>0</v>
      </c>
      <c r="CA239" s="39">
        <f t="shared" si="704"/>
        <v>0</v>
      </c>
      <c r="CB239" s="39">
        <f t="shared" ref="CB239" si="734">SUM(CC239:CD239)</f>
        <v>0</v>
      </c>
      <c r="CC239" s="39">
        <v>0</v>
      </c>
      <c r="CD239" s="39">
        <v>0</v>
      </c>
      <c r="CE239" s="19">
        <f t="shared" si="705"/>
        <v>0</v>
      </c>
      <c r="CF239" s="39">
        <v>0</v>
      </c>
      <c r="CG239" s="39">
        <v>0</v>
      </c>
      <c r="CH239" s="39">
        <v>0</v>
      </c>
      <c r="CI239" s="39">
        <v>0</v>
      </c>
      <c r="CJ239" s="39">
        <v>0</v>
      </c>
      <c r="CK239" s="39">
        <f t="shared" si="706"/>
        <v>0</v>
      </c>
      <c r="CL239" s="39">
        <v>0</v>
      </c>
      <c r="CM239" s="39">
        <v>0</v>
      </c>
      <c r="CN239" s="39">
        <v>0</v>
      </c>
      <c r="CO239" s="39"/>
      <c r="CP239" s="39"/>
      <c r="CQ239" s="39"/>
      <c r="CR239" s="39"/>
      <c r="CS239" s="39">
        <v>0</v>
      </c>
      <c r="CT239" s="39"/>
      <c r="CU239" s="39"/>
      <c r="CV239" s="39"/>
      <c r="CW239" s="39">
        <f t="shared" ref="CW239" si="735">SUM(CX239)</f>
        <v>0</v>
      </c>
      <c r="CX239" s="39">
        <f t="shared" si="677"/>
        <v>0</v>
      </c>
      <c r="CY239" s="39">
        <v>0</v>
      </c>
      <c r="CZ239" s="41">
        <v>0</v>
      </c>
    </row>
    <row r="240" spans="1:105" ht="39.75" customHeight="1" x14ac:dyDescent="0.25">
      <c r="A240" s="82"/>
      <c r="B240" s="36" t="s">
        <v>86</v>
      </c>
      <c r="C240" s="37" t="s">
        <v>493</v>
      </c>
      <c r="D240" s="38">
        <f t="shared" si="717"/>
        <v>1000000</v>
      </c>
      <c r="E240" s="39">
        <f t="shared" si="681"/>
        <v>1000000</v>
      </c>
      <c r="F240" s="39">
        <f t="shared" si="682"/>
        <v>1000000</v>
      </c>
      <c r="G240" s="39"/>
      <c r="H240" s="39"/>
      <c r="I240" s="39">
        <f t="shared" si="671"/>
        <v>0</v>
      </c>
      <c r="J240" s="35">
        <v>0</v>
      </c>
      <c r="K240" s="35">
        <v>0</v>
      </c>
      <c r="L240" s="35">
        <v>0</v>
      </c>
      <c r="M240" s="35">
        <v>0</v>
      </c>
      <c r="N240" s="35">
        <v>0</v>
      </c>
      <c r="O240" s="35">
        <v>0</v>
      </c>
      <c r="P240" s="39">
        <f t="shared" si="672"/>
        <v>0</v>
      </c>
      <c r="Q240" s="39"/>
      <c r="R240" s="39"/>
      <c r="S240" s="39">
        <v>0</v>
      </c>
      <c r="T240" s="39"/>
      <c r="U240" s="39">
        <f t="shared" si="698"/>
        <v>0</v>
      </c>
      <c r="V240" s="39"/>
      <c r="W240" s="39"/>
      <c r="X240" s="39"/>
      <c r="Y240" s="39"/>
      <c r="Z240" s="39"/>
      <c r="AA240" s="39">
        <v>0</v>
      </c>
      <c r="AB240" s="39">
        <v>0</v>
      </c>
      <c r="AC240" s="39"/>
      <c r="AD240" s="39">
        <f t="shared" si="699"/>
        <v>1000000</v>
      </c>
      <c r="AE240" s="39"/>
      <c r="AF240" s="39"/>
      <c r="AG240" s="35"/>
      <c r="AH240" s="35"/>
      <c r="AI240" s="35"/>
      <c r="AJ240" s="35">
        <v>1000000</v>
      </c>
      <c r="AK240" s="35">
        <v>0</v>
      </c>
      <c r="AL240" s="35">
        <v>0</v>
      </c>
      <c r="AM240" s="35">
        <v>0</v>
      </c>
      <c r="AN240" s="35">
        <v>0</v>
      </c>
      <c r="AO240" s="35">
        <v>0</v>
      </c>
      <c r="AP240" s="35"/>
      <c r="AQ240" s="35">
        <v>0</v>
      </c>
      <c r="AR240" s="35">
        <v>0</v>
      </c>
      <c r="AS240" s="35">
        <v>0</v>
      </c>
      <c r="AT240" s="35">
        <v>0</v>
      </c>
      <c r="AU240" s="35">
        <v>0</v>
      </c>
      <c r="AV240" s="35">
        <v>0</v>
      </c>
      <c r="AW240" s="35">
        <v>0</v>
      </c>
      <c r="AX240" s="35">
        <v>0</v>
      </c>
      <c r="AY240" s="35">
        <v>0</v>
      </c>
      <c r="AZ240" s="35">
        <v>0</v>
      </c>
      <c r="BA240" s="39">
        <f t="shared" si="720"/>
        <v>0</v>
      </c>
      <c r="BB240" s="39">
        <f t="shared" si="700"/>
        <v>0</v>
      </c>
      <c r="BC240" s="39">
        <v>0</v>
      </c>
      <c r="BD240" s="39">
        <v>0</v>
      </c>
      <c r="BE240" s="39">
        <v>0</v>
      </c>
      <c r="BF240" s="39">
        <f t="shared" si="701"/>
        <v>0</v>
      </c>
      <c r="BG240" s="39">
        <v>0</v>
      </c>
      <c r="BH240" s="39">
        <v>0</v>
      </c>
      <c r="BI240" s="39">
        <v>0</v>
      </c>
      <c r="BJ240" s="39">
        <v>0</v>
      </c>
      <c r="BK240" s="39">
        <f t="shared" si="674"/>
        <v>0</v>
      </c>
      <c r="BL240" s="39">
        <v>0</v>
      </c>
      <c r="BM240" s="39">
        <v>0</v>
      </c>
      <c r="BN240" s="39">
        <f t="shared" si="702"/>
        <v>0</v>
      </c>
      <c r="BO240" s="39">
        <v>0</v>
      </c>
      <c r="BP240" s="39">
        <v>0</v>
      </c>
      <c r="BQ240" s="39">
        <v>0</v>
      </c>
      <c r="BR240" s="39">
        <v>0</v>
      </c>
      <c r="BS240" s="39">
        <v>0</v>
      </c>
      <c r="BT240" s="39">
        <v>0</v>
      </c>
      <c r="BU240" s="39">
        <v>0</v>
      </c>
      <c r="BV240" s="39">
        <v>0</v>
      </c>
      <c r="BW240" s="39">
        <v>0</v>
      </c>
      <c r="BX240" s="39"/>
      <c r="BY240" s="39">
        <v>0</v>
      </c>
      <c r="BZ240" s="39">
        <f t="shared" si="703"/>
        <v>0</v>
      </c>
      <c r="CA240" s="39">
        <f t="shared" si="704"/>
        <v>0</v>
      </c>
      <c r="CB240" s="39">
        <f t="shared" si="675"/>
        <v>0</v>
      </c>
      <c r="CC240" s="39">
        <v>0</v>
      </c>
      <c r="CD240" s="39"/>
      <c r="CE240" s="19">
        <f t="shared" si="705"/>
        <v>0</v>
      </c>
      <c r="CF240" s="39">
        <v>0</v>
      </c>
      <c r="CG240" s="39">
        <v>0</v>
      </c>
      <c r="CH240" s="39">
        <v>0</v>
      </c>
      <c r="CI240" s="39">
        <v>0</v>
      </c>
      <c r="CJ240" s="39">
        <v>0</v>
      </c>
      <c r="CK240" s="39">
        <f t="shared" si="706"/>
        <v>0</v>
      </c>
      <c r="CL240" s="39">
        <v>0</v>
      </c>
      <c r="CM240" s="39">
        <v>0</v>
      </c>
      <c r="CN240" s="39"/>
      <c r="CO240" s="39"/>
      <c r="CP240" s="39"/>
      <c r="CQ240" s="39"/>
      <c r="CR240" s="39"/>
      <c r="CS240" s="39">
        <v>0</v>
      </c>
      <c r="CT240" s="39"/>
      <c r="CU240" s="39"/>
      <c r="CV240" s="39"/>
      <c r="CW240" s="39">
        <f t="shared" ref="CW240" si="736">SUM(CX240)</f>
        <v>0</v>
      </c>
      <c r="CX240" s="39">
        <f t="shared" si="677"/>
        <v>0</v>
      </c>
      <c r="CY240" s="39">
        <v>0</v>
      </c>
      <c r="CZ240" s="41">
        <v>0</v>
      </c>
    </row>
    <row r="241" spans="1:104" ht="63" x14ac:dyDescent="0.25">
      <c r="A241" s="82"/>
      <c r="B241" s="42">
        <v>147</v>
      </c>
      <c r="C241" s="43" t="s">
        <v>635</v>
      </c>
      <c r="D241" s="38">
        <f t="shared" si="717"/>
        <v>821924</v>
      </c>
      <c r="E241" s="39">
        <f t="shared" si="681"/>
        <v>821924</v>
      </c>
      <c r="F241" s="39">
        <f t="shared" si="682"/>
        <v>821924</v>
      </c>
      <c r="G241" s="39">
        <v>0</v>
      </c>
      <c r="H241" s="39">
        <v>0</v>
      </c>
      <c r="I241" s="39">
        <f t="shared" ref="I241" si="737">SUM(J241:O241)</f>
        <v>0</v>
      </c>
      <c r="J241" s="35">
        <v>0</v>
      </c>
      <c r="K241" s="35">
        <v>0</v>
      </c>
      <c r="L241" s="35">
        <v>0</v>
      </c>
      <c r="M241" s="35">
        <v>0</v>
      </c>
      <c r="N241" s="35">
        <v>0</v>
      </c>
      <c r="O241" s="35"/>
      <c r="P241" s="39">
        <f t="shared" ref="P241" si="738">SUM(Q241:R241)</f>
        <v>0</v>
      </c>
      <c r="Q241" s="39">
        <v>0</v>
      </c>
      <c r="R241" s="39">
        <v>0</v>
      </c>
      <c r="S241" s="39">
        <v>0</v>
      </c>
      <c r="T241" s="39">
        <v>0</v>
      </c>
      <c r="U241" s="39">
        <f t="shared" ref="U241" si="739">SUM(V241:AC241)</f>
        <v>0</v>
      </c>
      <c r="V241" s="39">
        <v>0</v>
      </c>
      <c r="W241" s="39">
        <v>0</v>
      </c>
      <c r="X241" s="39">
        <v>0</v>
      </c>
      <c r="Y241" s="39">
        <v>0</v>
      </c>
      <c r="Z241" s="39">
        <v>0</v>
      </c>
      <c r="AA241" s="39">
        <v>0</v>
      </c>
      <c r="AB241" s="39">
        <v>0</v>
      </c>
      <c r="AC241" s="39">
        <v>0</v>
      </c>
      <c r="AD241" s="39">
        <f t="shared" si="699"/>
        <v>821924</v>
      </c>
      <c r="AE241" s="40"/>
      <c r="AF241" s="40"/>
      <c r="AG241" s="35">
        <v>0</v>
      </c>
      <c r="AH241" s="35">
        <v>0</v>
      </c>
      <c r="AI241" s="35">
        <v>0</v>
      </c>
      <c r="AJ241" s="35">
        <v>0</v>
      </c>
      <c r="AK241" s="35">
        <v>0</v>
      </c>
      <c r="AL241" s="35">
        <v>0</v>
      </c>
      <c r="AM241" s="35">
        <v>0</v>
      </c>
      <c r="AN241" s="35">
        <v>0</v>
      </c>
      <c r="AO241" s="35">
        <v>0</v>
      </c>
      <c r="AP241" s="35"/>
      <c r="AQ241" s="35">
        <v>0</v>
      </c>
      <c r="AR241" s="35">
        <v>0</v>
      </c>
      <c r="AS241" s="35">
        <v>0</v>
      </c>
      <c r="AT241" s="35">
        <v>0</v>
      </c>
      <c r="AU241" s="35">
        <v>0</v>
      </c>
      <c r="AV241" s="35">
        <v>0</v>
      </c>
      <c r="AW241" s="35">
        <v>0</v>
      </c>
      <c r="AX241" s="35">
        <v>0</v>
      </c>
      <c r="AY241" s="35">
        <v>0</v>
      </c>
      <c r="AZ241" s="35">
        <v>821924</v>
      </c>
      <c r="BA241" s="39">
        <f t="shared" si="720"/>
        <v>0</v>
      </c>
      <c r="BB241" s="39">
        <f t="shared" ref="BB241" si="740">SUM(BC241:BE241)</f>
        <v>0</v>
      </c>
      <c r="BC241" s="39">
        <v>0</v>
      </c>
      <c r="BD241" s="39">
        <v>0</v>
      </c>
      <c r="BE241" s="39">
        <v>0</v>
      </c>
      <c r="BF241" s="39">
        <f t="shared" ref="BF241" si="741">SUM(BH241:BH241)</f>
        <v>0</v>
      </c>
      <c r="BG241" s="39">
        <v>0</v>
      </c>
      <c r="BH241" s="39">
        <v>0</v>
      </c>
      <c r="BI241" s="39">
        <v>0</v>
      </c>
      <c r="BJ241" s="39">
        <v>0</v>
      </c>
      <c r="BK241" s="39">
        <f t="shared" ref="BK241" si="742">SUM(BL241)</f>
        <v>0</v>
      </c>
      <c r="BL241" s="39">
        <v>0</v>
      </c>
      <c r="BM241" s="39">
        <v>0</v>
      </c>
      <c r="BN241" s="39">
        <f>SUM(BO241:BY241)</f>
        <v>0</v>
      </c>
      <c r="BO241" s="39">
        <v>0</v>
      </c>
      <c r="BP241" s="39">
        <v>0</v>
      </c>
      <c r="BQ241" s="39">
        <v>0</v>
      </c>
      <c r="BR241" s="39">
        <v>0</v>
      </c>
      <c r="BS241" s="39">
        <v>0</v>
      </c>
      <c r="BT241" s="39">
        <v>0</v>
      </c>
      <c r="BU241" s="39">
        <v>0</v>
      </c>
      <c r="BV241" s="39">
        <v>0</v>
      </c>
      <c r="BW241" s="39">
        <v>0</v>
      </c>
      <c r="BX241" s="39">
        <v>0</v>
      </c>
      <c r="BY241" s="39">
        <v>0</v>
      </c>
      <c r="BZ241" s="39">
        <f t="shared" si="703"/>
        <v>0</v>
      </c>
      <c r="CA241" s="39">
        <f t="shared" si="704"/>
        <v>0</v>
      </c>
      <c r="CB241" s="39">
        <f t="shared" ref="CB241" si="743">SUM(CC241:CD241)</f>
        <v>0</v>
      </c>
      <c r="CC241" s="39">
        <v>0</v>
      </c>
      <c r="CD241" s="39">
        <v>0</v>
      </c>
      <c r="CE241" s="19">
        <f t="shared" si="705"/>
        <v>0</v>
      </c>
      <c r="CF241" s="39">
        <v>0</v>
      </c>
      <c r="CG241" s="39">
        <v>0</v>
      </c>
      <c r="CH241" s="39">
        <v>0</v>
      </c>
      <c r="CI241" s="39">
        <v>0</v>
      </c>
      <c r="CJ241" s="39">
        <v>0</v>
      </c>
      <c r="CK241" s="39">
        <f t="shared" ref="CK241" si="744">SUM(CL241:CP241)</f>
        <v>0</v>
      </c>
      <c r="CL241" s="39">
        <v>0</v>
      </c>
      <c r="CM241" s="39">
        <v>0</v>
      </c>
      <c r="CN241" s="39">
        <v>0</v>
      </c>
      <c r="CO241" s="39"/>
      <c r="CP241" s="39"/>
      <c r="CQ241" s="39"/>
      <c r="CR241" s="39"/>
      <c r="CS241" s="39">
        <v>0</v>
      </c>
      <c r="CT241" s="39"/>
      <c r="CU241" s="39"/>
      <c r="CV241" s="39"/>
      <c r="CW241" s="39">
        <f t="shared" ref="CW241" si="745">SUM(CX241)</f>
        <v>0</v>
      </c>
      <c r="CX241" s="39">
        <f t="shared" ref="CX241" si="746">SUM(CY241:CZ241)</f>
        <v>0</v>
      </c>
      <c r="CY241" s="39">
        <v>0</v>
      </c>
      <c r="CZ241" s="41">
        <v>0</v>
      </c>
    </row>
    <row r="242" spans="1:104" s="52" customFormat="1" ht="31.5" x14ac:dyDescent="0.25">
      <c r="A242" s="80" t="s">
        <v>1</v>
      </c>
      <c r="B242" s="36" t="s">
        <v>103</v>
      </c>
      <c r="C242" s="37" t="s">
        <v>375</v>
      </c>
      <c r="D242" s="18">
        <f t="shared" si="717"/>
        <v>12969667</v>
      </c>
      <c r="E242" s="19">
        <f t="shared" si="681"/>
        <v>12969667</v>
      </c>
      <c r="F242" s="19">
        <f t="shared" si="682"/>
        <v>0</v>
      </c>
      <c r="G242" s="19">
        <v>0</v>
      </c>
      <c r="H242" s="19">
        <v>0</v>
      </c>
      <c r="I242" s="19">
        <f t="shared" ref="I242:I243" si="747">SUM(J242:O242)</f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f>32507-32507</f>
        <v>0</v>
      </c>
      <c r="P242" s="19">
        <f t="shared" si="672"/>
        <v>0</v>
      </c>
      <c r="Q242" s="19">
        <v>0</v>
      </c>
      <c r="R242" s="19">
        <v>0</v>
      </c>
      <c r="S242" s="19">
        <v>0</v>
      </c>
      <c r="T242" s="19">
        <v>0</v>
      </c>
      <c r="U242" s="19">
        <f t="shared" si="698"/>
        <v>0</v>
      </c>
      <c r="V242" s="19">
        <v>0</v>
      </c>
      <c r="W242" s="19">
        <v>0</v>
      </c>
      <c r="X242" s="19">
        <v>0</v>
      </c>
      <c r="Y242" s="19">
        <v>0</v>
      </c>
      <c r="Z242" s="19">
        <v>0</v>
      </c>
      <c r="AA242" s="19">
        <v>0</v>
      </c>
      <c r="AB242" s="19">
        <v>0</v>
      </c>
      <c r="AC242" s="19">
        <v>0</v>
      </c>
      <c r="AD242" s="19">
        <f t="shared" si="699"/>
        <v>0</v>
      </c>
      <c r="AE242" s="19">
        <v>0</v>
      </c>
      <c r="AF242" s="19">
        <v>0</v>
      </c>
      <c r="AG242" s="19">
        <v>0</v>
      </c>
      <c r="AH242" s="19">
        <v>0</v>
      </c>
      <c r="AI242" s="24"/>
      <c r="AJ242" s="24"/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/>
      <c r="AQ242" s="19">
        <v>0</v>
      </c>
      <c r="AR242" s="19">
        <v>0</v>
      </c>
      <c r="AS242" s="19">
        <v>0</v>
      </c>
      <c r="AT242" s="19">
        <v>0</v>
      </c>
      <c r="AU242" s="19">
        <v>0</v>
      </c>
      <c r="AV242" s="19">
        <v>0</v>
      </c>
      <c r="AW242" s="19">
        <v>0</v>
      </c>
      <c r="AX242" s="19">
        <v>0</v>
      </c>
      <c r="AY242" s="19">
        <v>0</v>
      </c>
      <c r="AZ242" s="24">
        <v>0</v>
      </c>
      <c r="BA242" s="39">
        <f>SUM(BB242+BF242+BI242+BK242+BN242)</f>
        <v>12969667</v>
      </c>
      <c r="BB242" s="19">
        <f t="shared" si="700"/>
        <v>0</v>
      </c>
      <c r="BC242" s="19">
        <v>0</v>
      </c>
      <c r="BD242" s="19">
        <v>0</v>
      </c>
      <c r="BE242" s="19">
        <v>0</v>
      </c>
      <c r="BF242" s="19">
        <f t="shared" si="701"/>
        <v>0</v>
      </c>
      <c r="BG242" s="19">
        <v>0</v>
      </c>
      <c r="BH242" s="19">
        <v>0</v>
      </c>
      <c r="BI242" s="19">
        <f>499587+12470080</f>
        <v>12969667</v>
      </c>
      <c r="BJ242" s="19">
        <f>499587+12470080</f>
        <v>12969667</v>
      </c>
      <c r="BK242" s="19">
        <f t="shared" si="674"/>
        <v>0</v>
      </c>
      <c r="BL242" s="19">
        <v>0</v>
      </c>
      <c r="BM242" s="19">
        <v>0</v>
      </c>
      <c r="BN242" s="19">
        <f t="shared" si="702"/>
        <v>0</v>
      </c>
      <c r="BO242" s="19">
        <v>0</v>
      </c>
      <c r="BP242" s="19">
        <v>0</v>
      </c>
      <c r="BQ242" s="19">
        <v>0</v>
      </c>
      <c r="BR242" s="19">
        <v>0</v>
      </c>
      <c r="BS242" s="19">
        <v>0</v>
      </c>
      <c r="BT242" s="19">
        <v>0</v>
      </c>
      <c r="BU242" s="19">
        <v>0</v>
      </c>
      <c r="BV242" s="19">
        <v>0</v>
      </c>
      <c r="BW242" s="19">
        <v>0</v>
      </c>
      <c r="BX242" s="19">
        <v>0</v>
      </c>
      <c r="BY242" s="19">
        <v>0</v>
      </c>
      <c r="BZ242" s="19">
        <f t="shared" si="703"/>
        <v>0</v>
      </c>
      <c r="CA242" s="19">
        <f t="shared" si="704"/>
        <v>0</v>
      </c>
      <c r="CB242" s="19">
        <f t="shared" ref="CB242:CB243" si="748">SUM(CC242:CD242)</f>
        <v>0</v>
      </c>
      <c r="CC242" s="19">
        <v>0</v>
      </c>
      <c r="CD242" s="19">
        <v>0</v>
      </c>
      <c r="CE242" s="19">
        <f t="shared" si="705"/>
        <v>0</v>
      </c>
      <c r="CF242" s="19">
        <v>0</v>
      </c>
      <c r="CG242" s="19">
        <v>0</v>
      </c>
      <c r="CH242" s="19">
        <v>0</v>
      </c>
      <c r="CI242" s="19">
        <v>0</v>
      </c>
      <c r="CJ242" s="19">
        <v>0</v>
      </c>
      <c r="CK242" s="19">
        <f t="shared" si="706"/>
        <v>0</v>
      </c>
      <c r="CL242" s="19">
        <v>0</v>
      </c>
      <c r="CM242" s="19">
        <v>0</v>
      </c>
      <c r="CN242" s="19">
        <v>0</v>
      </c>
      <c r="CO242" s="19"/>
      <c r="CP242" s="19"/>
      <c r="CQ242" s="19"/>
      <c r="CR242" s="19"/>
      <c r="CS242" s="19">
        <v>0</v>
      </c>
      <c r="CT242" s="19"/>
      <c r="CU242" s="19"/>
      <c r="CV242" s="19"/>
      <c r="CW242" s="19">
        <f t="shared" si="676"/>
        <v>0</v>
      </c>
      <c r="CX242" s="19">
        <f t="shared" si="677"/>
        <v>0</v>
      </c>
      <c r="CY242" s="19">
        <v>0</v>
      </c>
      <c r="CZ242" s="20">
        <v>0</v>
      </c>
    </row>
    <row r="243" spans="1:104" ht="47.25" x14ac:dyDescent="0.25">
      <c r="A243" s="80" t="s">
        <v>1</v>
      </c>
      <c r="B243" s="44" t="s">
        <v>103</v>
      </c>
      <c r="C243" s="45" t="s">
        <v>321</v>
      </c>
      <c r="D243" s="18">
        <f t="shared" si="717"/>
        <v>400000</v>
      </c>
      <c r="E243" s="19">
        <f t="shared" si="681"/>
        <v>0</v>
      </c>
      <c r="F243" s="19">
        <f t="shared" si="682"/>
        <v>0</v>
      </c>
      <c r="G243" s="19">
        <v>0</v>
      </c>
      <c r="H243" s="19">
        <v>0</v>
      </c>
      <c r="I243" s="19">
        <f t="shared" si="747"/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f t="shared" si="672"/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f t="shared" si="698"/>
        <v>0</v>
      </c>
      <c r="V243" s="19">
        <v>0</v>
      </c>
      <c r="W243" s="19">
        <v>0</v>
      </c>
      <c r="X243" s="19">
        <v>0</v>
      </c>
      <c r="Y243" s="19">
        <v>0</v>
      </c>
      <c r="Z243" s="19">
        <v>0</v>
      </c>
      <c r="AA243" s="19">
        <v>0</v>
      </c>
      <c r="AB243" s="19">
        <v>0</v>
      </c>
      <c r="AC243" s="19">
        <v>0</v>
      </c>
      <c r="AD243" s="19">
        <f t="shared" si="699"/>
        <v>0</v>
      </c>
      <c r="AE243" s="19">
        <v>0</v>
      </c>
      <c r="AF243" s="19">
        <v>0</v>
      </c>
      <c r="AG243" s="19">
        <v>0</v>
      </c>
      <c r="AH243" s="19">
        <v>0</v>
      </c>
      <c r="AI243" s="24"/>
      <c r="AJ243" s="24"/>
      <c r="AK243" s="19">
        <v>0</v>
      </c>
      <c r="AL243" s="19">
        <v>0</v>
      </c>
      <c r="AM243" s="19">
        <v>0</v>
      </c>
      <c r="AN243" s="19">
        <v>0</v>
      </c>
      <c r="AO243" s="19">
        <v>0</v>
      </c>
      <c r="AP243" s="19"/>
      <c r="AQ243" s="19">
        <v>0</v>
      </c>
      <c r="AR243" s="19">
        <v>0</v>
      </c>
      <c r="AS243" s="19">
        <v>0</v>
      </c>
      <c r="AT243" s="19">
        <v>0</v>
      </c>
      <c r="AU243" s="19">
        <v>0</v>
      </c>
      <c r="AV243" s="19">
        <v>0</v>
      </c>
      <c r="AW243" s="19">
        <v>0</v>
      </c>
      <c r="AX243" s="19">
        <v>0</v>
      </c>
      <c r="AY243" s="19">
        <v>0</v>
      </c>
      <c r="AZ243" s="19">
        <v>0</v>
      </c>
      <c r="BA243" s="19">
        <f>SUM(BB243+BF243+BI243+BK243+BN243)</f>
        <v>0</v>
      </c>
      <c r="BB243" s="19">
        <f t="shared" si="700"/>
        <v>0</v>
      </c>
      <c r="BC243" s="19">
        <v>0</v>
      </c>
      <c r="BD243" s="19">
        <v>0</v>
      </c>
      <c r="BE243" s="19">
        <v>0</v>
      </c>
      <c r="BF243" s="19">
        <f t="shared" si="701"/>
        <v>0</v>
      </c>
      <c r="BG243" s="19">
        <v>0</v>
      </c>
      <c r="BH243" s="19">
        <v>0</v>
      </c>
      <c r="BI243" s="19">
        <v>0</v>
      </c>
      <c r="BJ243" s="19">
        <v>0</v>
      </c>
      <c r="BK243" s="19">
        <f t="shared" si="674"/>
        <v>0</v>
      </c>
      <c r="BL243" s="19">
        <v>0</v>
      </c>
      <c r="BM243" s="19">
        <v>0</v>
      </c>
      <c r="BN243" s="19">
        <f t="shared" si="702"/>
        <v>0</v>
      </c>
      <c r="BO243" s="19">
        <v>0</v>
      </c>
      <c r="BP243" s="19">
        <v>0</v>
      </c>
      <c r="BQ243" s="19">
        <v>0</v>
      </c>
      <c r="BR243" s="19">
        <v>0</v>
      </c>
      <c r="BS243" s="19">
        <v>0</v>
      </c>
      <c r="BT243" s="19">
        <v>0</v>
      </c>
      <c r="BU243" s="19">
        <v>0</v>
      </c>
      <c r="BV243" s="19">
        <v>0</v>
      </c>
      <c r="BW243" s="19">
        <v>0</v>
      </c>
      <c r="BX243" s="19">
        <v>0</v>
      </c>
      <c r="BY243" s="19">
        <v>0</v>
      </c>
      <c r="BZ243" s="19">
        <f t="shared" si="703"/>
        <v>400000</v>
      </c>
      <c r="CA243" s="19">
        <f t="shared" si="704"/>
        <v>400000</v>
      </c>
      <c r="CB243" s="19">
        <f t="shared" si="748"/>
        <v>400000</v>
      </c>
      <c r="CC243" s="19">
        <v>0</v>
      </c>
      <c r="CD243" s="19">
        <v>400000</v>
      </c>
      <c r="CE243" s="19">
        <f t="shared" si="705"/>
        <v>0</v>
      </c>
      <c r="CF243" s="19">
        <v>0</v>
      </c>
      <c r="CG243" s="19">
        <v>0</v>
      </c>
      <c r="CH243" s="19">
        <v>0</v>
      </c>
      <c r="CI243" s="19">
        <v>0</v>
      </c>
      <c r="CJ243" s="19">
        <v>0</v>
      </c>
      <c r="CK243" s="19">
        <f t="shared" si="706"/>
        <v>0</v>
      </c>
      <c r="CL243" s="19">
        <v>0</v>
      </c>
      <c r="CM243" s="19">
        <v>0</v>
      </c>
      <c r="CN243" s="19">
        <v>0</v>
      </c>
      <c r="CO243" s="19"/>
      <c r="CP243" s="19"/>
      <c r="CQ243" s="19"/>
      <c r="CR243" s="19"/>
      <c r="CS243" s="19">
        <v>0</v>
      </c>
      <c r="CT243" s="19"/>
      <c r="CU243" s="19"/>
      <c r="CV243" s="19"/>
      <c r="CW243" s="19">
        <f t="shared" si="676"/>
        <v>0</v>
      </c>
      <c r="CX243" s="19">
        <f t="shared" si="677"/>
        <v>0</v>
      </c>
      <c r="CY243" s="19">
        <v>0</v>
      </c>
      <c r="CZ243" s="20">
        <v>0</v>
      </c>
    </row>
    <row r="244" spans="1:104" s="52" customFormat="1" ht="47.25" x14ac:dyDescent="0.25">
      <c r="A244" s="82"/>
      <c r="B244" s="42" t="s">
        <v>104</v>
      </c>
      <c r="C244" s="43" t="s">
        <v>494</v>
      </c>
      <c r="D244" s="38">
        <f t="shared" si="717"/>
        <v>2500000</v>
      </c>
      <c r="E244" s="39">
        <f t="shared" si="681"/>
        <v>2500000</v>
      </c>
      <c r="F244" s="39">
        <f t="shared" si="682"/>
        <v>2500000</v>
      </c>
      <c r="G244" s="39">
        <v>0</v>
      </c>
      <c r="H244" s="39">
        <v>0</v>
      </c>
      <c r="I244" s="39">
        <f t="shared" ref="I244" si="749">SUM(J244:O244)</f>
        <v>0</v>
      </c>
      <c r="J244" s="39">
        <v>0</v>
      </c>
      <c r="K244" s="39">
        <v>0</v>
      </c>
      <c r="L244" s="39">
        <v>0</v>
      </c>
      <c r="M244" s="39">
        <v>0</v>
      </c>
      <c r="N244" s="39">
        <v>0</v>
      </c>
      <c r="O244" s="39">
        <v>0</v>
      </c>
      <c r="P244" s="39">
        <f t="shared" ref="P244" si="750">SUM(Q244:R244)</f>
        <v>0</v>
      </c>
      <c r="Q244" s="39">
        <v>0</v>
      </c>
      <c r="R244" s="39">
        <v>0</v>
      </c>
      <c r="S244" s="39">
        <v>0</v>
      </c>
      <c r="T244" s="39">
        <v>0</v>
      </c>
      <c r="U244" s="39">
        <f t="shared" si="698"/>
        <v>0</v>
      </c>
      <c r="V244" s="39">
        <v>0</v>
      </c>
      <c r="W244" s="39">
        <v>0</v>
      </c>
      <c r="X244" s="39">
        <v>0</v>
      </c>
      <c r="Y244" s="39">
        <v>0</v>
      </c>
      <c r="Z244" s="39">
        <v>0</v>
      </c>
      <c r="AA244" s="39">
        <v>0</v>
      </c>
      <c r="AB244" s="39">
        <v>0</v>
      </c>
      <c r="AC244" s="39">
        <v>0</v>
      </c>
      <c r="AD244" s="39">
        <f t="shared" si="699"/>
        <v>2500000</v>
      </c>
      <c r="AE244" s="40"/>
      <c r="AF244" s="40"/>
      <c r="AG244" s="39">
        <v>0</v>
      </c>
      <c r="AH244" s="39">
        <v>0</v>
      </c>
      <c r="AI244" s="39">
        <v>0</v>
      </c>
      <c r="AJ244" s="39">
        <v>0</v>
      </c>
      <c r="AK244" s="39">
        <v>0</v>
      </c>
      <c r="AL244" s="39">
        <v>0</v>
      </c>
      <c r="AM244" s="39">
        <v>0</v>
      </c>
      <c r="AN244" s="39">
        <v>0</v>
      </c>
      <c r="AO244" s="39">
        <v>0</v>
      </c>
      <c r="AP244" s="39"/>
      <c r="AQ244" s="39">
        <v>0</v>
      </c>
      <c r="AR244" s="39">
        <v>0</v>
      </c>
      <c r="AS244" s="39">
        <v>0</v>
      </c>
      <c r="AT244" s="39">
        <v>0</v>
      </c>
      <c r="AU244" s="39">
        <v>0</v>
      </c>
      <c r="AV244" s="39">
        <v>0</v>
      </c>
      <c r="AW244" s="39">
        <v>0</v>
      </c>
      <c r="AX244" s="39">
        <v>0</v>
      </c>
      <c r="AY244" s="39">
        <v>0</v>
      </c>
      <c r="AZ244" s="35">
        <v>2500000</v>
      </c>
      <c r="BA244" s="39">
        <f>SUM(BB244+BF244+BI244+BK244+BN244)</f>
        <v>0</v>
      </c>
      <c r="BB244" s="39">
        <f t="shared" si="700"/>
        <v>0</v>
      </c>
      <c r="BC244" s="39">
        <v>0</v>
      </c>
      <c r="BD244" s="39">
        <v>0</v>
      </c>
      <c r="BE244" s="39">
        <v>0</v>
      </c>
      <c r="BF244" s="39">
        <f t="shared" si="701"/>
        <v>0</v>
      </c>
      <c r="BG244" s="39">
        <v>0</v>
      </c>
      <c r="BH244" s="39">
        <v>0</v>
      </c>
      <c r="BI244" s="39">
        <v>0</v>
      </c>
      <c r="BJ244" s="39">
        <v>0</v>
      </c>
      <c r="BK244" s="39">
        <f t="shared" si="674"/>
        <v>0</v>
      </c>
      <c r="BL244" s="39">
        <v>0</v>
      </c>
      <c r="BM244" s="39">
        <v>0</v>
      </c>
      <c r="BN244" s="39">
        <f t="shared" si="702"/>
        <v>0</v>
      </c>
      <c r="BO244" s="39">
        <v>0</v>
      </c>
      <c r="BP244" s="39">
        <v>0</v>
      </c>
      <c r="BQ244" s="39">
        <v>0</v>
      </c>
      <c r="BR244" s="39">
        <v>0</v>
      </c>
      <c r="BS244" s="39">
        <v>0</v>
      </c>
      <c r="BT244" s="39">
        <v>0</v>
      </c>
      <c r="BU244" s="39">
        <v>0</v>
      </c>
      <c r="BV244" s="39">
        <v>0</v>
      </c>
      <c r="BW244" s="39">
        <v>0</v>
      </c>
      <c r="BX244" s="39">
        <v>0</v>
      </c>
      <c r="BY244" s="39">
        <v>0</v>
      </c>
      <c r="BZ244" s="39">
        <f t="shared" si="703"/>
        <v>0</v>
      </c>
      <c r="CA244" s="39">
        <f t="shared" si="704"/>
        <v>0</v>
      </c>
      <c r="CB244" s="39">
        <f t="shared" ref="CB244" si="751">SUM(CC244:CD244)</f>
        <v>0</v>
      </c>
      <c r="CC244" s="39">
        <v>0</v>
      </c>
      <c r="CD244" s="39">
        <v>0</v>
      </c>
      <c r="CE244" s="19">
        <f t="shared" si="705"/>
        <v>0</v>
      </c>
      <c r="CF244" s="39">
        <v>0</v>
      </c>
      <c r="CG244" s="39">
        <v>0</v>
      </c>
      <c r="CH244" s="39">
        <v>0</v>
      </c>
      <c r="CI244" s="39">
        <v>0</v>
      </c>
      <c r="CJ244" s="39">
        <v>0</v>
      </c>
      <c r="CK244" s="39">
        <f t="shared" si="706"/>
        <v>0</v>
      </c>
      <c r="CL244" s="39">
        <v>0</v>
      </c>
      <c r="CM244" s="39">
        <v>0</v>
      </c>
      <c r="CN244" s="39">
        <v>0</v>
      </c>
      <c r="CO244" s="39"/>
      <c r="CP244" s="39"/>
      <c r="CQ244" s="39"/>
      <c r="CR244" s="39"/>
      <c r="CS244" s="39">
        <v>0</v>
      </c>
      <c r="CT244" s="39"/>
      <c r="CU244" s="39"/>
      <c r="CV244" s="39"/>
      <c r="CW244" s="39">
        <f t="shared" si="676"/>
        <v>0</v>
      </c>
      <c r="CX244" s="39">
        <f t="shared" si="677"/>
        <v>0</v>
      </c>
      <c r="CY244" s="39">
        <v>0</v>
      </c>
      <c r="CZ244" s="41">
        <v>0</v>
      </c>
    </row>
    <row r="245" spans="1:104" s="73" customFormat="1" ht="22.5" customHeight="1" x14ac:dyDescent="0.25">
      <c r="A245" s="86"/>
      <c r="B245" s="87"/>
      <c r="C245" s="88" t="s">
        <v>559</v>
      </c>
      <c r="D245" s="68">
        <f t="shared" ref="D245:AI245" si="752">SUM(D246:D269)</f>
        <v>248333599</v>
      </c>
      <c r="E245" s="68">
        <f t="shared" si="752"/>
        <v>229838303</v>
      </c>
      <c r="F245" s="68">
        <f t="shared" si="752"/>
        <v>229647457</v>
      </c>
      <c r="G245" s="68">
        <f t="shared" si="752"/>
        <v>111085282</v>
      </c>
      <c r="H245" s="68">
        <f t="shared" si="752"/>
        <v>22606142</v>
      </c>
      <c r="I245" s="68">
        <f t="shared" si="752"/>
        <v>51768170</v>
      </c>
      <c r="J245" s="68">
        <f t="shared" si="752"/>
        <v>14870954</v>
      </c>
      <c r="K245" s="68">
        <f t="shared" si="752"/>
        <v>1894482</v>
      </c>
      <c r="L245" s="68">
        <f t="shared" si="752"/>
        <v>1504041</v>
      </c>
      <c r="M245" s="68">
        <f t="shared" si="752"/>
        <v>0</v>
      </c>
      <c r="N245" s="68">
        <f t="shared" si="752"/>
        <v>11184804</v>
      </c>
      <c r="O245" s="68">
        <f t="shared" si="752"/>
        <v>22313889</v>
      </c>
      <c r="P245" s="68">
        <f t="shared" si="752"/>
        <v>560140</v>
      </c>
      <c r="Q245" s="68">
        <f t="shared" si="752"/>
        <v>89717</v>
      </c>
      <c r="R245" s="68">
        <f t="shared" si="752"/>
        <v>470423</v>
      </c>
      <c r="S245" s="68">
        <f t="shared" si="752"/>
        <v>224964</v>
      </c>
      <c r="T245" s="68">
        <f t="shared" si="752"/>
        <v>1309023</v>
      </c>
      <c r="U245" s="68">
        <f t="shared" si="752"/>
        <v>9336581</v>
      </c>
      <c r="V245" s="68">
        <f t="shared" si="752"/>
        <v>2745930</v>
      </c>
      <c r="W245" s="68">
        <f t="shared" si="752"/>
        <v>3333194</v>
      </c>
      <c r="X245" s="68">
        <f t="shared" si="752"/>
        <v>1170032</v>
      </c>
      <c r="Y245" s="68">
        <f t="shared" si="752"/>
        <v>1077454</v>
      </c>
      <c r="Z245" s="68">
        <f t="shared" si="752"/>
        <v>684402</v>
      </c>
      <c r="AA245" s="68">
        <f t="shared" si="752"/>
        <v>133016</v>
      </c>
      <c r="AB245" s="68">
        <f t="shared" si="752"/>
        <v>0</v>
      </c>
      <c r="AC245" s="68">
        <f t="shared" si="752"/>
        <v>192553</v>
      </c>
      <c r="AD245" s="68">
        <f t="shared" si="752"/>
        <v>32757155</v>
      </c>
      <c r="AE245" s="68">
        <f t="shared" si="752"/>
        <v>76256</v>
      </c>
      <c r="AF245" s="68">
        <f t="shared" si="752"/>
        <v>0</v>
      </c>
      <c r="AG245" s="68">
        <f t="shared" si="752"/>
        <v>2976462</v>
      </c>
      <c r="AH245" s="68">
        <f t="shared" si="752"/>
        <v>8904259</v>
      </c>
      <c r="AI245" s="68">
        <f t="shared" si="752"/>
        <v>274924</v>
      </c>
      <c r="AJ245" s="68">
        <f t="shared" ref="AJ245:BO245" si="753">SUM(AJ246:AJ269)</f>
        <v>631622</v>
      </c>
      <c r="AK245" s="68">
        <f t="shared" si="753"/>
        <v>5000</v>
      </c>
      <c r="AL245" s="68">
        <f t="shared" si="753"/>
        <v>355782</v>
      </c>
      <c r="AM245" s="68">
        <f t="shared" si="753"/>
        <v>2788811</v>
      </c>
      <c r="AN245" s="68">
        <f t="shared" si="753"/>
        <v>15000</v>
      </c>
      <c r="AO245" s="68">
        <f t="shared" si="753"/>
        <v>22000</v>
      </c>
      <c r="AP245" s="68">
        <f t="shared" si="753"/>
        <v>50000</v>
      </c>
      <c r="AQ245" s="68">
        <f t="shared" si="753"/>
        <v>284726</v>
      </c>
      <c r="AR245" s="68">
        <f t="shared" si="753"/>
        <v>329694</v>
      </c>
      <c r="AS245" s="68">
        <f t="shared" si="753"/>
        <v>849519</v>
      </c>
      <c r="AT245" s="68">
        <f t="shared" si="753"/>
        <v>0</v>
      </c>
      <c r="AU245" s="68">
        <f t="shared" si="753"/>
        <v>3618</v>
      </c>
      <c r="AV245" s="68">
        <f t="shared" si="753"/>
        <v>0</v>
      </c>
      <c r="AW245" s="68">
        <f t="shared" si="753"/>
        <v>1271578</v>
      </c>
      <c r="AX245" s="68">
        <f t="shared" si="753"/>
        <v>400434</v>
      </c>
      <c r="AY245" s="68">
        <f t="shared" si="753"/>
        <v>100000</v>
      </c>
      <c r="AZ245" s="68">
        <f t="shared" si="753"/>
        <v>13417470</v>
      </c>
      <c r="BA245" s="68">
        <f t="shared" si="753"/>
        <v>190846</v>
      </c>
      <c r="BB245" s="68">
        <f t="shared" si="753"/>
        <v>0</v>
      </c>
      <c r="BC245" s="68">
        <f t="shared" si="753"/>
        <v>0</v>
      </c>
      <c r="BD245" s="68">
        <f t="shared" si="753"/>
        <v>0</v>
      </c>
      <c r="BE245" s="68">
        <f t="shared" si="753"/>
        <v>0</v>
      </c>
      <c r="BF245" s="68">
        <f t="shared" si="753"/>
        <v>0</v>
      </c>
      <c r="BG245" s="68">
        <f t="shared" si="753"/>
        <v>0</v>
      </c>
      <c r="BH245" s="68">
        <f t="shared" si="753"/>
        <v>0</v>
      </c>
      <c r="BI245" s="68">
        <f t="shared" si="753"/>
        <v>0</v>
      </c>
      <c r="BJ245" s="68">
        <f t="shared" si="753"/>
        <v>0</v>
      </c>
      <c r="BK245" s="68">
        <f t="shared" si="753"/>
        <v>0</v>
      </c>
      <c r="BL245" s="68">
        <f t="shared" si="753"/>
        <v>0</v>
      </c>
      <c r="BM245" s="68">
        <f t="shared" si="753"/>
        <v>0</v>
      </c>
      <c r="BN245" s="68">
        <f t="shared" si="753"/>
        <v>190846</v>
      </c>
      <c r="BO245" s="68">
        <f t="shared" si="753"/>
        <v>0</v>
      </c>
      <c r="BP245" s="68">
        <f t="shared" ref="BP245:CN245" si="754">SUM(BP246:BP269)</f>
        <v>0</v>
      </c>
      <c r="BQ245" s="68">
        <f t="shared" si="754"/>
        <v>0</v>
      </c>
      <c r="BR245" s="68">
        <f t="shared" si="754"/>
        <v>0</v>
      </c>
      <c r="BS245" s="68">
        <f t="shared" si="754"/>
        <v>0</v>
      </c>
      <c r="BT245" s="68">
        <f t="shared" si="754"/>
        <v>0</v>
      </c>
      <c r="BU245" s="68">
        <f t="shared" si="754"/>
        <v>0</v>
      </c>
      <c r="BV245" s="68">
        <f t="shared" si="754"/>
        <v>0</v>
      </c>
      <c r="BW245" s="68">
        <f t="shared" si="754"/>
        <v>0</v>
      </c>
      <c r="BX245" s="68">
        <f t="shared" si="754"/>
        <v>36502</v>
      </c>
      <c r="BY245" s="68">
        <f t="shared" si="754"/>
        <v>154344</v>
      </c>
      <c r="BZ245" s="68">
        <f t="shared" si="754"/>
        <v>18495296</v>
      </c>
      <c r="CA245" s="68">
        <f t="shared" si="754"/>
        <v>18495296</v>
      </c>
      <c r="CB245" s="68">
        <f t="shared" si="754"/>
        <v>14822585</v>
      </c>
      <c r="CC245" s="68">
        <f t="shared" si="754"/>
        <v>220580</v>
      </c>
      <c r="CD245" s="68">
        <f t="shared" si="754"/>
        <v>14602005</v>
      </c>
      <c r="CE245" s="68">
        <f t="shared" si="754"/>
        <v>0</v>
      </c>
      <c r="CF245" s="68">
        <f t="shared" si="754"/>
        <v>0</v>
      </c>
      <c r="CG245" s="68">
        <f t="shared" si="754"/>
        <v>0</v>
      </c>
      <c r="CH245" s="68">
        <f t="shared" si="754"/>
        <v>0</v>
      </c>
      <c r="CI245" s="68">
        <f t="shared" si="754"/>
        <v>0</v>
      </c>
      <c r="CJ245" s="68">
        <f t="shared" si="754"/>
        <v>0</v>
      </c>
      <c r="CK245" s="68">
        <f t="shared" si="754"/>
        <v>3672711</v>
      </c>
      <c r="CL245" s="68">
        <f t="shared" si="754"/>
        <v>100000</v>
      </c>
      <c r="CM245" s="68">
        <f t="shared" si="754"/>
        <v>785662</v>
      </c>
      <c r="CN245" s="68">
        <f t="shared" si="754"/>
        <v>2787049</v>
      </c>
      <c r="CO245" s="68"/>
      <c r="CP245" s="68"/>
      <c r="CQ245" s="68"/>
      <c r="CR245" s="68"/>
      <c r="CS245" s="68">
        <f>SUM(CS246:CS269)</f>
        <v>0</v>
      </c>
      <c r="CT245" s="68"/>
      <c r="CU245" s="68"/>
      <c r="CV245" s="68"/>
      <c r="CW245" s="68">
        <f>SUM(CW246:CW269)</f>
        <v>0</v>
      </c>
      <c r="CX245" s="68">
        <f>SUM(CX246:CX269)</f>
        <v>0</v>
      </c>
      <c r="CY245" s="68">
        <f>SUM(CY246:CY269)</f>
        <v>0</v>
      </c>
      <c r="CZ245" s="89">
        <f>SUM(CZ246:CZ269)</f>
        <v>0</v>
      </c>
    </row>
    <row r="246" spans="1:104" s="73" customFormat="1" ht="31.5" x14ac:dyDescent="0.25">
      <c r="A246" s="83" t="s">
        <v>1</v>
      </c>
      <c r="B246" s="66" t="s">
        <v>80</v>
      </c>
      <c r="C246" s="67" t="s">
        <v>560</v>
      </c>
      <c r="D246" s="68">
        <f t="shared" ref="D246:D269" si="755">SUM(E246+BZ246+CW246)</f>
        <v>100426</v>
      </c>
      <c r="E246" s="69">
        <f t="shared" ref="E246:E269" si="756">SUM(F246+BA246)</f>
        <v>100426</v>
      </c>
      <c r="F246" s="69">
        <f t="shared" ref="F246:F269" si="757">SUM(G246+H246+I246+P246+S246+T246+U246+AD246)</f>
        <v>100426</v>
      </c>
      <c r="G246" s="70">
        <v>0</v>
      </c>
      <c r="H246" s="70">
        <v>0</v>
      </c>
      <c r="I246" s="69">
        <f t="shared" si="671"/>
        <v>0</v>
      </c>
      <c r="J246" s="70">
        <v>0</v>
      </c>
      <c r="K246" s="70">
        <v>0</v>
      </c>
      <c r="L246" s="70">
        <v>0</v>
      </c>
      <c r="M246" s="70">
        <v>0</v>
      </c>
      <c r="N246" s="70">
        <v>0</v>
      </c>
      <c r="O246" s="70">
        <v>0</v>
      </c>
      <c r="P246" s="69">
        <f t="shared" si="672"/>
        <v>0</v>
      </c>
      <c r="Q246" s="70"/>
      <c r="R246" s="70"/>
      <c r="S246" s="70"/>
      <c r="T246" s="70"/>
      <c r="U246" s="69">
        <f t="shared" ref="U246:U269" si="758">SUM(V246:AC246)</f>
        <v>0</v>
      </c>
      <c r="V246" s="70">
        <v>0</v>
      </c>
      <c r="W246" s="70">
        <v>0</v>
      </c>
      <c r="X246" s="70">
        <v>0</v>
      </c>
      <c r="Y246" s="70">
        <v>0</v>
      </c>
      <c r="Z246" s="70">
        <v>0</v>
      </c>
      <c r="AA246" s="70">
        <v>0</v>
      </c>
      <c r="AB246" s="70">
        <v>0</v>
      </c>
      <c r="AC246" s="70">
        <v>0</v>
      </c>
      <c r="AD246" s="69">
        <f t="shared" ref="AD246:AD269" si="759">SUM(AE246:AZ246)</f>
        <v>100426</v>
      </c>
      <c r="AE246" s="71">
        <v>0</v>
      </c>
      <c r="AF246" s="71">
        <v>0</v>
      </c>
      <c r="AG246" s="70">
        <v>0</v>
      </c>
      <c r="AH246" s="70">
        <v>0</v>
      </c>
      <c r="AI246" s="70">
        <v>0</v>
      </c>
      <c r="AJ246" s="70">
        <v>0</v>
      </c>
      <c r="AK246" s="70">
        <v>0</v>
      </c>
      <c r="AL246" s="70">
        <v>0</v>
      </c>
      <c r="AM246" s="70">
        <f>0+78426</f>
        <v>78426</v>
      </c>
      <c r="AN246" s="70">
        <f>78000-78000</f>
        <v>0</v>
      </c>
      <c r="AO246" s="70">
        <v>0</v>
      </c>
      <c r="AP246" s="70"/>
      <c r="AQ246" s="70">
        <v>0</v>
      </c>
      <c r="AR246" s="70">
        <v>0</v>
      </c>
      <c r="AS246" s="70">
        <v>0</v>
      </c>
      <c r="AT246" s="70">
        <v>0</v>
      </c>
      <c r="AU246" s="70">
        <v>0</v>
      </c>
      <c r="AV246" s="70">
        <v>0</v>
      </c>
      <c r="AW246" s="70">
        <v>0</v>
      </c>
      <c r="AX246" s="70">
        <v>0</v>
      </c>
      <c r="AY246" s="70">
        <v>0</v>
      </c>
      <c r="AZ246" s="70">
        <v>22000</v>
      </c>
      <c r="BA246" s="69">
        <f t="shared" ref="BA246:BA269" si="760">SUM(BB246+BF246+BI246+BK246+BN246)</f>
        <v>0</v>
      </c>
      <c r="BB246" s="69">
        <f t="shared" ref="BB246:BB269" si="761">SUM(BC246:BE246)</f>
        <v>0</v>
      </c>
      <c r="BC246" s="69">
        <v>0</v>
      </c>
      <c r="BD246" s="69">
        <v>0</v>
      </c>
      <c r="BE246" s="69">
        <v>0</v>
      </c>
      <c r="BF246" s="69">
        <f t="shared" ref="BF246:BF269" si="762">SUM(BH246:BH246)</f>
        <v>0</v>
      </c>
      <c r="BG246" s="69">
        <v>0</v>
      </c>
      <c r="BH246" s="69">
        <v>0</v>
      </c>
      <c r="BI246" s="69">
        <v>0</v>
      </c>
      <c r="BJ246" s="69">
        <v>0</v>
      </c>
      <c r="BK246" s="69">
        <f t="shared" si="674"/>
        <v>0</v>
      </c>
      <c r="BL246" s="69">
        <v>0</v>
      </c>
      <c r="BM246" s="69">
        <v>0</v>
      </c>
      <c r="BN246" s="69">
        <f t="shared" ref="BN246:BN269" si="763">SUM(BO246:BY246)</f>
        <v>0</v>
      </c>
      <c r="BO246" s="69">
        <v>0</v>
      </c>
      <c r="BP246" s="69">
        <v>0</v>
      </c>
      <c r="BQ246" s="69">
        <v>0</v>
      </c>
      <c r="BR246" s="69">
        <v>0</v>
      </c>
      <c r="BS246" s="69">
        <v>0</v>
      </c>
      <c r="BT246" s="69">
        <v>0</v>
      </c>
      <c r="BU246" s="69">
        <v>0</v>
      </c>
      <c r="BV246" s="69">
        <v>0</v>
      </c>
      <c r="BW246" s="69">
        <v>0</v>
      </c>
      <c r="BX246" s="69">
        <v>0</v>
      </c>
      <c r="BY246" s="69">
        <v>0</v>
      </c>
      <c r="BZ246" s="69">
        <f t="shared" ref="BZ246:BZ269" si="764">SUM(CA246+CS246)</f>
        <v>0</v>
      </c>
      <c r="CA246" s="69">
        <f t="shared" ref="CA246:CA269" si="765">SUM(CB246+CE246+CK246)</f>
        <v>0</v>
      </c>
      <c r="CB246" s="69">
        <f t="shared" si="675"/>
        <v>0</v>
      </c>
      <c r="CC246" s="71"/>
      <c r="CD246" s="70">
        <v>0</v>
      </c>
      <c r="CE246" s="69">
        <f t="shared" ref="CE246:CE269" si="766">SUM(CF246:CJ246)</f>
        <v>0</v>
      </c>
      <c r="CF246" s="69">
        <v>0</v>
      </c>
      <c r="CG246" s="69">
        <v>0</v>
      </c>
      <c r="CH246" s="69">
        <v>0</v>
      </c>
      <c r="CI246" s="69">
        <v>0</v>
      </c>
      <c r="CJ246" s="69">
        <v>0</v>
      </c>
      <c r="CK246" s="69">
        <f t="shared" ref="CK246:CK269" si="767">SUM(CL246:CP246)</f>
        <v>0</v>
      </c>
      <c r="CL246" s="75">
        <v>0</v>
      </c>
      <c r="CM246" s="75">
        <v>0</v>
      </c>
      <c r="CN246" s="69">
        <v>0</v>
      </c>
      <c r="CO246" s="69">
        <v>0</v>
      </c>
      <c r="CP246" s="69">
        <v>0</v>
      </c>
      <c r="CQ246" s="69"/>
      <c r="CR246" s="69"/>
      <c r="CS246" s="69">
        <v>0</v>
      </c>
      <c r="CT246" s="69"/>
      <c r="CU246" s="69"/>
      <c r="CV246" s="69"/>
      <c r="CW246" s="69">
        <f t="shared" si="676"/>
        <v>0</v>
      </c>
      <c r="CX246" s="69">
        <f t="shared" si="677"/>
        <v>0</v>
      </c>
      <c r="CY246" s="69">
        <v>0</v>
      </c>
      <c r="CZ246" s="72">
        <v>0</v>
      </c>
    </row>
    <row r="247" spans="1:104" s="52" customFormat="1" ht="31.5" x14ac:dyDescent="0.25">
      <c r="A247" s="80" t="s">
        <v>1</v>
      </c>
      <c r="B247" s="21" t="s">
        <v>82</v>
      </c>
      <c r="C247" s="22" t="s">
        <v>561</v>
      </c>
      <c r="D247" s="18">
        <f t="shared" si="755"/>
        <v>626356</v>
      </c>
      <c r="E247" s="19">
        <f t="shared" si="756"/>
        <v>626356</v>
      </c>
      <c r="F247" s="19">
        <f t="shared" si="757"/>
        <v>626356</v>
      </c>
      <c r="G247" s="23">
        <v>0</v>
      </c>
      <c r="H247" s="23">
        <v>0</v>
      </c>
      <c r="I247" s="19">
        <f t="shared" si="671"/>
        <v>30689</v>
      </c>
      <c r="J247" s="23">
        <v>0</v>
      </c>
      <c r="K247" s="23">
        <v>0</v>
      </c>
      <c r="L247" s="23">
        <f>12708+10000</f>
        <v>22708</v>
      </c>
      <c r="M247" s="23">
        <v>0</v>
      </c>
      <c r="N247" s="23">
        <v>0</v>
      </c>
      <c r="O247" s="23">
        <f>7500+481</f>
        <v>7981</v>
      </c>
      <c r="P247" s="19">
        <f t="shared" si="672"/>
        <v>0</v>
      </c>
      <c r="Q247" s="23"/>
      <c r="R247" s="23"/>
      <c r="S247" s="23"/>
      <c r="T247" s="23"/>
      <c r="U247" s="19">
        <f t="shared" si="758"/>
        <v>16224</v>
      </c>
      <c r="V247" s="23">
        <f>11224+5000</f>
        <v>16224</v>
      </c>
      <c r="W247" s="23">
        <v>0</v>
      </c>
      <c r="X247" s="23">
        <v>0</v>
      </c>
      <c r="Y247" s="23">
        <v>0</v>
      </c>
      <c r="Z247" s="23">
        <v>0</v>
      </c>
      <c r="AA247" s="23">
        <v>0</v>
      </c>
      <c r="AB247" s="23">
        <v>0</v>
      </c>
      <c r="AC247" s="23">
        <v>0</v>
      </c>
      <c r="AD247" s="19">
        <f t="shared" si="759"/>
        <v>579443</v>
      </c>
      <c r="AE247" s="24">
        <v>0</v>
      </c>
      <c r="AF247" s="24">
        <v>0</v>
      </c>
      <c r="AG247" s="23">
        <v>0</v>
      </c>
      <c r="AH247" s="23">
        <v>0</v>
      </c>
      <c r="AI247" s="23">
        <v>0</v>
      </c>
      <c r="AJ247" s="23">
        <v>0</v>
      </c>
      <c r="AK247" s="23">
        <v>0</v>
      </c>
      <c r="AL247" s="23">
        <v>0</v>
      </c>
      <c r="AM247" s="23">
        <v>0</v>
      </c>
      <c r="AN247" s="23">
        <v>0</v>
      </c>
      <c r="AO247" s="23">
        <v>0</v>
      </c>
      <c r="AP247" s="23"/>
      <c r="AQ247" s="23">
        <v>0</v>
      </c>
      <c r="AR247" s="23">
        <v>0</v>
      </c>
      <c r="AS247" s="23">
        <v>0</v>
      </c>
      <c r="AT247" s="23">
        <v>0</v>
      </c>
      <c r="AU247" s="23">
        <v>0</v>
      </c>
      <c r="AV247" s="23">
        <v>0</v>
      </c>
      <c r="AW247" s="23">
        <v>0</v>
      </c>
      <c r="AX247" s="23">
        <v>0</v>
      </c>
      <c r="AY247" s="23">
        <v>0</v>
      </c>
      <c r="AZ247" s="23">
        <f>197229+382214</f>
        <v>579443</v>
      </c>
      <c r="BA247" s="19">
        <f t="shared" si="760"/>
        <v>0</v>
      </c>
      <c r="BB247" s="19">
        <f t="shared" si="761"/>
        <v>0</v>
      </c>
      <c r="BC247" s="19">
        <v>0</v>
      </c>
      <c r="BD247" s="19">
        <v>0</v>
      </c>
      <c r="BE247" s="19">
        <v>0</v>
      </c>
      <c r="BF247" s="19">
        <f t="shared" si="762"/>
        <v>0</v>
      </c>
      <c r="BG247" s="19">
        <v>0</v>
      </c>
      <c r="BH247" s="19">
        <v>0</v>
      </c>
      <c r="BI247" s="19">
        <v>0</v>
      </c>
      <c r="BJ247" s="19">
        <v>0</v>
      </c>
      <c r="BK247" s="19">
        <f t="shared" si="674"/>
        <v>0</v>
      </c>
      <c r="BL247" s="19">
        <v>0</v>
      </c>
      <c r="BM247" s="19">
        <v>0</v>
      </c>
      <c r="BN247" s="19">
        <f t="shared" si="763"/>
        <v>0</v>
      </c>
      <c r="BO247" s="19">
        <v>0</v>
      </c>
      <c r="BP247" s="19">
        <v>0</v>
      </c>
      <c r="BQ247" s="19">
        <v>0</v>
      </c>
      <c r="BR247" s="19">
        <v>0</v>
      </c>
      <c r="BS247" s="19">
        <v>0</v>
      </c>
      <c r="BT247" s="19">
        <v>0</v>
      </c>
      <c r="BU247" s="19">
        <v>0</v>
      </c>
      <c r="BV247" s="19">
        <v>0</v>
      </c>
      <c r="BW247" s="19">
        <v>0</v>
      </c>
      <c r="BX247" s="19">
        <v>0</v>
      </c>
      <c r="BY247" s="19">
        <v>0</v>
      </c>
      <c r="BZ247" s="19">
        <f t="shared" si="764"/>
        <v>0</v>
      </c>
      <c r="CA247" s="19">
        <f t="shared" si="765"/>
        <v>0</v>
      </c>
      <c r="CB247" s="19">
        <f t="shared" si="675"/>
        <v>0</v>
      </c>
      <c r="CC247" s="24"/>
      <c r="CD247" s="23">
        <v>0</v>
      </c>
      <c r="CE247" s="19">
        <f t="shared" si="766"/>
        <v>0</v>
      </c>
      <c r="CF247" s="19">
        <v>0</v>
      </c>
      <c r="CG247" s="19">
        <v>0</v>
      </c>
      <c r="CH247" s="19">
        <v>0</v>
      </c>
      <c r="CI247" s="19">
        <v>0</v>
      </c>
      <c r="CJ247" s="19">
        <v>0</v>
      </c>
      <c r="CK247" s="19">
        <f t="shared" si="767"/>
        <v>0</v>
      </c>
      <c r="CL247" s="51">
        <v>0</v>
      </c>
      <c r="CM247" s="51">
        <v>0</v>
      </c>
      <c r="CN247" s="19">
        <v>0</v>
      </c>
      <c r="CO247" s="19">
        <v>0</v>
      </c>
      <c r="CP247" s="19">
        <v>0</v>
      </c>
      <c r="CQ247" s="19"/>
      <c r="CR247" s="19"/>
      <c r="CS247" s="19">
        <v>0</v>
      </c>
      <c r="CT247" s="19"/>
      <c r="CU247" s="19"/>
      <c r="CV247" s="19"/>
      <c r="CW247" s="19">
        <f t="shared" si="676"/>
        <v>0</v>
      </c>
      <c r="CX247" s="19">
        <f t="shared" si="677"/>
        <v>0</v>
      </c>
      <c r="CY247" s="19">
        <v>0</v>
      </c>
      <c r="CZ247" s="20">
        <v>0</v>
      </c>
    </row>
    <row r="248" spans="1:104" s="73" customFormat="1" ht="31.5" x14ac:dyDescent="0.25">
      <c r="A248" s="83" t="s">
        <v>1</v>
      </c>
      <c r="B248" s="66" t="s">
        <v>84</v>
      </c>
      <c r="C248" s="67" t="s">
        <v>562</v>
      </c>
      <c r="D248" s="68">
        <f t="shared" si="755"/>
        <v>4742091</v>
      </c>
      <c r="E248" s="69">
        <f t="shared" si="756"/>
        <v>4611967</v>
      </c>
      <c r="F248" s="69">
        <f t="shared" si="757"/>
        <v>4611967</v>
      </c>
      <c r="G248" s="70">
        <f>2797000+200000</f>
        <v>2997000</v>
      </c>
      <c r="H248" s="70">
        <v>699260</v>
      </c>
      <c r="I248" s="69">
        <f>SUM(J248:O248)</f>
        <v>352945</v>
      </c>
      <c r="J248" s="70">
        <v>5872</v>
      </c>
      <c r="K248" s="70">
        <v>757</v>
      </c>
      <c r="L248" s="70">
        <f>122200+50000</f>
        <v>172200</v>
      </c>
      <c r="M248" s="70">
        <v>0</v>
      </c>
      <c r="N248" s="70">
        <v>34896</v>
      </c>
      <c r="O248" s="70">
        <v>139220</v>
      </c>
      <c r="P248" s="69">
        <f>SUM(Q248:R248)</f>
        <v>7480</v>
      </c>
      <c r="Q248" s="70">
        <v>3876</v>
      </c>
      <c r="R248" s="70">
        <v>3604</v>
      </c>
      <c r="S248" s="70">
        <v>0</v>
      </c>
      <c r="T248" s="70">
        <v>6100</v>
      </c>
      <c r="U248" s="69">
        <f t="shared" si="758"/>
        <v>359602</v>
      </c>
      <c r="V248" s="70">
        <v>11400</v>
      </c>
      <c r="W248" s="70">
        <f>109820+123941</f>
        <v>233761</v>
      </c>
      <c r="X248" s="70">
        <f>4326+45000</f>
        <v>49326</v>
      </c>
      <c r="Y248" s="70">
        <f>8907+35000</f>
        <v>43907</v>
      </c>
      <c r="Z248" s="70">
        <f>4208+17000</f>
        <v>21208</v>
      </c>
      <c r="AA248" s="70">
        <v>0</v>
      </c>
      <c r="AB248" s="70">
        <v>0</v>
      </c>
      <c r="AC248" s="70">
        <v>0</v>
      </c>
      <c r="AD248" s="69">
        <f t="shared" si="759"/>
        <v>189580</v>
      </c>
      <c r="AE248" s="71">
        <v>0</v>
      </c>
      <c r="AF248" s="71">
        <v>0</v>
      </c>
      <c r="AG248" s="70">
        <v>2122</v>
      </c>
      <c r="AH248" s="70">
        <f>44705+20000</f>
        <v>64705</v>
      </c>
      <c r="AI248" s="70">
        <v>7884</v>
      </c>
      <c r="AJ248" s="70">
        <v>20940</v>
      </c>
      <c r="AK248" s="70">
        <v>0</v>
      </c>
      <c r="AL248" s="70">
        <v>3437</v>
      </c>
      <c r="AM248" s="70">
        <v>19932</v>
      </c>
      <c r="AN248" s="70">
        <v>0</v>
      </c>
      <c r="AO248" s="70">
        <v>0</v>
      </c>
      <c r="AP248" s="70"/>
      <c r="AQ248" s="70">
        <v>0</v>
      </c>
      <c r="AR248" s="70">
        <v>0</v>
      </c>
      <c r="AS248" s="70">
        <v>51600</v>
      </c>
      <c r="AT248" s="70">
        <v>0</v>
      </c>
      <c r="AU248" s="70">
        <v>0</v>
      </c>
      <c r="AV248" s="70">
        <v>0</v>
      </c>
      <c r="AW248" s="70">
        <v>0</v>
      </c>
      <c r="AX248" s="70">
        <v>0</v>
      </c>
      <c r="AY248" s="70">
        <v>0</v>
      </c>
      <c r="AZ248" s="70">
        <v>18960</v>
      </c>
      <c r="BA248" s="69">
        <f t="shared" si="760"/>
        <v>0</v>
      </c>
      <c r="BB248" s="69">
        <f t="shared" si="761"/>
        <v>0</v>
      </c>
      <c r="BC248" s="69">
        <v>0</v>
      </c>
      <c r="BD248" s="69">
        <v>0</v>
      </c>
      <c r="BE248" s="69">
        <v>0</v>
      </c>
      <c r="BF248" s="69">
        <f t="shared" si="762"/>
        <v>0</v>
      </c>
      <c r="BG248" s="69">
        <v>0</v>
      </c>
      <c r="BH248" s="69">
        <v>0</v>
      </c>
      <c r="BI248" s="69">
        <v>0</v>
      </c>
      <c r="BJ248" s="69">
        <v>0</v>
      </c>
      <c r="BK248" s="69">
        <f>SUM(BL248)</f>
        <v>0</v>
      </c>
      <c r="BL248" s="69">
        <v>0</v>
      </c>
      <c r="BM248" s="69">
        <v>0</v>
      </c>
      <c r="BN248" s="69">
        <f t="shared" si="763"/>
        <v>0</v>
      </c>
      <c r="BO248" s="69">
        <v>0</v>
      </c>
      <c r="BP248" s="69">
        <v>0</v>
      </c>
      <c r="BQ248" s="69">
        <v>0</v>
      </c>
      <c r="BR248" s="69">
        <v>0</v>
      </c>
      <c r="BS248" s="69">
        <v>0</v>
      </c>
      <c r="BT248" s="69">
        <v>0</v>
      </c>
      <c r="BU248" s="69">
        <v>0</v>
      </c>
      <c r="BV248" s="69">
        <v>0</v>
      </c>
      <c r="BW248" s="69">
        <v>0</v>
      </c>
      <c r="BX248" s="69">
        <v>0</v>
      </c>
      <c r="BY248" s="69">
        <v>0</v>
      </c>
      <c r="BZ248" s="69">
        <f t="shared" si="764"/>
        <v>130124</v>
      </c>
      <c r="CA248" s="69">
        <f t="shared" si="765"/>
        <v>130124</v>
      </c>
      <c r="CB248" s="69">
        <f>SUM(CC248:CD248)</f>
        <v>130124</v>
      </c>
      <c r="CC248" s="71"/>
      <c r="CD248" s="70">
        <f>70124+60000</f>
        <v>130124</v>
      </c>
      <c r="CE248" s="69">
        <f t="shared" si="766"/>
        <v>0</v>
      </c>
      <c r="CF248" s="69">
        <v>0</v>
      </c>
      <c r="CG248" s="69">
        <v>0</v>
      </c>
      <c r="CH248" s="69">
        <v>0</v>
      </c>
      <c r="CI248" s="69">
        <v>0</v>
      </c>
      <c r="CJ248" s="69">
        <v>0</v>
      </c>
      <c r="CK248" s="69">
        <f t="shared" si="767"/>
        <v>0</v>
      </c>
      <c r="CL248" s="75">
        <v>0</v>
      </c>
      <c r="CM248" s="75">
        <v>0</v>
      </c>
      <c r="CN248" s="69">
        <v>0</v>
      </c>
      <c r="CO248" s="69">
        <v>0</v>
      </c>
      <c r="CP248" s="69">
        <v>0</v>
      </c>
      <c r="CQ248" s="69"/>
      <c r="CR248" s="69"/>
      <c r="CS248" s="69">
        <v>0</v>
      </c>
      <c r="CT248" s="69"/>
      <c r="CU248" s="69"/>
      <c r="CV248" s="69"/>
      <c r="CW248" s="69">
        <f>SUM(CX248)</f>
        <v>0</v>
      </c>
      <c r="CX248" s="69">
        <f>SUM(CY248:CZ248)</f>
        <v>0</v>
      </c>
      <c r="CY248" s="69">
        <v>0</v>
      </c>
      <c r="CZ248" s="72">
        <v>0</v>
      </c>
    </row>
    <row r="249" spans="1:104" s="73" customFormat="1" ht="31.5" x14ac:dyDescent="0.25">
      <c r="A249" s="83" t="s">
        <v>1</v>
      </c>
      <c r="B249" s="66" t="s">
        <v>84</v>
      </c>
      <c r="C249" s="67" t="s">
        <v>563</v>
      </c>
      <c r="D249" s="68">
        <f t="shared" si="755"/>
        <v>41634116</v>
      </c>
      <c r="E249" s="69">
        <f t="shared" si="756"/>
        <v>40101467</v>
      </c>
      <c r="F249" s="69">
        <f t="shared" si="757"/>
        <v>40101467</v>
      </c>
      <c r="G249" s="70">
        <f>17932737+210118</f>
        <v>18142855</v>
      </c>
      <c r="H249" s="70">
        <f>4688191+52530</f>
        <v>4740721</v>
      </c>
      <c r="I249" s="69">
        <f t="shared" si="671"/>
        <v>11070195</v>
      </c>
      <c r="J249" s="70">
        <v>6366724</v>
      </c>
      <c r="K249" s="70">
        <v>190963</v>
      </c>
      <c r="L249" s="70">
        <v>101270</v>
      </c>
      <c r="M249" s="70">
        <v>0</v>
      </c>
      <c r="N249" s="70">
        <f>587089+60000</f>
        <v>647089</v>
      </c>
      <c r="O249" s="70">
        <f>2403325+1360824</f>
        <v>3764149</v>
      </c>
      <c r="P249" s="69">
        <f t="shared" si="672"/>
        <v>45118</v>
      </c>
      <c r="Q249" s="70">
        <v>4534</v>
      </c>
      <c r="R249" s="70">
        <v>40584</v>
      </c>
      <c r="S249" s="70">
        <v>4562</v>
      </c>
      <c r="T249" s="70">
        <f>198980+3000</f>
        <v>201980</v>
      </c>
      <c r="U249" s="69">
        <f t="shared" si="758"/>
        <v>1789117</v>
      </c>
      <c r="V249" s="70">
        <v>862750</v>
      </c>
      <c r="W249" s="70">
        <f>394066+723</f>
        <v>394789</v>
      </c>
      <c r="X249" s="70">
        <v>33351</v>
      </c>
      <c r="Y249" s="70">
        <f>248043+347</f>
        <v>248390</v>
      </c>
      <c r="Z249" s="70">
        <v>194253</v>
      </c>
      <c r="AA249" s="70">
        <v>0</v>
      </c>
      <c r="AB249" s="70">
        <v>0</v>
      </c>
      <c r="AC249" s="70">
        <f>46202+9382</f>
        <v>55584</v>
      </c>
      <c r="AD249" s="69">
        <f t="shared" si="759"/>
        <v>4106919</v>
      </c>
      <c r="AE249" s="71">
        <v>0</v>
      </c>
      <c r="AF249" s="71">
        <v>0</v>
      </c>
      <c r="AG249" s="70">
        <f>937241+78591</f>
        <v>1015832</v>
      </c>
      <c r="AH249" s="70">
        <f>544295+459559</f>
        <v>1003854</v>
      </c>
      <c r="AI249" s="70">
        <v>0</v>
      </c>
      <c r="AJ249" s="70">
        <v>68568</v>
      </c>
      <c r="AK249" s="70">
        <v>0</v>
      </c>
      <c r="AL249" s="70">
        <v>60923</v>
      </c>
      <c r="AM249" s="70">
        <v>602197</v>
      </c>
      <c r="AN249" s="70">
        <v>0</v>
      </c>
      <c r="AO249" s="70">
        <v>0</v>
      </c>
      <c r="AP249" s="70"/>
      <c r="AQ249" s="70">
        <v>0</v>
      </c>
      <c r="AR249" s="70">
        <v>111694</v>
      </c>
      <c r="AS249" s="70">
        <v>66649</v>
      </c>
      <c r="AT249" s="70">
        <v>0</v>
      </c>
      <c r="AU249" s="70">
        <v>3618</v>
      </c>
      <c r="AV249" s="70">
        <v>0</v>
      </c>
      <c r="AW249" s="70">
        <v>0</v>
      </c>
      <c r="AX249" s="70">
        <v>0</v>
      </c>
      <c r="AY249" s="70">
        <v>0</v>
      </c>
      <c r="AZ249" s="70">
        <f>1013095+160489</f>
        <v>1173584</v>
      </c>
      <c r="BA249" s="69">
        <f t="shared" si="760"/>
        <v>0</v>
      </c>
      <c r="BB249" s="69">
        <f t="shared" si="761"/>
        <v>0</v>
      </c>
      <c r="BC249" s="69">
        <v>0</v>
      </c>
      <c r="BD249" s="69">
        <v>0</v>
      </c>
      <c r="BE249" s="69">
        <v>0</v>
      </c>
      <c r="BF249" s="69">
        <f t="shared" si="762"/>
        <v>0</v>
      </c>
      <c r="BG249" s="69">
        <v>0</v>
      </c>
      <c r="BH249" s="69">
        <v>0</v>
      </c>
      <c r="BI249" s="69">
        <v>0</v>
      </c>
      <c r="BJ249" s="69">
        <v>0</v>
      </c>
      <c r="BK249" s="69">
        <f t="shared" si="674"/>
        <v>0</v>
      </c>
      <c r="BL249" s="69">
        <v>0</v>
      </c>
      <c r="BM249" s="69">
        <v>0</v>
      </c>
      <c r="BN249" s="69">
        <f t="shared" si="763"/>
        <v>0</v>
      </c>
      <c r="BO249" s="69">
        <v>0</v>
      </c>
      <c r="BP249" s="69">
        <v>0</v>
      </c>
      <c r="BQ249" s="69">
        <v>0</v>
      </c>
      <c r="BR249" s="69">
        <v>0</v>
      </c>
      <c r="BS249" s="69">
        <v>0</v>
      </c>
      <c r="BT249" s="69">
        <v>0</v>
      </c>
      <c r="BU249" s="69">
        <v>0</v>
      </c>
      <c r="BV249" s="69">
        <v>0</v>
      </c>
      <c r="BW249" s="69">
        <v>0</v>
      </c>
      <c r="BX249" s="69">
        <v>0</v>
      </c>
      <c r="BY249" s="69">
        <v>0</v>
      </c>
      <c r="BZ249" s="69">
        <f t="shared" si="764"/>
        <v>1532649</v>
      </c>
      <c r="CA249" s="69">
        <f t="shared" si="765"/>
        <v>1532649</v>
      </c>
      <c r="CB249" s="69">
        <f t="shared" si="675"/>
        <v>1486956</v>
      </c>
      <c r="CC249" s="71"/>
      <c r="CD249" s="70">
        <f>1137741+349215</f>
        <v>1486956</v>
      </c>
      <c r="CE249" s="69">
        <f t="shared" si="766"/>
        <v>0</v>
      </c>
      <c r="CF249" s="69">
        <v>0</v>
      </c>
      <c r="CG249" s="69">
        <v>0</v>
      </c>
      <c r="CH249" s="69">
        <v>0</v>
      </c>
      <c r="CI249" s="69">
        <v>0</v>
      </c>
      <c r="CJ249" s="69">
        <v>0</v>
      </c>
      <c r="CK249" s="69">
        <f t="shared" si="767"/>
        <v>45693</v>
      </c>
      <c r="CL249" s="75">
        <v>0</v>
      </c>
      <c r="CM249" s="75">
        <v>45693</v>
      </c>
      <c r="CN249" s="69">
        <v>0</v>
      </c>
      <c r="CO249" s="69">
        <v>0</v>
      </c>
      <c r="CP249" s="69">
        <v>0</v>
      </c>
      <c r="CQ249" s="69"/>
      <c r="CR249" s="69"/>
      <c r="CS249" s="69">
        <v>0</v>
      </c>
      <c r="CT249" s="69"/>
      <c r="CU249" s="69"/>
      <c r="CV249" s="69"/>
      <c r="CW249" s="69">
        <f t="shared" si="676"/>
        <v>0</v>
      </c>
      <c r="CX249" s="69">
        <f t="shared" si="677"/>
        <v>0</v>
      </c>
      <c r="CY249" s="69">
        <v>0</v>
      </c>
      <c r="CZ249" s="72">
        <v>0</v>
      </c>
    </row>
    <row r="250" spans="1:104" s="73" customFormat="1" ht="31.5" x14ac:dyDescent="0.25">
      <c r="A250" s="83" t="s">
        <v>1</v>
      </c>
      <c r="B250" s="66" t="s">
        <v>84</v>
      </c>
      <c r="C250" s="67" t="s">
        <v>564</v>
      </c>
      <c r="D250" s="68">
        <f t="shared" si="755"/>
        <v>39743634</v>
      </c>
      <c r="E250" s="69">
        <f t="shared" si="756"/>
        <v>36603634</v>
      </c>
      <c r="F250" s="69">
        <f t="shared" si="757"/>
        <v>36603634</v>
      </c>
      <c r="G250" s="70">
        <f>16445716+250000</f>
        <v>16695716</v>
      </c>
      <c r="H250" s="70">
        <f>4111426+62500</f>
        <v>4173926</v>
      </c>
      <c r="I250" s="69">
        <f t="shared" si="671"/>
        <v>9959314</v>
      </c>
      <c r="J250" s="70">
        <f>5534980+92611</f>
        <v>5627591</v>
      </c>
      <c r="K250" s="70">
        <f>82000+17197</f>
        <v>99197</v>
      </c>
      <c r="L250" s="70">
        <v>13000</v>
      </c>
      <c r="M250" s="70">
        <v>0</v>
      </c>
      <c r="N250" s="70">
        <f>462500+670000</f>
        <v>1132500</v>
      </c>
      <c r="O250" s="70">
        <f>2213225+873801</f>
        <v>3087026</v>
      </c>
      <c r="P250" s="69">
        <f t="shared" si="672"/>
        <v>0</v>
      </c>
      <c r="Q250" s="70">
        <v>0</v>
      </c>
      <c r="R250" s="70">
        <v>0</v>
      </c>
      <c r="S250" s="70">
        <v>0</v>
      </c>
      <c r="T250" s="70">
        <v>121161</v>
      </c>
      <c r="U250" s="69">
        <f t="shared" si="758"/>
        <v>1425752</v>
      </c>
      <c r="V250" s="70">
        <f>702000+60000</f>
        <v>762000</v>
      </c>
      <c r="W250" s="70">
        <f>337173+22594</f>
        <v>359767</v>
      </c>
      <c r="X250" s="70">
        <v>0</v>
      </c>
      <c r="Y250" s="70">
        <f>111055+10682</f>
        <v>121737</v>
      </c>
      <c r="Z250" s="70">
        <f>113004+3113</f>
        <v>116117</v>
      </c>
      <c r="AA250" s="70">
        <f>50000+8336</f>
        <v>58336</v>
      </c>
      <c r="AB250" s="70">
        <v>0</v>
      </c>
      <c r="AC250" s="70">
        <f>7749+46</f>
        <v>7795</v>
      </c>
      <c r="AD250" s="69">
        <f t="shared" si="759"/>
        <v>4227765</v>
      </c>
      <c r="AE250" s="71">
        <v>0</v>
      </c>
      <c r="AF250" s="71">
        <v>0</v>
      </c>
      <c r="AG250" s="70">
        <v>586976</v>
      </c>
      <c r="AH250" s="70">
        <f>1167213+1000000</f>
        <v>2167213</v>
      </c>
      <c r="AI250" s="70">
        <v>0</v>
      </c>
      <c r="AJ250" s="70">
        <v>31000</v>
      </c>
      <c r="AK250" s="70">
        <v>0</v>
      </c>
      <c r="AL250" s="70">
        <v>16600</v>
      </c>
      <c r="AM250" s="70">
        <v>340000</v>
      </c>
      <c r="AN250" s="70">
        <v>0</v>
      </c>
      <c r="AO250" s="70">
        <v>2000</v>
      </c>
      <c r="AP250" s="70"/>
      <c r="AQ250" s="70">
        <v>0</v>
      </c>
      <c r="AR250" s="70">
        <f>25000+25000</f>
        <v>50000</v>
      </c>
      <c r="AS250" s="70">
        <f>147960+60000</f>
        <v>207960</v>
      </c>
      <c r="AT250" s="70">
        <v>0</v>
      </c>
      <c r="AU250" s="70">
        <v>0</v>
      </c>
      <c r="AV250" s="70">
        <v>0</v>
      </c>
      <c r="AW250" s="70">
        <v>0</v>
      </c>
      <c r="AX250" s="70">
        <v>0</v>
      </c>
      <c r="AY250" s="70">
        <v>0</v>
      </c>
      <c r="AZ250" s="70">
        <f>666016+160000</f>
        <v>826016</v>
      </c>
      <c r="BA250" s="69">
        <f t="shared" si="760"/>
        <v>0</v>
      </c>
      <c r="BB250" s="69">
        <f t="shared" si="761"/>
        <v>0</v>
      </c>
      <c r="BC250" s="69">
        <v>0</v>
      </c>
      <c r="BD250" s="69">
        <v>0</v>
      </c>
      <c r="BE250" s="69">
        <v>0</v>
      </c>
      <c r="BF250" s="69">
        <f t="shared" si="762"/>
        <v>0</v>
      </c>
      <c r="BG250" s="69">
        <v>0</v>
      </c>
      <c r="BH250" s="69">
        <v>0</v>
      </c>
      <c r="BI250" s="69">
        <v>0</v>
      </c>
      <c r="BJ250" s="69">
        <v>0</v>
      </c>
      <c r="BK250" s="69">
        <f t="shared" si="674"/>
        <v>0</v>
      </c>
      <c r="BL250" s="69">
        <v>0</v>
      </c>
      <c r="BM250" s="69">
        <v>0</v>
      </c>
      <c r="BN250" s="69">
        <f t="shared" si="763"/>
        <v>0</v>
      </c>
      <c r="BO250" s="69">
        <v>0</v>
      </c>
      <c r="BP250" s="69">
        <v>0</v>
      </c>
      <c r="BQ250" s="69">
        <v>0</v>
      </c>
      <c r="BR250" s="69">
        <v>0</v>
      </c>
      <c r="BS250" s="69">
        <v>0</v>
      </c>
      <c r="BT250" s="69">
        <v>0</v>
      </c>
      <c r="BU250" s="69">
        <v>0</v>
      </c>
      <c r="BV250" s="69">
        <v>0</v>
      </c>
      <c r="BW250" s="69">
        <v>0</v>
      </c>
      <c r="BX250" s="69">
        <v>0</v>
      </c>
      <c r="BY250" s="69">
        <v>0</v>
      </c>
      <c r="BZ250" s="69">
        <f t="shared" si="764"/>
        <v>3140000</v>
      </c>
      <c r="CA250" s="69">
        <f t="shared" si="765"/>
        <v>3140000</v>
      </c>
      <c r="CB250" s="69">
        <f t="shared" si="675"/>
        <v>3040000</v>
      </c>
      <c r="CC250" s="71"/>
      <c r="CD250" s="70">
        <f>2240000+800000</f>
        <v>3040000</v>
      </c>
      <c r="CE250" s="69">
        <f t="shared" si="766"/>
        <v>0</v>
      </c>
      <c r="CF250" s="69">
        <v>0</v>
      </c>
      <c r="CG250" s="69">
        <v>0</v>
      </c>
      <c r="CH250" s="69">
        <v>0</v>
      </c>
      <c r="CI250" s="69">
        <v>0</v>
      </c>
      <c r="CJ250" s="69">
        <v>0</v>
      </c>
      <c r="CK250" s="69">
        <f t="shared" si="767"/>
        <v>100000</v>
      </c>
      <c r="CL250" s="75">
        <v>0</v>
      </c>
      <c r="CM250" s="75">
        <v>100000</v>
      </c>
      <c r="CN250" s="69">
        <v>0</v>
      </c>
      <c r="CO250" s="69">
        <v>0</v>
      </c>
      <c r="CP250" s="69">
        <v>0</v>
      </c>
      <c r="CQ250" s="69"/>
      <c r="CR250" s="69"/>
      <c r="CS250" s="69">
        <v>0</v>
      </c>
      <c r="CT250" s="69"/>
      <c r="CU250" s="69"/>
      <c r="CV250" s="69"/>
      <c r="CW250" s="69">
        <f t="shared" si="676"/>
        <v>0</v>
      </c>
      <c r="CX250" s="69">
        <f t="shared" si="677"/>
        <v>0</v>
      </c>
      <c r="CY250" s="69">
        <v>0</v>
      </c>
      <c r="CZ250" s="72">
        <v>0</v>
      </c>
    </row>
    <row r="251" spans="1:104" s="73" customFormat="1" ht="31.5" x14ac:dyDescent="0.25">
      <c r="A251" s="83" t="s">
        <v>1</v>
      </c>
      <c r="B251" s="66" t="s">
        <v>84</v>
      </c>
      <c r="C251" s="67" t="s">
        <v>565</v>
      </c>
      <c r="D251" s="68">
        <f t="shared" si="755"/>
        <v>10587483</v>
      </c>
      <c r="E251" s="69">
        <f t="shared" si="756"/>
        <v>10086955</v>
      </c>
      <c r="F251" s="69">
        <f t="shared" si="757"/>
        <v>10086955</v>
      </c>
      <c r="G251" s="70">
        <f>4427207+66880</f>
        <v>4494087</v>
      </c>
      <c r="H251" s="70">
        <f>1106803+16327</f>
        <v>1123130</v>
      </c>
      <c r="I251" s="69">
        <f t="shared" si="671"/>
        <v>2675158</v>
      </c>
      <c r="J251" s="70">
        <f>979774+7000</f>
        <v>986774</v>
      </c>
      <c r="K251" s="70">
        <v>24500</v>
      </c>
      <c r="L251" s="70">
        <v>48000</v>
      </c>
      <c r="M251" s="70">
        <v>0</v>
      </c>
      <c r="N251" s="70">
        <f>368279+67910</f>
        <v>436189</v>
      </c>
      <c r="O251" s="70">
        <f>718730+460965</f>
        <v>1179695</v>
      </c>
      <c r="P251" s="69">
        <f t="shared" si="672"/>
        <v>29762</v>
      </c>
      <c r="Q251" s="70">
        <f>26962+300</f>
        <v>27262</v>
      </c>
      <c r="R251" s="70">
        <v>2500</v>
      </c>
      <c r="S251" s="70">
        <v>0</v>
      </c>
      <c r="T251" s="70">
        <v>64750</v>
      </c>
      <c r="U251" s="69">
        <f t="shared" si="758"/>
        <v>287879</v>
      </c>
      <c r="V251" s="70">
        <f>46300+5000</f>
        <v>51300</v>
      </c>
      <c r="W251" s="70">
        <f>97615+77050</f>
        <v>174665</v>
      </c>
      <c r="X251" s="70">
        <f>8+6646</f>
        <v>6654</v>
      </c>
      <c r="Y251" s="70">
        <f>38430+709</f>
        <v>39139</v>
      </c>
      <c r="Z251" s="70">
        <f>15624+324</f>
        <v>15948</v>
      </c>
      <c r="AA251" s="70">
        <v>0</v>
      </c>
      <c r="AB251" s="70">
        <v>0</v>
      </c>
      <c r="AC251" s="70">
        <v>173</v>
      </c>
      <c r="AD251" s="69">
        <f t="shared" si="759"/>
        <v>1412189</v>
      </c>
      <c r="AE251" s="71">
        <v>0</v>
      </c>
      <c r="AF251" s="71">
        <v>0</v>
      </c>
      <c r="AG251" s="70">
        <f>142914+2000</f>
        <v>144914</v>
      </c>
      <c r="AH251" s="70">
        <f>503127+260289</f>
        <v>763416</v>
      </c>
      <c r="AI251" s="70">
        <v>0</v>
      </c>
      <c r="AJ251" s="70">
        <v>37010</v>
      </c>
      <c r="AK251" s="70">
        <v>0</v>
      </c>
      <c r="AL251" s="70">
        <v>2300</v>
      </c>
      <c r="AM251" s="70">
        <f>28800+5000</f>
        <v>33800</v>
      </c>
      <c r="AN251" s="70">
        <v>0</v>
      </c>
      <c r="AO251" s="70">
        <v>0</v>
      </c>
      <c r="AP251" s="70"/>
      <c r="AQ251" s="70">
        <v>0</v>
      </c>
      <c r="AR251" s="70">
        <v>0</v>
      </c>
      <c r="AS251" s="70">
        <f>195200+60000</f>
        <v>255200</v>
      </c>
      <c r="AT251" s="70">
        <v>0</v>
      </c>
      <c r="AU251" s="70">
        <v>0</v>
      </c>
      <c r="AV251" s="70">
        <v>0</v>
      </c>
      <c r="AW251" s="70">
        <v>0</v>
      </c>
      <c r="AX251" s="70">
        <v>0</v>
      </c>
      <c r="AY251" s="70">
        <v>0</v>
      </c>
      <c r="AZ251" s="70">
        <f>166549+9000</f>
        <v>175549</v>
      </c>
      <c r="BA251" s="69">
        <f t="shared" si="760"/>
        <v>0</v>
      </c>
      <c r="BB251" s="69">
        <f t="shared" si="761"/>
        <v>0</v>
      </c>
      <c r="BC251" s="69">
        <v>0</v>
      </c>
      <c r="BD251" s="69">
        <v>0</v>
      </c>
      <c r="BE251" s="69">
        <v>0</v>
      </c>
      <c r="BF251" s="69">
        <f t="shared" si="762"/>
        <v>0</v>
      </c>
      <c r="BG251" s="69">
        <v>0</v>
      </c>
      <c r="BH251" s="69">
        <v>0</v>
      </c>
      <c r="BI251" s="69">
        <v>0</v>
      </c>
      <c r="BJ251" s="69">
        <v>0</v>
      </c>
      <c r="BK251" s="69">
        <f t="shared" si="674"/>
        <v>0</v>
      </c>
      <c r="BL251" s="69">
        <v>0</v>
      </c>
      <c r="BM251" s="69">
        <v>0</v>
      </c>
      <c r="BN251" s="69">
        <f t="shared" si="763"/>
        <v>0</v>
      </c>
      <c r="BO251" s="69">
        <v>0</v>
      </c>
      <c r="BP251" s="69">
        <v>0</v>
      </c>
      <c r="BQ251" s="69">
        <v>0</v>
      </c>
      <c r="BR251" s="69">
        <v>0</v>
      </c>
      <c r="BS251" s="69">
        <v>0</v>
      </c>
      <c r="BT251" s="69">
        <v>0</v>
      </c>
      <c r="BU251" s="69">
        <v>0</v>
      </c>
      <c r="BV251" s="69">
        <v>0</v>
      </c>
      <c r="BW251" s="69">
        <v>0</v>
      </c>
      <c r="BX251" s="69">
        <v>0</v>
      </c>
      <c r="BY251" s="69">
        <v>0</v>
      </c>
      <c r="BZ251" s="69">
        <f t="shared" si="764"/>
        <v>500528</v>
      </c>
      <c r="CA251" s="69">
        <f t="shared" si="765"/>
        <v>500528</v>
      </c>
      <c r="CB251" s="69">
        <f t="shared" si="675"/>
        <v>500528</v>
      </c>
      <c r="CC251" s="71"/>
      <c r="CD251" s="70">
        <f>381528+119000</f>
        <v>500528</v>
      </c>
      <c r="CE251" s="69">
        <f t="shared" si="766"/>
        <v>0</v>
      </c>
      <c r="CF251" s="69">
        <v>0</v>
      </c>
      <c r="CG251" s="69">
        <v>0</v>
      </c>
      <c r="CH251" s="69">
        <v>0</v>
      </c>
      <c r="CI251" s="69">
        <v>0</v>
      </c>
      <c r="CJ251" s="69">
        <v>0</v>
      </c>
      <c r="CK251" s="69">
        <f t="shared" si="767"/>
        <v>0</v>
      </c>
      <c r="CL251" s="75">
        <v>0</v>
      </c>
      <c r="CM251" s="75">
        <v>0</v>
      </c>
      <c r="CN251" s="69">
        <v>0</v>
      </c>
      <c r="CO251" s="69">
        <v>0</v>
      </c>
      <c r="CP251" s="69">
        <v>0</v>
      </c>
      <c r="CQ251" s="69"/>
      <c r="CR251" s="69"/>
      <c r="CS251" s="69">
        <v>0</v>
      </c>
      <c r="CT251" s="69"/>
      <c r="CU251" s="69"/>
      <c r="CV251" s="69"/>
      <c r="CW251" s="69">
        <f t="shared" si="676"/>
        <v>0</v>
      </c>
      <c r="CX251" s="69">
        <f t="shared" si="677"/>
        <v>0</v>
      </c>
      <c r="CY251" s="69">
        <v>0</v>
      </c>
      <c r="CZ251" s="72">
        <v>0</v>
      </c>
    </row>
    <row r="252" spans="1:104" s="73" customFormat="1" ht="31.5" x14ac:dyDescent="0.25">
      <c r="A252" s="83" t="s">
        <v>1</v>
      </c>
      <c r="B252" s="66" t="s">
        <v>86</v>
      </c>
      <c r="C252" s="67" t="s">
        <v>566</v>
      </c>
      <c r="D252" s="68">
        <f t="shared" si="755"/>
        <v>7858896</v>
      </c>
      <c r="E252" s="69">
        <f t="shared" si="756"/>
        <v>7691098</v>
      </c>
      <c r="F252" s="69">
        <f t="shared" si="757"/>
        <v>7536754</v>
      </c>
      <c r="G252" s="70">
        <f>2624972+188061</f>
        <v>2813033</v>
      </c>
      <c r="H252" s="70">
        <f>657478+47016</f>
        <v>704494</v>
      </c>
      <c r="I252" s="69">
        <f t="shared" si="671"/>
        <v>2108646</v>
      </c>
      <c r="J252" s="70">
        <v>0</v>
      </c>
      <c r="K252" s="70">
        <v>0</v>
      </c>
      <c r="L252" s="70">
        <f>804084+87779</f>
        <v>891863</v>
      </c>
      <c r="M252" s="70">
        <v>0</v>
      </c>
      <c r="N252" s="70">
        <f>620538+32500</f>
        <v>653038</v>
      </c>
      <c r="O252" s="70">
        <f>422635+141110</f>
        <v>563745</v>
      </c>
      <c r="P252" s="69">
        <f t="shared" si="672"/>
        <v>12409</v>
      </c>
      <c r="Q252" s="70">
        <v>12409</v>
      </c>
      <c r="R252" s="70">
        <v>0</v>
      </c>
      <c r="S252" s="70">
        <v>0</v>
      </c>
      <c r="T252" s="70">
        <f>50368+3463</f>
        <v>53831</v>
      </c>
      <c r="U252" s="69">
        <f t="shared" si="758"/>
        <v>1194530</v>
      </c>
      <c r="V252" s="70">
        <f>64400+5700</f>
        <v>70100</v>
      </c>
      <c r="W252" s="70">
        <f>461711+167450</f>
        <v>629161</v>
      </c>
      <c r="X252" s="70">
        <f>234827+31807</f>
        <v>266634</v>
      </c>
      <c r="Y252" s="70">
        <f>162329+10200</f>
        <v>172529</v>
      </c>
      <c r="Z252" s="70">
        <f>44106+12000</f>
        <v>56106</v>
      </c>
      <c r="AA252" s="70">
        <v>0</v>
      </c>
      <c r="AB252" s="70">
        <v>0</v>
      </c>
      <c r="AC252" s="70">
        <v>0</v>
      </c>
      <c r="AD252" s="69">
        <f t="shared" si="759"/>
        <v>649811</v>
      </c>
      <c r="AE252" s="71">
        <v>0</v>
      </c>
      <c r="AF252" s="71">
        <v>0</v>
      </c>
      <c r="AG252" s="75">
        <f>58020+4000</f>
        <v>62020</v>
      </c>
      <c r="AH252" s="75">
        <f>106916+178833</f>
        <v>285749</v>
      </c>
      <c r="AI252" s="75">
        <v>0</v>
      </c>
      <c r="AJ252" s="75">
        <f>0+17350</f>
        <v>17350</v>
      </c>
      <c r="AK252" s="75">
        <v>0</v>
      </c>
      <c r="AL252" s="75">
        <v>0</v>
      </c>
      <c r="AM252" s="75">
        <f>46312+20490</f>
        <v>66802</v>
      </c>
      <c r="AN252" s="75">
        <v>0</v>
      </c>
      <c r="AO252" s="75">
        <v>0</v>
      </c>
      <c r="AP252" s="75"/>
      <c r="AQ252" s="75">
        <v>0</v>
      </c>
      <c r="AR252" s="75">
        <v>0</v>
      </c>
      <c r="AS252" s="75">
        <f>30000+51600</f>
        <v>81600</v>
      </c>
      <c r="AT252" s="75">
        <v>0</v>
      </c>
      <c r="AU252" s="75">
        <v>0</v>
      </c>
      <c r="AV252" s="75">
        <v>0</v>
      </c>
      <c r="AW252" s="75">
        <v>0</v>
      </c>
      <c r="AX252" s="75">
        <v>0</v>
      </c>
      <c r="AY252" s="75">
        <v>0</v>
      </c>
      <c r="AZ252" s="75">
        <f>112197+24093</f>
        <v>136290</v>
      </c>
      <c r="BA252" s="69">
        <f t="shared" si="760"/>
        <v>154344</v>
      </c>
      <c r="BB252" s="69">
        <f t="shared" si="761"/>
        <v>0</v>
      </c>
      <c r="BC252" s="69">
        <v>0</v>
      </c>
      <c r="BD252" s="69">
        <v>0</v>
      </c>
      <c r="BE252" s="69">
        <v>0</v>
      </c>
      <c r="BF252" s="69">
        <f t="shared" si="762"/>
        <v>0</v>
      </c>
      <c r="BG252" s="69">
        <v>0</v>
      </c>
      <c r="BH252" s="69">
        <v>0</v>
      </c>
      <c r="BI252" s="69">
        <v>0</v>
      </c>
      <c r="BJ252" s="69">
        <v>0</v>
      </c>
      <c r="BK252" s="69">
        <f t="shared" si="674"/>
        <v>0</v>
      </c>
      <c r="BL252" s="69">
        <v>0</v>
      </c>
      <c r="BM252" s="69">
        <v>0</v>
      </c>
      <c r="BN252" s="69">
        <f t="shared" si="763"/>
        <v>154344</v>
      </c>
      <c r="BO252" s="69">
        <v>0</v>
      </c>
      <c r="BP252" s="69">
        <v>0</v>
      </c>
      <c r="BQ252" s="69">
        <v>0</v>
      </c>
      <c r="BR252" s="69">
        <v>0</v>
      </c>
      <c r="BS252" s="69">
        <v>0</v>
      </c>
      <c r="BT252" s="69">
        <v>0</v>
      </c>
      <c r="BU252" s="69">
        <v>0</v>
      </c>
      <c r="BV252" s="69">
        <v>0</v>
      </c>
      <c r="BW252" s="69">
        <v>0</v>
      </c>
      <c r="BX252" s="69">
        <v>0</v>
      </c>
      <c r="BY252" s="69">
        <v>154344</v>
      </c>
      <c r="BZ252" s="69">
        <f t="shared" si="764"/>
        <v>167798</v>
      </c>
      <c r="CA252" s="69">
        <f t="shared" si="765"/>
        <v>167798</v>
      </c>
      <c r="CB252" s="69">
        <f t="shared" si="675"/>
        <v>167798</v>
      </c>
      <c r="CC252" s="70">
        <v>0</v>
      </c>
      <c r="CD252" s="70">
        <f>147000+20798</f>
        <v>167798</v>
      </c>
      <c r="CE252" s="69">
        <f t="shared" si="766"/>
        <v>0</v>
      </c>
      <c r="CF252" s="70">
        <v>0</v>
      </c>
      <c r="CG252" s="70">
        <v>0</v>
      </c>
      <c r="CH252" s="70">
        <v>0</v>
      </c>
      <c r="CI252" s="70">
        <v>0</v>
      </c>
      <c r="CJ252" s="70">
        <v>0</v>
      </c>
      <c r="CK252" s="69">
        <f t="shared" si="767"/>
        <v>0</v>
      </c>
      <c r="CL252" s="70">
        <v>0</v>
      </c>
      <c r="CM252" s="70"/>
      <c r="CN252" s="70"/>
      <c r="CO252" s="70">
        <v>0</v>
      </c>
      <c r="CP252" s="70">
        <v>0</v>
      </c>
      <c r="CQ252" s="70"/>
      <c r="CR252" s="70"/>
      <c r="CS252" s="69">
        <v>0</v>
      </c>
      <c r="CT252" s="69"/>
      <c r="CU252" s="69"/>
      <c r="CV252" s="69"/>
      <c r="CW252" s="69">
        <f t="shared" si="676"/>
        <v>0</v>
      </c>
      <c r="CX252" s="69">
        <f t="shared" si="677"/>
        <v>0</v>
      </c>
      <c r="CY252" s="69">
        <v>0</v>
      </c>
      <c r="CZ252" s="72">
        <v>0</v>
      </c>
    </row>
    <row r="253" spans="1:104" s="73" customFormat="1" ht="31.5" x14ac:dyDescent="0.25">
      <c r="A253" s="83" t="s">
        <v>1</v>
      </c>
      <c r="B253" s="66" t="s">
        <v>88</v>
      </c>
      <c r="C253" s="67" t="s">
        <v>568</v>
      </c>
      <c r="D253" s="68">
        <f t="shared" si="755"/>
        <v>796730</v>
      </c>
      <c r="E253" s="69">
        <f t="shared" si="756"/>
        <v>796730</v>
      </c>
      <c r="F253" s="69">
        <f t="shared" si="757"/>
        <v>796730</v>
      </c>
      <c r="G253" s="70">
        <v>0</v>
      </c>
      <c r="H253" s="70">
        <v>0</v>
      </c>
      <c r="I253" s="69">
        <f t="shared" si="671"/>
        <v>3188</v>
      </c>
      <c r="J253" s="70">
        <v>0</v>
      </c>
      <c r="K253" s="70">
        <v>0</v>
      </c>
      <c r="L253" s="70">
        <v>0</v>
      </c>
      <c r="M253" s="70">
        <v>0</v>
      </c>
      <c r="N253" s="70">
        <v>0</v>
      </c>
      <c r="O253" s="70">
        <v>3188</v>
      </c>
      <c r="P253" s="69">
        <f t="shared" si="672"/>
        <v>0</v>
      </c>
      <c r="Q253" s="70">
        <v>0</v>
      </c>
      <c r="R253" s="70">
        <v>0</v>
      </c>
      <c r="S253" s="70">
        <v>0</v>
      </c>
      <c r="T253" s="70">
        <v>0</v>
      </c>
      <c r="U253" s="69">
        <f t="shared" si="758"/>
        <v>0</v>
      </c>
      <c r="V253" s="70">
        <v>0</v>
      </c>
      <c r="W253" s="70">
        <v>0</v>
      </c>
      <c r="X253" s="70">
        <v>0</v>
      </c>
      <c r="Y253" s="70">
        <v>0</v>
      </c>
      <c r="Z253" s="70">
        <v>0</v>
      </c>
      <c r="AA253" s="70">
        <v>0</v>
      </c>
      <c r="AB253" s="70">
        <v>0</v>
      </c>
      <c r="AC253" s="70">
        <v>0</v>
      </c>
      <c r="AD253" s="69">
        <f t="shared" si="759"/>
        <v>793542</v>
      </c>
      <c r="AE253" s="71">
        <v>0</v>
      </c>
      <c r="AF253" s="71">
        <v>0</v>
      </c>
      <c r="AG253" s="75">
        <v>0</v>
      </c>
      <c r="AH253" s="75">
        <v>0</v>
      </c>
      <c r="AI253" s="75">
        <v>0</v>
      </c>
      <c r="AJ253" s="75">
        <v>0</v>
      </c>
      <c r="AK253" s="75">
        <v>0</v>
      </c>
      <c r="AL253" s="75">
        <v>3188</v>
      </c>
      <c r="AM253" s="75">
        <f>664924+125270</f>
        <v>790194</v>
      </c>
      <c r="AN253" s="75">
        <v>0</v>
      </c>
      <c r="AO253" s="75">
        <v>0</v>
      </c>
      <c r="AP253" s="75"/>
      <c r="AQ253" s="75">
        <v>0</v>
      </c>
      <c r="AR253" s="75">
        <v>0</v>
      </c>
      <c r="AS253" s="75">
        <v>160</v>
      </c>
      <c r="AT253" s="75">
        <v>0</v>
      </c>
      <c r="AU253" s="75">
        <v>0</v>
      </c>
      <c r="AV253" s="75">
        <v>0</v>
      </c>
      <c r="AW253" s="75">
        <v>0</v>
      </c>
      <c r="AX253" s="75">
        <v>0</v>
      </c>
      <c r="AY253" s="75">
        <v>0</v>
      </c>
      <c r="AZ253" s="75">
        <v>0</v>
      </c>
      <c r="BA253" s="69">
        <f t="shared" si="760"/>
        <v>0</v>
      </c>
      <c r="BB253" s="69">
        <f t="shared" si="761"/>
        <v>0</v>
      </c>
      <c r="BC253" s="69">
        <v>0</v>
      </c>
      <c r="BD253" s="69">
        <v>0</v>
      </c>
      <c r="BE253" s="69">
        <v>0</v>
      </c>
      <c r="BF253" s="69">
        <f t="shared" si="762"/>
        <v>0</v>
      </c>
      <c r="BG253" s="69">
        <v>0</v>
      </c>
      <c r="BH253" s="69">
        <v>0</v>
      </c>
      <c r="BI253" s="69">
        <v>0</v>
      </c>
      <c r="BJ253" s="69">
        <v>0</v>
      </c>
      <c r="BK253" s="69">
        <f t="shared" si="674"/>
        <v>0</v>
      </c>
      <c r="BL253" s="69">
        <v>0</v>
      </c>
      <c r="BM253" s="69">
        <v>0</v>
      </c>
      <c r="BN253" s="69">
        <f t="shared" si="763"/>
        <v>0</v>
      </c>
      <c r="BO253" s="69">
        <v>0</v>
      </c>
      <c r="BP253" s="69">
        <v>0</v>
      </c>
      <c r="BQ253" s="69">
        <v>0</v>
      </c>
      <c r="BR253" s="69">
        <v>0</v>
      </c>
      <c r="BS253" s="69">
        <v>0</v>
      </c>
      <c r="BT253" s="69">
        <v>0</v>
      </c>
      <c r="BU253" s="69">
        <v>0</v>
      </c>
      <c r="BV253" s="69">
        <v>0</v>
      </c>
      <c r="BW253" s="69">
        <v>0</v>
      </c>
      <c r="BX253" s="69">
        <v>0</v>
      </c>
      <c r="BY253" s="69">
        <v>0</v>
      </c>
      <c r="BZ253" s="69">
        <f t="shared" si="764"/>
        <v>0</v>
      </c>
      <c r="CA253" s="69">
        <f t="shared" si="765"/>
        <v>0</v>
      </c>
      <c r="CB253" s="69">
        <f t="shared" si="675"/>
        <v>0</v>
      </c>
      <c r="CC253" s="70">
        <v>0</v>
      </c>
      <c r="CD253" s="70">
        <v>0</v>
      </c>
      <c r="CE253" s="69">
        <f t="shared" si="766"/>
        <v>0</v>
      </c>
      <c r="CF253" s="70">
        <v>0</v>
      </c>
      <c r="CG253" s="70">
        <v>0</v>
      </c>
      <c r="CH253" s="70">
        <v>0</v>
      </c>
      <c r="CI253" s="70">
        <v>0</v>
      </c>
      <c r="CJ253" s="70">
        <v>0</v>
      </c>
      <c r="CK253" s="69">
        <f t="shared" si="767"/>
        <v>0</v>
      </c>
      <c r="CL253" s="70">
        <v>0</v>
      </c>
      <c r="CM253" s="70"/>
      <c r="CN253" s="70"/>
      <c r="CO253" s="70">
        <v>0</v>
      </c>
      <c r="CP253" s="70">
        <v>0</v>
      </c>
      <c r="CQ253" s="70"/>
      <c r="CR253" s="70"/>
      <c r="CS253" s="69">
        <v>0</v>
      </c>
      <c r="CT253" s="69"/>
      <c r="CU253" s="69"/>
      <c r="CV253" s="69"/>
      <c r="CW253" s="69">
        <f t="shared" si="676"/>
        <v>0</v>
      </c>
      <c r="CX253" s="69">
        <f t="shared" si="677"/>
        <v>0</v>
      </c>
      <c r="CY253" s="69">
        <v>0</v>
      </c>
      <c r="CZ253" s="72">
        <v>0</v>
      </c>
    </row>
    <row r="254" spans="1:104" s="73" customFormat="1" ht="15.75" x14ac:dyDescent="0.25">
      <c r="A254" s="83" t="s">
        <v>1</v>
      </c>
      <c r="B254" s="66" t="s">
        <v>153</v>
      </c>
      <c r="C254" s="67" t="s">
        <v>567</v>
      </c>
      <c r="D254" s="68">
        <f t="shared" si="755"/>
        <v>57819067</v>
      </c>
      <c r="E254" s="69">
        <f t="shared" si="756"/>
        <v>50407912</v>
      </c>
      <c r="F254" s="69">
        <f t="shared" si="757"/>
        <v>50382304</v>
      </c>
      <c r="G254" s="70">
        <v>32339470</v>
      </c>
      <c r="H254" s="70">
        <f>2759329+5769</f>
        <v>2765098</v>
      </c>
      <c r="I254" s="69">
        <f t="shared" si="671"/>
        <v>10096850</v>
      </c>
      <c r="J254" s="70">
        <v>33583</v>
      </c>
      <c r="K254" s="70">
        <f>1010398+260000</f>
        <v>1270398</v>
      </c>
      <c r="L254" s="70">
        <v>0</v>
      </c>
      <c r="M254" s="70">
        <v>0</v>
      </c>
      <c r="N254" s="70">
        <f>2822823+500000</f>
        <v>3322823</v>
      </c>
      <c r="O254" s="70">
        <f>3968482+1501564</f>
        <v>5470046</v>
      </c>
      <c r="P254" s="69">
        <f t="shared" si="672"/>
        <v>85000</v>
      </c>
      <c r="Q254" s="70">
        <v>18000</v>
      </c>
      <c r="R254" s="70">
        <v>67000</v>
      </c>
      <c r="S254" s="70">
        <v>0</v>
      </c>
      <c r="T254" s="70">
        <v>323689</v>
      </c>
      <c r="U254" s="69">
        <f t="shared" si="758"/>
        <v>612671</v>
      </c>
      <c r="V254" s="70">
        <f>118517+60000</f>
        <v>178517</v>
      </c>
      <c r="W254" s="70">
        <f>129658+3135</f>
        <v>132793</v>
      </c>
      <c r="X254" s="70">
        <v>123216</v>
      </c>
      <c r="Y254" s="70">
        <f>108885+209</f>
        <v>109094</v>
      </c>
      <c r="Z254" s="70">
        <f>34381+5000</f>
        <v>39381</v>
      </c>
      <c r="AA254" s="70">
        <f>16640+5000</f>
        <v>21640</v>
      </c>
      <c r="AB254" s="70">
        <v>0</v>
      </c>
      <c r="AC254" s="70">
        <v>8030</v>
      </c>
      <c r="AD254" s="69">
        <f t="shared" si="759"/>
        <v>4159526</v>
      </c>
      <c r="AE254" s="71">
        <v>0</v>
      </c>
      <c r="AF254" s="71">
        <v>0</v>
      </c>
      <c r="AG254" s="75">
        <f>191156+12000</f>
        <v>203156</v>
      </c>
      <c r="AH254" s="75">
        <f>1206792+200000</f>
        <v>1406792</v>
      </c>
      <c r="AI254" s="75">
        <v>14000</v>
      </c>
      <c r="AJ254" s="75">
        <v>44268</v>
      </c>
      <c r="AK254" s="75">
        <v>0</v>
      </c>
      <c r="AL254" s="75">
        <f>23906+2000</f>
        <v>25906</v>
      </c>
      <c r="AM254" s="75">
        <v>7882</v>
      </c>
      <c r="AN254" s="75">
        <v>0</v>
      </c>
      <c r="AO254" s="75">
        <v>0</v>
      </c>
      <c r="AP254" s="75"/>
      <c r="AQ254" s="75">
        <f>184726+100000</f>
        <v>284726</v>
      </c>
      <c r="AR254" s="75">
        <v>0</v>
      </c>
      <c r="AS254" s="75">
        <f>119700+17500</f>
        <v>137200</v>
      </c>
      <c r="AT254" s="75">
        <v>0</v>
      </c>
      <c r="AU254" s="75">
        <v>0</v>
      </c>
      <c r="AV254" s="75">
        <v>0</v>
      </c>
      <c r="AW254" s="75">
        <v>1267682</v>
      </c>
      <c r="AX254" s="75">
        <v>170959</v>
      </c>
      <c r="AY254" s="75">
        <v>0</v>
      </c>
      <c r="AZ254" s="75">
        <f>485361+111594</f>
        <v>596955</v>
      </c>
      <c r="BA254" s="69">
        <f t="shared" si="760"/>
        <v>25608</v>
      </c>
      <c r="BB254" s="69">
        <f t="shared" si="761"/>
        <v>0</v>
      </c>
      <c r="BC254" s="69">
        <v>0</v>
      </c>
      <c r="BD254" s="69">
        <v>0</v>
      </c>
      <c r="BE254" s="69">
        <v>0</v>
      </c>
      <c r="BF254" s="69">
        <f t="shared" si="762"/>
        <v>0</v>
      </c>
      <c r="BG254" s="69">
        <v>0</v>
      </c>
      <c r="BH254" s="69">
        <v>0</v>
      </c>
      <c r="BI254" s="69">
        <v>0</v>
      </c>
      <c r="BJ254" s="69">
        <v>0</v>
      </c>
      <c r="BK254" s="69">
        <f t="shared" si="674"/>
        <v>0</v>
      </c>
      <c r="BL254" s="69">
        <v>0</v>
      </c>
      <c r="BM254" s="69">
        <v>0</v>
      </c>
      <c r="BN254" s="69">
        <f t="shared" si="763"/>
        <v>25608</v>
      </c>
      <c r="BO254" s="69">
        <v>0</v>
      </c>
      <c r="BP254" s="69">
        <v>0</v>
      </c>
      <c r="BQ254" s="69">
        <v>0</v>
      </c>
      <c r="BR254" s="69">
        <v>0</v>
      </c>
      <c r="BS254" s="69">
        <v>0</v>
      </c>
      <c r="BT254" s="69">
        <v>0</v>
      </c>
      <c r="BU254" s="69">
        <v>0</v>
      </c>
      <c r="BV254" s="69">
        <v>0</v>
      </c>
      <c r="BW254" s="69">
        <v>0</v>
      </c>
      <c r="BX254" s="69">
        <v>25608</v>
      </c>
      <c r="BY254" s="69">
        <v>0</v>
      </c>
      <c r="BZ254" s="69">
        <f t="shared" si="764"/>
        <v>7411155</v>
      </c>
      <c r="CA254" s="69">
        <f t="shared" si="765"/>
        <v>7411155</v>
      </c>
      <c r="CB254" s="69">
        <f t="shared" si="675"/>
        <v>4832461</v>
      </c>
      <c r="CC254" s="70">
        <v>0</v>
      </c>
      <c r="CD254" s="70">
        <f>2087341+2745120</f>
        <v>4832461</v>
      </c>
      <c r="CE254" s="69">
        <f t="shared" si="766"/>
        <v>0</v>
      </c>
      <c r="CF254" s="70">
        <v>0</v>
      </c>
      <c r="CG254" s="70">
        <v>0</v>
      </c>
      <c r="CH254" s="70"/>
      <c r="CI254" s="70"/>
      <c r="CJ254" s="70"/>
      <c r="CK254" s="69">
        <f t="shared" si="767"/>
        <v>2578694</v>
      </c>
      <c r="CL254" s="70">
        <v>0</v>
      </c>
      <c r="CM254" s="70"/>
      <c r="CN254" s="70">
        <f>300000+2278694</f>
        <v>2578694</v>
      </c>
      <c r="CO254" s="70">
        <v>0</v>
      </c>
      <c r="CP254" s="70">
        <v>0</v>
      </c>
      <c r="CQ254" s="70"/>
      <c r="CR254" s="70"/>
      <c r="CS254" s="69">
        <v>0</v>
      </c>
      <c r="CT254" s="69"/>
      <c r="CU254" s="69"/>
      <c r="CV254" s="69"/>
      <c r="CW254" s="69">
        <f t="shared" si="676"/>
        <v>0</v>
      </c>
      <c r="CX254" s="69">
        <f t="shared" si="677"/>
        <v>0</v>
      </c>
      <c r="CY254" s="69">
        <v>0</v>
      </c>
      <c r="CZ254" s="72">
        <v>0</v>
      </c>
    </row>
    <row r="255" spans="1:104" s="73" customFormat="1" ht="31.5" x14ac:dyDescent="0.25">
      <c r="A255" s="83" t="s">
        <v>1</v>
      </c>
      <c r="B255" s="66" t="s">
        <v>92</v>
      </c>
      <c r="C255" s="67" t="s">
        <v>569</v>
      </c>
      <c r="D255" s="68">
        <f t="shared" si="755"/>
        <v>558415</v>
      </c>
      <c r="E255" s="69">
        <f t="shared" si="756"/>
        <v>444715</v>
      </c>
      <c r="F255" s="69">
        <f t="shared" si="757"/>
        <v>444715</v>
      </c>
      <c r="G255" s="70">
        <f>424455-344455</f>
        <v>80000</v>
      </c>
      <c r="H255" s="70">
        <f>106114-86114</f>
        <v>20000</v>
      </c>
      <c r="I255" s="69">
        <f>SUM(J255:O255)</f>
        <v>150344</v>
      </c>
      <c r="J255" s="70">
        <v>0</v>
      </c>
      <c r="K255" s="70">
        <v>0</v>
      </c>
      <c r="L255" s="70">
        <v>0</v>
      </c>
      <c r="M255" s="70">
        <v>0</v>
      </c>
      <c r="N255" s="70">
        <f>462000-446796</f>
        <v>15204</v>
      </c>
      <c r="O255" s="70">
        <f>289702+36587-191149</f>
        <v>135140</v>
      </c>
      <c r="P255" s="69">
        <f>SUM(Q255:R255)</f>
        <v>0</v>
      </c>
      <c r="Q255" s="70">
        <v>0</v>
      </c>
      <c r="R255" s="70">
        <f>25000-25000</f>
        <v>0</v>
      </c>
      <c r="S255" s="70">
        <f>50000-50000</f>
        <v>0</v>
      </c>
      <c r="T255" s="70">
        <f>35120-33860</f>
        <v>1260</v>
      </c>
      <c r="U255" s="69">
        <f t="shared" si="758"/>
        <v>8756</v>
      </c>
      <c r="V255" s="70">
        <v>0</v>
      </c>
      <c r="W255" s="70">
        <v>0</v>
      </c>
      <c r="X255" s="70">
        <v>0</v>
      </c>
      <c r="Y255" s="70">
        <f>0+2342-2342</f>
        <v>0</v>
      </c>
      <c r="Z255" s="70">
        <f>23200-19444</f>
        <v>3756</v>
      </c>
      <c r="AA255" s="70">
        <v>5000</v>
      </c>
      <c r="AB255" s="70">
        <v>0</v>
      </c>
      <c r="AC255" s="70">
        <v>0</v>
      </c>
      <c r="AD255" s="69">
        <f t="shared" si="759"/>
        <v>184355</v>
      </c>
      <c r="AE255" s="70">
        <f>556001-479745</f>
        <v>76256</v>
      </c>
      <c r="AF255" s="71">
        <v>0</v>
      </c>
      <c r="AG255" s="75">
        <f>19000-13034</f>
        <v>5966</v>
      </c>
      <c r="AH255" s="75">
        <f>15200-15200</f>
        <v>0</v>
      </c>
      <c r="AI255" s="75">
        <v>0</v>
      </c>
      <c r="AJ255" s="75">
        <f>10267-10267</f>
        <v>0</v>
      </c>
      <c r="AK255" s="75">
        <v>0</v>
      </c>
      <c r="AL255" s="75">
        <f>8900-7480</f>
        <v>1420</v>
      </c>
      <c r="AM255" s="75">
        <f>29500-29500</f>
        <v>0</v>
      </c>
      <c r="AN255" s="75">
        <v>0</v>
      </c>
      <c r="AO255" s="75">
        <v>0</v>
      </c>
      <c r="AP255" s="75"/>
      <c r="AQ255" s="75">
        <v>0</v>
      </c>
      <c r="AR255" s="75">
        <v>0</v>
      </c>
      <c r="AS255" s="75">
        <v>5000</v>
      </c>
      <c r="AT255" s="75">
        <v>0</v>
      </c>
      <c r="AU255" s="75">
        <v>0</v>
      </c>
      <c r="AV255" s="75">
        <v>0</v>
      </c>
      <c r="AW255" s="75">
        <v>0</v>
      </c>
      <c r="AX255" s="75">
        <f>237601-217781</f>
        <v>19820</v>
      </c>
      <c r="AY255" s="75">
        <v>0</v>
      </c>
      <c r="AZ255" s="75">
        <f>188398-112505</f>
        <v>75893</v>
      </c>
      <c r="BA255" s="69">
        <f t="shared" si="760"/>
        <v>0</v>
      </c>
      <c r="BB255" s="69">
        <f t="shared" si="761"/>
        <v>0</v>
      </c>
      <c r="BC255" s="69">
        <v>0</v>
      </c>
      <c r="BD255" s="69">
        <v>0</v>
      </c>
      <c r="BE255" s="69">
        <v>0</v>
      </c>
      <c r="BF255" s="69">
        <f t="shared" si="762"/>
        <v>0</v>
      </c>
      <c r="BG255" s="69">
        <v>0</v>
      </c>
      <c r="BH255" s="69">
        <v>0</v>
      </c>
      <c r="BI255" s="69">
        <v>0</v>
      </c>
      <c r="BJ255" s="69">
        <v>0</v>
      </c>
      <c r="BK255" s="69">
        <f>SUM(BL255)</f>
        <v>0</v>
      </c>
      <c r="BL255" s="69">
        <v>0</v>
      </c>
      <c r="BM255" s="69">
        <v>0</v>
      </c>
      <c r="BN255" s="69">
        <f t="shared" si="763"/>
        <v>0</v>
      </c>
      <c r="BO255" s="69">
        <v>0</v>
      </c>
      <c r="BP255" s="69">
        <v>0</v>
      </c>
      <c r="BQ255" s="69">
        <v>0</v>
      </c>
      <c r="BR255" s="69">
        <v>0</v>
      </c>
      <c r="BS255" s="69">
        <v>0</v>
      </c>
      <c r="BT255" s="69">
        <v>0</v>
      </c>
      <c r="BU255" s="69">
        <v>0</v>
      </c>
      <c r="BV255" s="69">
        <v>0</v>
      </c>
      <c r="BW255" s="69">
        <v>0</v>
      </c>
      <c r="BX255" s="69">
        <v>0</v>
      </c>
      <c r="BY255" s="69">
        <v>0</v>
      </c>
      <c r="BZ255" s="69">
        <f t="shared" si="764"/>
        <v>113700</v>
      </c>
      <c r="CA255" s="69">
        <f t="shared" si="765"/>
        <v>113700</v>
      </c>
      <c r="CB255" s="69">
        <f>SUM(CC255:CD255)</f>
        <v>113700</v>
      </c>
      <c r="CC255" s="70">
        <v>0</v>
      </c>
      <c r="CD255" s="70">
        <f>330000+80000-296300</f>
        <v>113700</v>
      </c>
      <c r="CE255" s="69">
        <f t="shared" si="766"/>
        <v>0</v>
      </c>
      <c r="CF255" s="70">
        <v>0</v>
      </c>
      <c r="CG255" s="70">
        <v>0</v>
      </c>
      <c r="CH255" s="70">
        <v>0</v>
      </c>
      <c r="CI255" s="70">
        <v>0</v>
      </c>
      <c r="CJ255" s="70">
        <v>0</v>
      </c>
      <c r="CK255" s="69">
        <f t="shared" si="767"/>
        <v>0</v>
      </c>
      <c r="CL255" s="70">
        <v>0</v>
      </c>
      <c r="CM255" s="70">
        <f>300000-300000</f>
        <v>0</v>
      </c>
      <c r="CN255" s="70"/>
      <c r="CO255" s="70">
        <v>0</v>
      </c>
      <c r="CP255" s="70">
        <v>0</v>
      </c>
      <c r="CQ255" s="70"/>
      <c r="CR255" s="70"/>
      <c r="CS255" s="69">
        <v>0</v>
      </c>
      <c r="CT255" s="69"/>
      <c r="CU255" s="69"/>
      <c r="CV255" s="69"/>
      <c r="CW255" s="69">
        <f>SUM(CX255)</f>
        <v>0</v>
      </c>
      <c r="CX255" s="69">
        <f>SUM(CY255:CZ255)</f>
        <v>0</v>
      </c>
      <c r="CY255" s="69">
        <v>0</v>
      </c>
      <c r="CZ255" s="72">
        <v>0</v>
      </c>
    </row>
    <row r="256" spans="1:104" s="73" customFormat="1" ht="31.5" x14ac:dyDescent="0.25">
      <c r="A256" s="83" t="s">
        <v>1</v>
      </c>
      <c r="B256" s="66" t="s">
        <v>92</v>
      </c>
      <c r="C256" s="67" t="s">
        <v>570</v>
      </c>
      <c r="D256" s="68">
        <f t="shared" si="755"/>
        <v>23986931</v>
      </c>
      <c r="E256" s="69">
        <f t="shared" si="756"/>
        <v>21190227</v>
      </c>
      <c r="F256" s="69">
        <f t="shared" si="757"/>
        <v>21190227</v>
      </c>
      <c r="G256" s="70">
        <f>9877553+400000</f>
        <v>10277553</v>
      </c>
      <c r="H256" s="70">
        <f>2416760+200000</f>
        <v>2616760</v>
      </c>
      <c r="I256" s="69">
        <f t="shared" si="671"/>
        <v>4458097</v>
      </c>
      <c r="J256" s="70">
        <f>1513471+300000</f>
        <v>1813471</v>
      </c>
      <c r="K256" s="70">
        <v>50000</v>
      </c>
      <c r="L256" s="70">
        <v>5000</v>
      </c>
      <c r="M256" s="70">
        <v>0</v>
      </c>
      <c r="N256" s="70">
        <f>1072042+200000</f>
        <v>1272042</v>
      </c>
      <c r="O256" s="70">
        <f>1016125+301459</f>
        <v>1317584</v>
      </c>
      <c r="P256" s="69">
        <f t="shared" si="672"/>
        <v>70963</v>
      </c>
      <c r="Q256" s="70">
        <v>400</v>
      </c>
      <c r="R256" s="70">
        <v>70563</v>
      </c>
      <c r="S256" s="70">
        <v>50000</v>
      </c>
      <c r="T256" s="70">
        <v>210227</v>
      </c>
      <c r="U256" s="69">
        <f t="shared" si="758"/>
        <v>346529</v>
      </c>
      <c r="V256" s="70">
        <f>20000+10000</f>
        <v>30000</v>
      </c>
      <c r="W256" s="70">
        <f>81947+10000</f>
        <v>91947</v>
      </c>
      <c r="X256" s="70">
        <f>113632+10000</f>
        <v>123632</v>
      </c>
      <c r="Y256" s="70">
        <f>14246+10000</f>
        <v>24246</v>
      </c>
      <c r="Z256" s="70">
        <f>20000+10000</f>
        <v>30000</v>
      </c>
      <c r="AA256" s="70">
        <f>15000+10000</f>
        <v>25000</v>
      </c>
      <c r="AB256" s="70">
        <v>0</v>
      </c>
      <c r="AC256" s="70">
        <f>11704+10000</f>
        <v>21704</v>
      </c>
      <c r="AD256" s="69">
        <f t="shared" si="759"/>
        <v>3160098</v>
      </c>
      <c r="AE256" s="71">
        <v>0</v>
      </c>
      <c r="AF256" s="71">
        <v>0</v>
      </c>
      <c r="AG256" s="75">
        <f>371204+50000</f>
        <v>421204</v>
      </c>
      <c r="AH256" s="75">
        <f>1000487+500000</f>
        <v>1500487</v>
      </c>
      <c r="AI256" s="75">
        <v>0</v>
      </c>
      <c r="AJ256" s="75">
        <v>50000</v>
      </c>
      <c r="AK256" s="75">
        <v>0</v>
      </c>
      <c r="AL256" s="75">
        <v>71126</v>
      </c>
      <c r="AM256" s="75">
        <v>400000</v>
      </c>
      <c r="AN256" s="75">
        <v>0</v>
      </c>
      <c r="AO256" s="75">
        <v>10000</v>
      </c>
      <c r="AP256" s="75"/>
      <c r="AQ256" s="75">
        <v>0</v>
      </c>
      <c r="AR256" s="75">
        <v>120000</v>
      </c>
      <c r="AS256" s="75">
        <v>0</v>
      </c>
      <c r="AT256" s="75">
        <v>0</v>
      </c>
      <c r="AU256" s="75">
        <v>0</v>
      </c>
      <c r="AV256" s="75">
        <v>0</v>
      </c>
      <c r="AW256" s="75">
        <v>0</v>
      </c>
      <c r="AX256" s="75">
        <v>0</v>
      </c>
      <c r="AY256" s="75">
        <v>0</v>
      </c>
      <c r="AZ256" s="75">
        <f>350679+236602</f>
        <v>587281</v>
      </c>
      <c r="BA256" s="69">
        <f t="shared" si="760"/>
        <v>0</v>
      </c>
      <c r="BB256" s="69">
        <f t="shared" si="761"/>
        <v>0</v>
      </c>
      <c r="BC256" s="69">
        <v>0</v>
      </c>
      <c r="BD256" s="69">
        <v>0</v>
      </c>
      <c r="BE256" s="69">
        <v>0</v>
      </c>
      <c r="BF256" s="69">
        <f t="shared" si="762"/>
        <v>0</v>
      </c>
      <c r="BG256" s="69">
        <v>0</v>
      </c>
      <c r="BH256" s="69">
        <v>0</v>
      </c>
      <c r="BI256" s="69">
        <v>0</v>
      </c>
      <c r="BJ256" s="69">
        <v>0</v>
      </c>
      <c r="BK256" s="69">
        <f t="shared" si="674"/>
        <v>0</v>
      </c>
      <c r="BL256" s="69">
        <v>0</v>
      </c>
      <c r="BM256" s="69">
        <v>0</v>
      </c>
      <c r="BN256" s="69">
        <f t="shared" si="763"/>
        <v>0</v>
      </c>
      <c r="BO256" s="69">
        <v>0</v>
      </c>
      <c r="BP256" s="69">
        <v>0</v>
      </c>
      <c r="BQ256" s="69">
        <v>0</v>
      </c>
      <c r="BR256" s="69">
        <v>0</v>
      </c>
      <c r="BS256" s="69">
        <v>0</v>
      </c>
      <c r="BT256" s="69">
        <v>0</v>
      </c>
      <c r="BU256" s="69">
        <v>0</v>
      </c>
      <c r="BV256" s="69">
        <v>0</v>
      </c>
      <c r="BW256" s="69">
        <v>0</v>
      </c>
      <c r="BX256" s="69">
        <v>0</v>
      </c>
      <c r="BY256" s="69">
        <v>0</v>
      </c>
      <c r="BZ256" s="69">
        <f t="shared" si="764"/>
        <v>2796704</v>
      </c>
      <c r="CA256" s="69">
        <f t="shared" si="765"/>
        <v>2796704</v>
      </c>
      <c r="CB256" s="69">
        <f t="shared" si="675"/>
        <v>2496704</v>
      </c>
      <c r="CC256" s="70">
        <v>0</v>
      </c>
      <c r="CD256" s="70">
        <f>1496704+1000000</f>
        <v>2496704</v>
      </c>
      <c r="CE256" s="69">
        <f t="shared" si="766"/>
        <v>0</v>
      </c>
      <c r="CF256" s="70">
        <v>0</v>
      </c>
      <c r="CG256" s="70">
        <v>0</v>
      </c>
      <c r="CH256" s="70">
        <v>0</v>
      </c>
      <c r="CI256" s="70">
        <v>0</v>
      </c>
      <c r="CJ256" s="70">
        <v>0</v>
      </c>
      <c r="CK256" s="69">
        <f t="shared" si="767"/>
        <v>300000</v>
      </c>
      <c r="CL256" s="70">
        <v>0</v>
      </c>
      <c r="CM256" s="70">
        <v>300000</v>
      </c>
      <c r="CN256" s="70"/>
      <c r="CO256" s="70">
        <v>0</v>
      </c>
      <c r="CP256" s="70">
        <v>0</v>
      </c>
      <c r="CQ256" s="70"/>
      <c r="CR256" s="70"/>
      <c r="CS256" s="69">
        <v>0</v>
      </c>
      <c r="CT256" s="69"/>
      <c r="CU256" s="69"/>
      <c r="CV256" s="69"/>
      <c r="CW256" s="69">
        <f t="shared" si="676"/>
        <v>0</v>
      </c>
      <c r="CX256" s="69">
        <f t="shared" si="677"/>
        <v>0</v>
      </c>
      <c r="CY256" s="69">
        <v>0</v>
      </c>
      <c r="CZ256" s="72">
        <v>0</v>
      </c>
    </row>
    <row r="257" spans="1:105" s="73" customFormat="1" ht="31.5" x14ac:dyDescent="0.25">
      <c r="A257" s="83" t="s">
        <v>1</v>
      </c>
      <c r="B257" s="66" t="s">
        <v>92</v>
      </c>
      <c r="C257" s="67" t="s">
        <v>571</v>
      </c>
      <c r="D257" s="68">
        <f t="shared" si="755"/>
        <v>197293</v>
      </c>
      <c r="E257" s="69">
        <f t="shared" si="756"/>
        <v>187208</v>
      </c>
      <c r="F257" s="69">
        <f t="shared" si="757"/>
        <v>176314</v>
      </c>
      <c r="G257" s="70">
        <v>30000</v>
      </c>
      <c r="H257" s="70">
        <v>7500</v>
      </c>
      <c r="I257" s="69">
        <f>SUM(J257:O257)</f>
        <v>91988</v>
      </c>
      <c r="J257" s="70">
        <v>0</v>
      </c>
      <c r="K257" s="70">
        <v>4833</v>
      </c>
      <c r="L257" s="70">
        <v>0</v>
      </c>
      <c r="M257" s="70">
        <v>0</v>
      </c>
      <c r="N257" s="70">
        <v>41735</v>
      </c>
      <c r="O257" s="70">
        <f>43046+2374</f>
        <v>45420</v>
      </c>
      <c r="P257" s="69">
        <f>SUM(Q257:R257)</f>
        <v>1236</v>
      </c>
      <c r="Q257" s="70">
        <v>1236</v>
      </c>
      <c r="R257" s="70">
        <v>0</v>
      </c>
      <c r="S257" s="70">
        <v>0</v>
      </c>
      <c r="T257" s="70">
        <v>19138</v>
      </c>
      <c r="U257" s="69">
        <f t="shared" si="758"/>
        <v>13617</v>
      </c>
      <c r="V257" s="70">
        <v>2500</v>
      </c>
      <c r="W257" s="70">
        <v>0</v>
      </c>
      <c r="X257" s="70">
        <v>0</v>
      </c>
      <c r="Y257" s="70">
        <v>4906</v>
      </c>
      <c r="Z257" s="70">
        <v>1791</v>
      </c>
      <c r="AA257" s="70">
        <v>1440</v>
      </c>
      <c r="AB257" s="70">
        <v>0</v>
      </c>
      <c r="AC257" s="70">
        <v>2980</v>
      </c>
      <c r="AD257" s="69">
        <f t="shared" si="759"/>
        <v>12835</v>
      </c>
      <c r="AE257" s="71">
        <v>0</v>
      </c>
      <c r="AF257" s="71">
        <v>0</v>
      </c>
      <c r="AG257" s="75">
        <v>668</v>
      </c>
      <c r="AH257" s="75">
        <v>0</v>
      </c>
      <c r="AI257" s="75">
        <v>0</v>
      </c>
      <c r="AJ257" s="75">
        <v>200</v>
      </c>
      <c r="AK257" s="75">
        <v>0</v>
      </c>
      <c r="AL257" s="75">
        <v>1200</v>
      </c>
      <c r="AM257" s="75">
        <v>0</v>
      </c>
      <c r="AN257" s="75">
        <v>0</v>
      </c>
      <c r="AO257" s="75">
        <v>0</v>
      </c>
      <c r="AP257" s="75"/>
      <c r="AQ257" s="75">
        <v>0</v>
      </c>
      <c r="AR257" s="75">
        <v>0</v>
      </c>
      <c r="AS257" s="75">
        <v>0</v>
      </c>
      <c r="AT257" s="75">
        <v>0</v>
      </c>
      <c r="AU257" s="75">
        <v>0</v>
      </c>
      <c r="AV257" s="75">
        <v>0</v>
      </c>
      <c r="AW257" s="75">
        <v>0</v>
      </c>
      <c r="AX257" s="75">
        <v>3705</v>
      </c>
      <c r="AY257" s="75">
        <v>0</v>
      </c>
      <c r="AZ257" s="75">
        <v>7062</v>
      </c>
      <c r="BA257" s="69">
        <f t="shared" si="760"/>
        <v>10894</v>
      </c>
      <c r="BB257" s="69">
        <f t="shared" si="761"/>
        <v>0</v>
      </c>
      <c r="BC257" s="69">
        <v>0</v>
      </c>
      <c r="BD257" s="69">
        <v>0</v>
      </c>
      <c r="BE257" s="69">
        <v>0</v>
      </c>
      <c r="BF257" s="69">
        <f t="shared" si="762"/>
        <v>0</v>
      </c>
      <c r="BG257" s="69">
        <v>0</v>
      </c>
      <c r="BH257" s="69">
        <v>0</v>
      </c>
      <c r="BI257" s="69">
        <v>0</v>
      </c>
      <c r="BJ257" s="69">
        <v>0</v>
      </c>
      <c r="BK257" s="69">
        <f>SUM(BL257)</f>
        <v>0</v>
      </c>
      <c r="BL257" s="69">
        <v>0</v>
      </c>
      <c r="BM257" s="69">
        <v>0</v>
      </c>
      <c r="BN257" s="69">
        <f t="shared" si="763"/>
        <v>10894</v>
      </c>
      <c r="BO257" s="69">
        <v>0</v>
      </c>
      <c r="BP257" s="69">
        <v>0</v>
      </c>
      <c r="BQ257" s="69">
        <v>0</v>
      </c>
      <c r="BR257" s="69">
        <v>0</v>
      </c>
      <c r="BS257" s="69">
        <v>0</v>
      </c>
      <c r="BT257" s="69">
        <v>0</v>
      </c>
      <c r="BU257" s="69">
        <v>0</v>
      </c>
      <c r="BV257" s="69">
        <v>0</v>
      </c>
      <c r="BW257" s="69">
        <v>0</v>
      </c>
      <c r="BX257" s="69">
        <v>10894</v>
      </c>
      <c r="BY257" s="69">
        <v>0</v>
      </c>
      <c r="BZ257" s="69">
        <f t="shared" si="764"/>
        <v>10085</v>
      </c>
      <c r="CA257" s="69">
        <f t="shared" si="765"/>
        <v>10085</v>
      </c>
      <c r="CB257" s="69">
        <f>SUM(CC257:CD257)</f>
        <v>10085</v>
      </c>
      <c r="CC257" s="70">
        <v>0</v>
      </c>
      <c r="CD257" s="70">
        <v>10085</v>
      </c>
      <c r="CE257" s="69">
        <f t="shared" si="766"/>
        <v>0</v>
      </c>
      <c r="CF257" s="70">
        <v>0</v>
      </c>
      <c r="CG257" s="70">
        <v>0</v>
      </c>
      <c r="CH257" s="70">
        <v>0</v>
      </c>
      <c r="CI257" s="70">
        <v>0</v>
      </c>
      <c r="CJ257" s="70">
        <v>0</v>
      </c>
      <c r="CK257" s="69">
        <f t="shared" si="767"/>
        <v>0</v>
      </c>
      <c r="CL257" s="70">
        <v>0</v>
      </c>
      <c r="CM257" s="70"/>
      <c r="CN257" s="70"/>
      <c r="CO257" s="70">
        <v>0</v>
      </c>
      <c r="CP257" s="70">
        <v>0</v>
      </c>
      <c r="CQ257" s="70"/>
      <c r="CR257" s="70"/>
      <c r="CS257" s="69">
        <v>0</v>
      </c>
      <c r="CT257" s="69"/>
      <c r="CU257" s="69"/>
      <c r="CV257" s="69"/>
      <c r="CW257" s="69">
        <f>SUM(CX257)</f>
        <v>0</v>
      </c>
      <c r="CX257" s="69">
        <f>SUM(CY257:CZ257)</f>
        <v>0</v>
      </c>
      <c r="CY257" s="69">
        <v>0</v>
      </c>
      <c r="CZ257" s="72">
        <v>0</v>
      </c>
    </row>
    <row r="258" spans="1:105" s="73" customFormat="1" ht="29.25" customHeight="1" x14ac:dyDescent="0.25">
      <c r="A258" s="83" t="s">
        <v>1</v>
      </c>
      <c r="B258" s="66" t="s">
        <v>322</v>
      </c>
      <c r="C258" s="67" t="s">
        <v>572</v>
      </c>
      <c r="D258" s="68">
        <f t="shared" si="755"/>
        <v>3130153</v>
      </c>
      <c r="E258" s="69">
        <f t="shared" si="756"/>
        <v>3002153</v>
      </c>
      <c r="F258" s="69">
        <f t="shared" si="757"/>
        <v>3002153</v>
      </c>
      <c r="G258" s="70">
        <v>1860291</v>
      </c>
      <c r="H258" s="70">
        <v>444373</v>
      </c>
      <c r="I258" s="69">
        <f t="shared" si="671"/>
        <v>230123</v>
      </c>
      <c r="J258" s="70">
        <v>0</v>
      </c>
      <c r="K258" s="70">
        <v>0</v>
      </c>
      <c r="L258" s="70">
        <v>0</v>
      </c>
      <c r="M258" s="70">
        <v>0</v>
      </c>
      <c r="N258" s="70">
        <v>100000</v>
      </c>
      <c r="O258" s="70">
        <v>130123</v>
      </c>
      <c r="P258" s="69">
        <f t="shared" si="672"/>
        <v>0</v>
      </c>
      <c r="Q258" s="70">
        <v>0</v>
      </c>
      <c r="R258" s="70">
        <v>0</v>
      </c>
      <c r="S258" s="70">
        <v>0</v>
      </c>
      <c r="T258" s="70">
        <v>30000</v>
      </c>
      <c r="U258" s="69">
        <f t="shared" si="758"/>
        <v>82213</v>
      </c>
      <c r="V258" s="70">
        <v>0</v>
      </c>
      <c r="W258" s="70">
        <v>50346</v>
      </c>
      <c r="X258" s="70">
        <v>22182</v>
      </c>
      <c r="Y258" s="70">
        <v>3685</v>
      </c>
      <c r="Z258" s="70">
        <v>6000</v>
      </c>
      <c r="AA258" s="70">
        <v>0</v>
      </c>
      <c r="AB258" s="70">
        <v>0</v>
      </c>
      <c r="AC258" s="70">
        <v>0</v>
      </c>
      <c r="AD258" s="69">
        <f t="shared" si="759"/>
        <v>355153</v>
      </c>
      <c r="AE258" s="71">
        <v>0</v>
      </c>
      <c r="AF258" s="71">
        <v>0</v>
      </c>
      <c r="AG258" s="75">
        <f>30000+30153</f>
        <v>60153</v>
      </c>
      <c r="AH258" s="75">
        <f>20000+100000</f>
        <v>120000</v>
      </c>
      <c r="AI258" s="75">
        <v>0</v>
      </c>
      <c r="AJ258" s="75">
        <v>0</v>
      </c>
      <c r="AK258" s="75">
        <v>0</v>
      </c>
      <c r="AL258" s="75">
        <v>15000</v>
      </c>
      <c r="AM258" s="75">
        <v>0</v>
      </c>
      <c r="AN258" s="75">
        <v>0</v>
      </c>
      <c r="AO258" s="75">
        <v>0</v>
      </c>
      <c r="AP258" s="75"/>
      <c r="AQ258" s="75">
        <v>0</v>
      </c>
      <c r="AR258" s="75">
        <v>0</v>
      </c>
      <c r="AS258" s="75">
        <v>20000</v>
      </c>
      <c r="AT258" s="75">
        <v>0</v>
      </c>
      <c r="AU258" s="75">
        <v>0</v>
      </c>
      <c r="AV258" s="75">
        <v>0</v>
      </c>
      <c r="AW258" s="75">
        <v>0</v>
      </c>
      <c r="AX258" s="75">
        <v>0</v>
      </c>
      <c r="AY258" s="75">
        <v>100000</v>
      </c>
      <c r="AZ258" s="75">
        <v>40000</v>
      </c>
      <c r="BA258" s="69">
        <f t="shared" si="760"/>
        <v>0</v>
      </c>
      <c r="BB258" s="69">
        <f t="shared" si="761"/>
        <v>0</v>
      </c>
      <c r="BC258" s="69">
        <v>0</v>
      </c>
      <c r="BD258" s="69">
        <v>0</v>
      </c>
      <c r="BE258" s="69">
        <v>0</v>
      </c>
      <c r="BF258" s="69">
        <f t="shared" si="762"/>
        <v>0</v>
      </c>
      <c r="BG258" s="69">
        <v>0</v>
      </c>
      <c r="BH258" s="69">
        <v>0</v>
      </c>
      <c r="BI258" s="69">
        <v>0</v>
      </c>
      <c r="BJ258" s="69">
        <v>0</v>
      </c>
      <c r="BK258" s="69">
        <f t="shared" si="674"/>
        <v>0</v>
      </c>
      <c r="BL258" s="69">
        <v>0</v>
      </c>
      <c r="BM258" s="69">
        <v>0</v>
      </c>
      <c r="BN258" s="69">
        <f t="shared" si="763"/>
        <v>0</v>
      </c>
      <c r="BO258" s="69">
        <v>0</v>
      </c>
      <c r="BP258" s="69">
        <v>0</v>
      </c>
      <c r="BQ258" s="69">
        <v>0</v>
      </c>
      <c r="BR258" s="69">
        <v>0</v>
      </c>
      <c r="BS258" s="69">
        <v>0</v>
      </c>
      <c r="BT258" s="69">
        <v>0</v>
      </c>
      <c r="BU258" s="69">
        <v>0</v>
      </c>
      <c r="BV258" s="69">
        <v>0</v>
      </c>
      <c r="BW258" s="69">
        <v>0</v>
      </c>
      <c r="BX258" s="69">
        <v>0</v>
      </c>
      <c r="BY258" s="69">
        <v>0</v>
      </c>
      <c r="BZ258" s="69">
        <f t="shared" si="764"/>
        <v>128000</v>
      </c>
      <c r="CA258" s="69">
        <f t="shared" si="765"/>
        <v>128000</v>
      </c>
      <c r="CB258" s="69">
        <f t="shared" si="675"/>
        <v>128000</v>
      </c>
      <c r="CC258" s="70">
        <v>0</v>
      </c>
      <c r="CD258" s="70">
        <f>28000+100000</f>
        <v>128000</v>
      </c>
      <c r="CE258" s="69">
        <f t="shared" si="766"/>
        <v>0</v>
      </c>
      <c r="CF258" s="70">
        <v>0</v>
      </c>
      <c r="CG258" s="70">
        <v>0</v>
      </c>
      <c r="CH258" s="70">
        <v>0</v>
      </c>
      <c r="CI258" s="70">
        <v>0</v>
      </c>
      <c r="CJ258" s="70">
        <v>0</v>
      </c>
      <c r="CK258" s="69">
        <f t="shared" si="767"/>
        <v>0</v>
      </c>
      <c r="CL258" s="70">
        <v>0</v>
      </c>
      <c r="CM258" s="70"/>
      <c r="CN258" s="70"/>
      <c r="CO258" s="70">
        <v>0</v>
      </c>
      <c r="CP258" s="70">
        <v>0</v>
      </c>
      <c r="CQ258" s="70"/>
      <c r="CR258" s="70"/>
      <c r="CS258" s="69">
        <v>0</v>
      </c>
      <c r="CT258" s="69"/>
      <c r="CU258" s="69"/>
      <c r="CV258" s="69"/>
      <c r="CW258" s="69">
        <f t="shared" si="676"/>
        <v>0</v>
      </c>
      <c r="CX258" s="69">
        <f t="shared" si="677"/>
        <v>0</v>
      </c>
      <c r="CY258" s="69">
        <v>0</v>
      </c>
      <c r="CZ258" s="72">
        <v>0</v>
      </c>
    </row>
    <row r="259" spans="1:105" s="73" customFormat="1" ht="31.5" x14ac:dyDescent="0.25">
      <c r="A259" s="83" t="s">
        <v>1</v>
      </c>
      <c r="B259" s="66" t="s">
        <v>189</v>
      </c>
      <c r="C259" s="67" t="s">
        <v>573</v>
      </c>
      <c r="D259" s="68">
        <f t="shared" si="755"/>
        <v>6462129</v>
      </c>
      <c r="E259" s="69">
        <f t="shared" si="756"/>
        <v>6462129</v>
      </c>
      <c r="F259" s="69">
        <f t="shared" si="757"/>
        <v>6462129</v>
      </c>
      <c r="G259" s="70">
        <v>0</v>
      </c>
      <c r="H259" s="70">
        <v>0</v>
      </c>
      <c r="I259" s="69">
        <f>SUM(J259:O259)</f>
        <v>0</v>
      </c>
      <c r="J259" s="70">
        <v>0</v>
      </c>
      <c r="K259" s="70">
        <v>0</v>
      </c>
      <c r="L259" s="70">
        <v>0</v>
      </c>
      <c r="M259" s="70">
        <v>0</v>
      </c>
      <c r="N259" s="70">
        <v>0</v>
      </c>
      <c r="O259" s="70">
        <v>0</v>
      </c>
      <c r="P259" s="69">
        <f>SUM(Q259:R259)</f>
        <v>0</v>
      </c>
      <c r="Q259" s="70">
        <v>0</v>
      </c>
      <c r="R259" s="70">
        <v>0</v>
      </c>
      <c r="S259" s="70">
        <v>0</v>
      </c>
      <c r="T259" s="70">
        <v>0</v>
      </c>
      <c r="U259" s="69">
        <f t="shared" si="758"/>
        <v>0</v>
      </c>
      <c r="V259" s="70">
        <v>0</v>
      </c>
      <c r="W259" s="70">
        <v>0</v>
      </c>
      <c r="X259" s="70">
        <v>0</v>
      </c>
      <c r="Y259" s="70">
        <v>0</v>
      </c>
      <c r="Z259" s="70">
        <v>0</v>
      </c>
      <c r="AA259" s="70">
        <v>0</v>
      </c>
      <c r="AB259" s="70">
        <v>0</v>
      </c>
      <c r="AC259" s="70">
        <v>0</v>
      </c>
      <c r="AD259" s="69">
        <f t="shared" si="759"/>
        <v>6462129</v>
      </c>
      <c r="AE259" s="71">
        <v>0</v>
      </c>
      <c r="AF259" s="71">
        <v>0</v>
      </c>
      <c r="AG259" s="75">
        <v>0</v>
      </c>
      <c r="AH259" s="75">
        <v>0</v>
      </c>
      <c r="AI259" s="75">
        <v>0</v>
      </c>
      <c r="AJ259" s="75">
        <v>0</v>
      </c>
      <c r="AK259" s="75">
        <v>0</v>
      </c>
      <c r="AL259" s="75">
        <v>0</v>
      </c>
      <c r="AM259" s="75">
        <v>0</v>
      </c>
      <c r="AN259" s="75">
        <v>0</v>
      </c>
      <c r="AO259" s="75">
        <v>0</v>
      </c>
      <c r="AP259" s="75"/>
      <c r="AQ259" s="75">
        <v>0</v>
      </c>
      <c r="AR259" s="75">
        <v>0</v>
      </c>
      <c r="AS259" s="75">
        <v>0</v>
      </c>
      <c r="AT259" s="75">
        <v>0</v>
      </c>
      <c r="AU259" s="75">
        <v>0</v>
      </c>
      <c r="AV259" s="75">
        <v>0</v>
      </c>
      <c r="AW259" s="75">
        <v>0</v>
      </c>
      <c r="AX259" s="75">
        <v>0</v>
      </c>
      <c r="AY259" s="75">
        <v>0</v>
      </c>
      <c r="AZ259" s="75">
        <f>6461998+131</f>
        <v>6462129</v>
      </c>
      <c r="BA259" s="69">
        <f t="shared" si="760"/>
        <v>0</v>
      </c>
      <c r="BB259" s="69">
        <f t="shared" si="761"/>
        <v>0</v>
      </c>
      <c r="BC259" s="69">
        <v>0</v>
      </c>
      <c r="BD259" s="69">
        <v>0</v>
      </c>
      <c r="BE259" s="69">
        <v>0</v>
      </c>
      <c r="BF259" s="69">
        <f t="shared" si="762"/>
        <v>0</v>
      </c>
      <c r="BG259" s="69">
        <v>0</v>
      </c>
      <c r="BH259" s="69">
        <v>0</v>
      </c>
      <c r="BI259" s="69">
        <v>0</v>
      </c>
      <c r="BJ259" s="69">
        <v>0</v>
      </c>
      <c r="BK259" s="69">
        <f>SUM(BL259)</f>
        <v>0</v>
      </c>
      <c r="BL259" s="69">
        <v>0</v>
      </c>
      <c r="BM259" s="69">
        <v>0</v>
      </c>
      <c r="BN259" s="69">
        <f t="shared" si="763"/>
        <v>0</v>
      </c>
      <c r="BO259" s="69">
        <v>0</v>
      </c>
      <c r="BP259" s="69">
        <v>0</v>
      </c>
      <c r="BQ259" s="69">
        <v>0</v>
      </c>
      <c r="BR259" s="69">
        <v>0</v>
      </c>
      <c r="BS259" s="69">
        <v>0</v>
      </c>
      <c r="BT259" s="69">
        <v>0</v>
      </c>
      <c r="BU259" s="69">
        <v>0</v>
      </c>
      <c r="BV259" s="69">
        <v>0</v>
      </c>
      <c r="BW259" s="69">
        <v>0</v>
      </c>
      <c r="BX259" s="69">
        <v>0</v>
      </c>
      <c r="BY259" s="69">
        <v>0</v>
      </c>
      <c r="BZ259" s="69">
        <f t="shared" si="764"/>
        <v>0</v>
      </c>
      <c r="CA259" s="69">
        <f t="shared" si="765"/>
        <v>0</v>
      </c>
      <c r="CB259" s="69">
        <f>SUM(CC259:CD259)</f>
        <v>0</v>
      </c>
      <c r="CC259" s="70">
        <v>0</v>
      </c>
      <c r="CD259" s="70"/>
      <c r="CE259" s="69">
        <f t="shared" si="766"/>
        <v>0</v>
      </c>
      <c r="CF259" s="70">
        <v>0</v>
      </c>
      <c r="CG259" s="70">
        <v>0</v>
      </c>
      <c r="CH259" s="70">
        <v>0</v>
      </c>
      <c r="CI259" s="70">
        <v>0</v>
      </c>
      <c r="CJ259" s="70">
        <v>0</v>
      </c>
      <c r="CK259" s="69">
        <f t="shared" si="767"/>
        <v>0</v>
      </c>
      <c r="CL259" s="70">
        <v>0</v>
      </c>
      <c r="CM259" s="70">
        <v>0</v>
      </c>
      <c r="CN259" s="70">
        <v>0</v>
      </c>
      <c r="CO259" s="70">
        <v>0</v>
      </c>
      <c r="CP259" s="70">
        <v>0</v>
      </c>
      <c r="CQ259" s="70"/>
      <c r="CR259" s="70"/>
      <c r="CS259" s="69">
        <v>0</v>
      </c>
      <c r="CT259" s="69"/>
      <c r="CU259" s="69"/>
      <c r="CV259" s="69"/>
      <c r="CW259" s="69">
        <f>SUM(CX259)</f>
        <v>0</v>
      </c>
      <c r="CX259" s="69">
        <f>SUM(CY259:CZ259)</f>
        <v>0</v>
      </c>
      <c r="CY259" s="69">
        <v>0</v>
      </c>
      <c r="CZ259" s="72">
        <v>0</v>
      </c>
    </row>
    <row r="260" spans="1:105" s="73" customFormat="1" ht="15.75" x14ac:dyDescent="0.25">
      <c r="A260" s="83" t="s">
        <v>1</v>
      </c>
      <c r="B260" s="66" t="s">
        <v>189</v>
      </c>
      <c r="C260" s="67" t="s">
        <v>574</v>
      </c>
      <c r="D260" s="68">
        <f t="shared" si="755"/>
        <v>30285253</v>
      </c>
      <c r="E260" s="69">
        <f t="shared" si="756"/>
        <v>30085253</v>
      </c>
      <c r="F260" s="69">
        <f t="shared" si="757"/>
        <v>30085253</v>
      </c>
      <c r="G260" s="70">
        <v>19850000</v>
      </c>
      <c r="H260" s="70">
        <v>4962500</v>
      </c>
      <c r="I260" s="69">
        <f t="shared" si="671"/>
        <v>1262383</v>
      </c>
      <c r="J260" s="70">
        <v>13000</v>
      </c>
      <c r="K260" s="70">
        <v>20500</v>
      </c>
      <c r="L260" s="70">
        <v>210000</v>
      </c>
      <c r="M260" s="70">
        <v>0</v>
      </c>
      <c r="N260" s="70">
        <v>593883</v>
      </c>
      <c r="O260" s="70">
        <v>425000</v>
      </c>
      <c r="P260" s="69">
        <f t="shared" si="672"/>
        <v>161489</v>
      </c>
      <c r="Q260" s="70">
        <v>10000</v>
      </c>
      <c r="R260" s="70">
        <f>140000+11489</f>
        <v>151489</v>
      </c>
      <c r="S260" s="70">
        <v>150000</v>
      </c>
      <c r="T260" s="70">
        <v>0</v>
      </c>
      <c r="U260" s="69">
        <f t="shared" si="758"/>
        <v>1926529</v>
      </c>
      <c r="V260" s="70">
        <v>321324</v>
      </c>
      <c r="W260" s="70">
        <f>970594+100000</f>
        <v>1070594</v>
      </c>
      <c r="X260" s="70">
        <f>206051+17820</f>
        <v>223871</v>
      </c>
      <c r="Y260" s="70">
        <f>209130+8152</f>
        <v>217282</v>
      </c>
      <c r="Z260" s="70">
        <v>93000</v>
      </c>
      <c r="AA260" s="70">
        <v>0</v>
      </c>
      <c r="AB260" s="70">
        <v>0</v>
      </c>
      <c r="AC260" s="70">
        <v>458</v>
      </c>
      <c r="AD260" s="69">
        <f t="shared" si="759"/>
        <v>1772352</v>
      </c>
      <c r="AE260" s="71">
        <v>0</v>
      </c>
      <c r="AF260" s="71">
        <v>0</v>
      </c>
      <c r="AG260" s="75">
        <v>60000</v>
      </c>
      <c r="AH260" s="75">
        <v>245000</v>
      </c>
      <c r="AI260" s="75">
        <v>250000</v>
      </c>
      <c r="AJ260" s="75">
        <v>303500</v>
      </c>
      <c r="AK260" s="75">
        <v>0</v>
      </c>
      <c r="AL260" s="75">
        <f>113000+34000</f>
        <v>147000</v>
      </c>
      <c r="AM260" s="75">
        <f>250000+34852</f>
        <v>284852</v>
      </c>
      <c r="AN260" s="75">
        <v>0</v>
      </c>
      <c r="AO260" s="75">
        <v>10000</v>
      </c>
      <c r="AP260" s="75"/>
      <c r="AQ260" s="75">
        <v>0</v>
      </c>
      <c r="AR260" s="75">
        <v>0</v>
      </c>
      <c r="AS260" s="75">
        <v>0</v>
      </c>
      <c r="AT260" s="75">
        <v>0</v>
      </c>
      <c r="AU260" s="75">
        <v>0</v>
      </c>
      <c r="AV260" s="75">
        <v>0</v>
      </c>
      <c r="AW260" s="75">
        <v>0</v>
      </c>
      <c r="AX260" s="75">
        <v>0</v>
      </c>
      <c r="AY260" s="75">
        <v>0</v>
      </c>
      <c r="AZ260" s="75">
        <v>472000</v>
      </c>
      <c r="BA260" s="69">
        <f t="shared" si="760"/>
        <v>0</v>
      </c>
      <c r="BB260" s="69">
        <f t="shared" si="761"/>
        <v>0</v>
      </c>
      <c r="BC260" s="69">
        <v>0</v>
      </c>
      <c r="BD260" s="69">
        <v>0</v>
      </c>
      <c r="BE260" s="69">
        <v>0</v>
      </c>
      <c r="BF260" s="69">
        <f t="shared" si="762"/>
        <v>0</v>
      </c>
      <c r="BG260" s="69">
        <v>0</v>
      </c>
      <c r="BH260" s="69">
        <v>0</v>
      </c>
      <c r="BI260" s="69">
        <v>0</v>
      </c>
      <c r="BJ260" s="69">
        <v>0</v>
      </c>
      <c r="BK260" s="69">
        <f t="shared" si="674"/>
        <v>0</v>
      </c>
      <c r="BL260" s="69">
        <v>0</v>
      </c>
      <c r="BM260" s="69">
        <v>0</v>
      </c>
      <c r="BN260" s="69">
        <f t="shared" si="763"/>
        <v>0</v>
      </c>
      <c r="BO260" s="69">
        <v>0</v>
      </c>
      <c r="BP260" s="69">
        <v>0</v>
      </c>
      <c r="BQ260" s="69"/>
      <c r="BR260" s="69">
        <v>0</v>
      </c>
      <c r="BS260" s="69">
        <v>0</v>
      </c>
      <c r="BT260" s="69">
        <v>0</v>
      </c>
      <c r="BU260" s="69">
        <v>0</v>
      </c>
      <c r="BV260" s="69">
        <v>0</v>
      </c>
      <c r="BW260" s="69">
        <v>0</v>
      </c>
      <c r="BX260" s="69">
        <v>0</v>
      </c>
      <c r="BY260" s="69">
        <v>0</v>
      </c>
      <c r="BZ260" s="69">
        <f t="shared" si="764"/>
        <v>200000</v>
      </c>
      <c r="CA260" s="69">
        <f t="shared" si="765"/>
        <v>200000</v>
      </c>
      <c r="CB260" s="69">
        <f t="shared" si="675"/>
        <v>200000</v>
      </c>
      <c r="CC260" s="70">
        <v>0</v>
      </c>
      <c r="CD260" s="70">
        <v>200000</v>
      </c>
      <c r="CE260" s="69">
        <f t="shared" si="766"/>
        <v>0</v>
      </c>
      <c r="CF260" s="70">
        <v>0</v>
      </c>
      <c r="CG260" s="70">
        <v>0</v>
      </c>
      <c r="CH260" s="70">
        <v>0</v>
      </c>
      <c r="CI260" s="70">
        <v>0</v>
      </c>
      <c r="CJ260" s="70">
        <v>0</v>
      </c>
      <c r="CK260" s="69">
        <f t="shared" si="767"/>
        <v>0</v>
      </c>
      <c r="CL260" s="70">
        <v>0</v>
      </c>
      <c r="CM260" s="70"/>
      <c r="CN260" s="70">
        <v>0</v>
      </c>
      <c r="CO260" s="70">
        <v>0</v>
      </c>
      <c r="CP260" s="70">
        <v>0</v>
      </c>
      <c r="CQ260" s="70"/>
      <c r="CR260" s="70"/>
      <c r="CS260" s="69">
        <v>0</v>
      </c>
      <c r="CT260" s="69"/>
      <c r="CU260" s="69"/>
      <c r="CV260" s="69"/>
      <c r="CW260" s="69">
        <f t="shared" si="676"/>
        <v>0</v>
      </c>
      <c r="CX260" s="69">
        <f t="shared" si="677"/>
        <v>0</v>
      </c>
      <c r="CY260" s="69">
        <v>0</v>
      </c>
      <c r="CZ260" s="72">
        <v>0</v>
      </c>
    </row>
    <row r="261" spans="1:105" ht="31.5" x14ac:dyDescent="0.25">
      <c r="A261" s="80" t="s">
        <v>1</v>
      </c>
      <c r="B261" s="21" t="s">
        <v>156</v>
      </c>
      <c r="C261" s="22" t="s">
        <v>575</v>
      </c>
      <c r="D261" s="18">
        <f t="shared" si="755"/>
        <v>1700000</v>
      </c>
      <c r="E261" s="19">
        <f t="shared" si="756"/>
        <v>1515000</v>
      </c>
      <c r="F261" s="19">
        <f t="shared" si="757"/>
        <v>1515000</v>
      </c>
      <c r="G261" s="23">
        <v>16000</v>
      </c>
      <c r="H261" s="23">
        <v>4000</v>
      </c>
      <c r="I261" s="19">
        <f t="shared" si="671"/>
        <v>730000</v>
      </c>
      <c r="J261" s="23">
        <v>0</v>
      </c>
      <c r="K261" s="23">
        <v>200000</v>
      </c>
      <c r="L261" s="23">
        <v>0</v>
      </c>
      <c r="M261" s="23">
        <v>0</v>
      </c>
      <c r="N261" s="23">
        <v>130000</v>
      </c>
      <c r="O261" s="23">
        <v>400000</v>
      </c>
      <c r="P261" s="19">
        <f t="shared" si="672"/>
        <v>10000</v>
      </c>
      <c r="Q261" s="23">
        <v>10000</v>
      </c>
      <c r="R261" s="23">
        <v>0</v>
      </c>
      <c r="S261" s="23">
        <v>0</v>
      </c>
      <c r="T261" s="23">
        <v>100000</v>
      </c>
      <c r="U261" s="19">
        <f t="shared" si="758"/>
        <v>10000</v>
      </c>
      <c r="V261" s="23">
        <v>10000</v>
      </c>
      <c r="W261" s="23">
        <v>0</v>
      </c>
      <c r="X261" s="23">
        <v>0</v>
      </c>
      <c r="Y261" s="23">
        <v>0</v>
      </c>
      <c r="Z261" s="23">
        <v>0</v>
      </c>
      <c r="AA261" s="23">
        <v>0</v>
      </c>
      <c r="AB261" s="23">
        <v>0</v>
      </c>
      <c r="AC261" s="23">
        <v>0</v>
      </c>
      <c r="AD261" s="19">
        <f t="shared" si="759"/>
        <v>645000</v>
      </c>
      <c r="AE261" s="24">
        <v>0</v>
      </c>
      <c r="AF261" s="24">
        <v>0</v>
      </c>
      <c r="AG261" s="51">
        <v>100000</v>
      </c>
      <c r="AH261" s="51">
        <v>130000</v>
      </c>
      <c r="AI261" s="51">
        <v>0</v>
      </c>
      <c r="AJ261" s="51">
        <v>0</v>
      </c>
      <c r="AK261" s="51">
        <v>0</v>
      </c>
      <c r="AL261" s="51">
        <v>0</v>
      </c>
      <c r="AM261" s="51">
        <v>0</v>
      </c>
      <c r="AN261" s="51">
        <v>15000</v>
      </c>
      <c r="AO261" s="51">
        <v>0</v>
      </c>
      <c r="AP261" s="51"/>
      <c r="AQ261" s="51">
        <v>0</v>
      </c>
      <c r="AR261" s="51">
        <v>0</v>
      </c>
      <c r="AS261" s="51">
        <v>0</v>
      </c>
      <c r="AT261" s="51">
        <v>0</v>
      </c>
      <c r="AU261" s="51">
        <v>0</v>
      </c>
      <c r="AV261" s="51">
        <v>0</v>
      </c>
      <c r="AW261" s="51">
        <v>0</v>
      </c>
      <c r="AX261" s="51">
        <v>0</v>
      </c>
      <c r="AY261" s="51">
        <v>0</v>
      </c>
      <c r="AZ261" s="51">
        <v>400000</v>
      </c>
      <c r="BA261" s="19">
        <f t="shared" si="760"/>
        <v>0</v>
      </c>
      <c r="BB261" s="19">
        <f t="shared" si="761"/>
        <v>0</v>
      </c>
      <c r="BC261" s="19">
        <v>0</v>
      </c>
      <c r="BD261" s="19">
        <v>0</v>
      </c>
      <c r="BE261" s="19">
        <v>0</v>
      </c>
      <c r="BF261" s="19">
        <f t="shared" si="762"/>
        <v>0</v>
      </c>
      <c r="BG261" s="19">
        <v>0</v>
      </c>
      <c r="BH261" s="19">
        <v>0</v>
      </c>
      <c r="BI261" s="19">
        <v>0</v>
      </c>
      <c r="BJ261" s="19">
        <v>0</v>
      </c>
      <c r="BK261" s="19">
        <f t="shared" si="674"/>
        <v>0</v>
      </c>
      <c r="BL261" s="19">
        <v>0</v>
      </c>
      <c r="BM261" s="19">
        <v>0</v>
      </c>
      <c r="BN261" s="19">
        <f t="shared" si="763"/>
        <v>0</v>
      </c>
      <c r="BO261" s="19">
        <v>0</v>
      </c>
      <c r="BP261" s="19">
        <v>0</v>
      </c>
      <c r="BQ261" s="19">
        <v>0</v>
      </c>
      <c r="BR261" s="19">
        <v>0</v>
      </c>
      <c r="BS261" s="19">
        <v>0</v>
      </c>
      <c r="BT261" s="19">
        <v>0</v>
      </c>
      <c r="BU261" s="19">
        <v>0</v>
      </c>
      <c r="BV261" s="19">
        <v>0</v>
      </c>
      <c r="BW261" s="19">
        <v>0</v>
      </c>
      <c r="BX261" s="19">
        <v>0</v>
      </c>
      <c r="BY261" s="19">
        <v>0</v>
      </c>
      <c r="BZ261" s="19">
        <f t="shared" si="764"/>
        <v>185000</v>
      </c>
      <c r="CA261" s="19">
        <f t="shared" si="765"/>
        <v>185000</v>
      </c>
      <c r="CB261" s="19">
        <f t="shared" si="675"/>
        <v>185000</v>
      </c>
      <c r="CC261" s="23">
        <v>0</v>
      </c>
      <c r="CD261" s="23">
        <v>185000</v>
      </c>
      <c r="CE261" s="19">
        <f t="shared" si="766"/>
        <v>0</v>
      </c>
      <c r="CF261" s="23">
        <v>0</v>
      </c>
      <c r="CG261" s="23">
        <v>0</v>
      </c>
      <c r="CH261" s="23">
        <v>0</v>
      </c>
      <c r="CI261" s="23">
        <v>0</v>
      </c>
      <c r="CJ261" s="23">
        <v>0</v>
      </c>
      <c r="CK261" s="19">
        <f t="shared" si="767"/>
        <v>0</v>
      </c>
      <c r="CL261" s="23">
        <v>0</v>
      </c>
      <c r="CM261" s="23">
        <v>0</v>
      </c>
      <c r="CN261" s="23">
        <v>0</v>
      </c>
      <c r="CO261" s="23">
        <v>0</v>
      </c>
      <c r="CP261" s="23">
        <v>0</v>
      </c>
      <c r="CQ261" s="23"/>
      <c r="CR261" s="23"/>
      <c r="CS261" s="19">
        <v>0</v>
      </c>
      <c r="CT261" s="19"/>
      <c r="CU261" s="19"/>
      <c r="CV261" s="19"/>
      <c r="CW261" s="19">
        <f t="shared" si="676"/>
        <v>0</v>
      </c>
      <c r="CX261" s="19">
        <f t="shared" si="677"/>
        <v>0</v>
      </c>
      <c r="CY261" s="19">
        <v>0</v>
      </c>
      <c r="CZ261" s="20">
        <v>0</v>
      </c>
    </row>
    <row r="262" spans="1:105" s="73" customFormat="1" ht="15.75" x14ac:dyDescent="0.25">
      <c r="A262" s="83" t="s">
        <v>1</v>
      </c>
      <c r="B262" s="66" t="s">
        <v>158</v>
      </c>
      <c r="C262" s="67" t="s">
        <v>576</v>
      </c>
      <c r="D262" s="68">
        <f t="shared" si="755"/>
        <v>11305377</v>
      </c>
      <c r="E262" s="69">
        <f t="shared" si="756"/>
        <v>10219051</v>
      </c>
      <c r="F262" s="69">
        <f t="shared" si="757"/>
        <v>10219051</v>
      </c>
      <c r="G262" s="70">
        <v>797810</v>
      </c>
      <c r="H262" s="70">
        <v>173238</v>
      </c>
      <c r="I262" s="69">
        <f t="shared" si="671"/>
        <v>6835697</v>
      </c>
      <c r="J262" s="70">
        <v>16604</v>
      </c>
      <c r="K262" s="70">
        <v>13500</v>
      </c>
      <c r="L262" s="70">
        <v>40000</v>
      </c>
      <c r="M262" s="70">
        <v>0</v>
      </c>
      <c r="N262" s="70">
        <f>1207062+969580</f>
        <v>2176642</v>
      </c>
      <c r="O262" s="70">
        <f>2376662+2212289</f>
        <v>4588951</v>
      </c>
      <c r="P262" s="69">
        <f t="shared" si="672"/>
        <v>0</v>
      </c>
      <c r="Q262" s="70">
        <v>0</v>
      </c>
      <c r="R262" s="70">
        <v>0</v>
      </c>
      <c r="S262" s="70">
        <v>0</v>
      </c>
      <c r="T262" s="70">
        <v>11400</v>
      </c>
      <c r="U262" s="69">
        <f t="shared" si="758"/>
        <v>434037</v>
      </c>
      <c r="V262" s="70">
        <f>126874+59002</f>
        <v>185876</v>
      </c>
      <c r="W262" s="70">
        <v>0</v>
      </c>
      <c r="X262" s="70">
        <v>80169</v>
      </c>
      <c r="Y262" s="70">
        <v>28006</v>
      </c>
      <c r="Z262" s="70">
        <f>68879+6000</f>
        <v>74879</v>
      </c>
      <c r="AA262" s="70">
        <v>0</v>
      </c>
      <c r="AB262" s="70">
        <v>0</v>
      </c>
      <c r="AC262" s="70">
        <v>65107</v>
      </c>
      <c r="AD262" s="69">
        <f t="shared" si="759"/>
        <v>1966869</v>
      </c>
      <c r="AE262" s="71">
        <v>0</v>
      </c>
      <c r="AF262" s="71">
        <v>0</v>
      </c>
      <c r="AG262" s="75">
        <f>92904+29000</f>
        <v>121904</v>
      </c>
      <c r="AH262" s="75">
        <f>519746+238500</f>
        <v>758246</v>
      </c>
      <c r="AI262" s="75">
        <v>0</v>
      </c>
      <c r="AJ262" s="75">
        <v>18900</v>
      </c>
      <c r="AK262" s="75">
        <v>5000</v>
      </c>
      <c r="AL262" s="75">
        <v>0</v>
      </c>
      <c r="AM262" s="75">
        <v>10962</v>
      </c>
      <c r="AN262" s="75">
        <v>0</v>
      </c>
      <c r="AO262" s="75">
        <v>0</v>
      </c>
      <c r="AP262" s="75"/>
      <c r="AQ262" s="75">
        <v>0</v>
      </c>
      <c r="AR262" s="75">
        <v>0</v>
      </c>
      <c r="AS262" s="75">
        <v>0</v>
      </c>
      <c r="AT262" s="75">
        <v>0</v>
      </c>
      <c r="AU262" s="75">
        <v>0</v>
      </c>
      <c r="AV262" s="75">
        <v>0</v>
      </c>
      <c r="AW262" s="75">
        <v>3896</v>
      </c>
      <c r="AX262" s="75">
        <v>0</v>
      </c>
      <c r="AY262" s="75">
        <v>0</v>
      </c>
      <c r="AZ262" s="75">
        <f>1041672+6289</f>
        <v>1047961</v>
      </c>
      <c r="BA262" s="69">
        <f t="shared" si="760"/>
        <v>0</v>
      </c>
      <c r="BB262" s="69">
        <f t="shared" si="761"/>
        <v>0</v>
      </c>
      <c r="BC262" s="69">
        <v>0</v>
      </c>
      <c r="BD262" s="69">
        <v>0</v>
      </c>
      <c r="BE262" s="69">
        <v>0</v>
      </c>
      <c r="BF262" s="69">
        <f t="shared" si="762"/>
        <v>0</v>
      </c>
      <c r="BG262" s="69">
        <v>0</v>
      </c>
      <c r="BH262" s="69">
        <v>0</v>
      </c>
      <c r="BI262" s="69">
        <v>0</v>
      </c>
      <c r="BJ262" s="69">
        <v>0</v>
      </c>
      <c r="BK262" s="69">
        <f t="shared" si="674"/>
        <v>0</v>
      </c>
      <c r="BL262" s="69">
        <v>0</v>
      </c>
      <c r="BM262" s="69">
        <v>0</v>
      </c>
      <c r="BN262" s="69">
        <f t="shared" si="763"/>
        <v>0</v>
      </c>
      <c r="BO262" s="69">
        <v>0</v>
      </c>
      <c r="BP262" s="69">
        <v>0</v>
      </c>
      <c r="BQ262" s="69">
        <v>0</v>
      </c>
      <c r="BR262" s="69">
        <v>0</v>
      </c>
      <c r="BS262" s="69">
        <v>0</v>
      </c>
      <c r="BT262" s="69">
        <v>0</v>
      </c>
      <c r="BU262" s="69">
        <v>0</v>
      </c>
      <c r="BV262" s="69">
        <v>0</v>
      </c>
      <c r="BW262" s="69">
        <v>0</v>
      </c>
      <c r="BX262" s="69">
        <v>0</v>
      </c>
      <c r="BY262" s="69">
        <v>0</v>
      </c>
      <c r="BZ262" s="69">
        <f t="shared" si="764"/>
        <v>1086326</v>
      </c>
      <c r="CA262" s="69">
        <f t="shared" si="765"/>
        <v>1086326</v>
      </c>
      <c r="CB262" s="69">
        <f t="shared" si="675"/>
        <v>777971</v>
      </c>
      <c r="CC262" s="70">
        <v>220580</v>
      </c>
      <c r="CD262" s="70">
        <f>474727+82664</f>
        <v>557391</v>
      </c>
      <c r="CE262" s="69">
        <f t="shared" si="766"/>
        <v>0</v>
      </c>
      <c r="CF262" s="70">
        <v>0</v>
      </c>
      <c r="CG262" s="70">
        <v>0</v>
      </c>
      <c r="CH262" s="70">
        <v>0</v>
      </c>
      <c r="CI262" s="70">
        <v>0</v>
      </c>
      <c r="CJ262" s="70">
        <v>0</v>
      </c>
      <c r="CK262" s="69">
        <f t="shared" si="767"/>
        <v>308355</v>
      </c>
      <c r="CL262" s="70">
        <f>0+100000</f>
        <v>100000</v>
      </c>
      <c r="CM262" s="70">
        <v>0</v>
      </c>
      <c r="CN262" s="70">
        <f>130000+78355</f>
        <v>208355</v>
      </c>
      <c r="CO262" s="70">
        <v>0</v>
      </c>
      <c r="CP262" s="70">
        <v>0</v>
      </c>
      <c r="CQ262" s="70"/>
      <c r="CR262" s="70"/>
      <c r="CS262" s="69">
        <v>0</v>
      </c>
      <c r="CT262" s="69"/>
      <c r="CU262" s="69"/>
      <c r="CV262" s="69"/>
      <c r="CW262" s="69">
        <f t="shared" si="676"/>
        <v>0</v>
      </c>
      <c r="CX262" s="69">
        <f t="shared" si="677"/>
        <v>0</v>
      </c>
      <c r="CY262" s="69">
        <v>0</v>
      </c>
      <c r="CZ262" s="72">
        <v>0</v>
      </c>
    </row>
    <row r="263" spans="1:105" s="73" customFormat="1" ht="31.5" x14ac:dyDescent="0.25">
      <c r="A263" s="83" t="s">
        <v>1</v>
      </c>
      <c r="B263" s="66" t="s">
        <v>94</v>
      </c>
      <c r="C263" s="67" t="s">
        <v>577</v>
      </c>
      <c r="D263" s="68">
        <f t="shared" si="755"/>
        <v>35831</v>
      </c>
      <c r="E263" s="69">
        <f t="shared" si="756"/>
        <v>32831</v>
      </c>
      <c r="F263" s="69">
        <f t="shared" si="757"/>
        <v>32831</v>
      </c>
      <c r="G263" s="70">
        <v>2335</v>
      </c>
      <c r="H263" s="70">
        <v>584</v>
      </c>
      <c r="I263" s="69">
        <f t="shared" si="671"/>
        <v>17039</v>
      </c>
      <c r="J263" s="70">
        <v>1635</v>
      </c>
      <c r="K263" s="70">
        <v>584</v>
      </c>
      <c r="L263" s="70">
        <v>0</v>
      </c>
      <c r="M263" s="70">
        <v>0</v>
      </c>
      <c r="N263" s="70">
        <v>0</v>
      </c>
      <c r="O263" s="70">
        <f>5889+8931</f>
        <v>14820</v>
      </c>
      <c r="P263" s="69">
        <f t="shared" si="672"/>
        <v>0</v>
      </c>
      <c r="Q263" s="70">
        <v>0</v>
      </c>
      <c r="R263" s="70">
        <v>0</v>
      </c>
      <c r="S263" s="70">
        <v>0</v>
      </c>
      <c r="T263" s="70">
        <v>0</v>
      </c>
      <c r="U263" s="69">
        <f t="shared" si="758"/>
        <v>1808</v>
      </c>
      <c r="V263" s="70">
        <v>0</v>
      </c>
      <c r="W263" s="70">
        <v>0</v>
      </c>
      <c r="X263" s="70">
        <v>0</v>
      </c>
      <c r="Y263" s="70">
        <v>1808</v>
      </c>
      <c r="Z263" s="70">
        <v>0</v>
      </c>
      <c r="AA263" s="70">
        <v>0</v>
      </c>
      <c r="AB263" s="70">
        <v>0</v>
      </c>
      <c r="AC263" s="70">
        <v>0</v>
      </c>
      <c r="AD263" s="69">
        <f t="shared" si="759"/>
        <v>11065</v>
      </c>
      <c r="AE263" s="71">
        <v>0</v>
      </c>
      <c r="AF263" s="71">
        <v>0</v>
      </c>
      <c r="AG263" s="75">
        <v>705</v>
      </c>
      <c r="AH263" s="75">
        <v>0</v>
      </c>
      <c r="AI263" s="75">
        <v>0</v>
      </c>
      <c r="AJ263" s="75">
        <v>310</v>
      </c>
      <c r="AK263" s="75">
        <v>0</v>
      </c>
      <c r="AL263" s="75">
        <v>0</v>
      </c>
      <c r="AM263" s="75">
        <v>0</v>
      </c>
      <c r="AN263" s="75">
        <v>0</v>
      </c>
      <c r="AO263" s="75">
        <v>0</v>
      </c>
      <c r="AP263" s="75"/>
      <c r="AQ263" s="75">
        <v>0</v>
      </c>
      <c r="AR263" s="75">
        <v>0</v>
      </c>
      <c r="AS263" s="75">
        <v>0</v>
      </c>
      <c r="AT263" s="75">
        <v>0</v>
      </c>
      <c r="AU263" s="75">
        <v>0</v>
      </c>
      <c r="AV263" s="75">
        <v>0</v>
      </c>
      <c r="AW263" s="75">
        <v>0</v>
      </c>
      <c r="AX263" s="75">
        <v>0</v>
      </c>
      <c r="AY263" s="75">
        <v>0</v>
      </c>
      <c r="AZ263" s="75">
        <f>6500+3550</f>
        <v>10050</v>
      </c>
      <c r="BA263" s="69">
        <f t="shared" si="760"/>
        <v>0</v>
      </c>
      <c r="BB263" s="69">
        <f t="shared" si="761"/>
        <v>0</v>
      </c>
      <c r="BC263" s="69">
        <v>0</v>
      </c>
      <c r="BD263" s="69">
        <v>0</v>
      </c>
      <c r="BE263" s="69">
        <v>0</v>
      </c>
      <c r="BF263" s="69">
        <f t="shared" si="762"/>
        <v>0</v>
      </c>
      <c r="BG263" s="69">
        <v>0</v>
      </c>
      <c r="BH263" s="69">
        <v>0</v>
      </c>
      <c r="BI263" s="69">
        <v>0</v>
      </c>
      <c r="BJ263" s="69">
        <v>0</v>
      </c>
      <c r="BK263" s="69">
        <f t="shared" si="674"/>
        <v>0</v>
      </c>
      <c r="BL263" s="69">
        <v>0</v>
      </c>
      <c r="BM263" s="69">
        <v>0</v>
      </c>
      <c r="BN263" s="69">
        <f t="shared" si="763"/>
        <v>0</v>
      </c>
      <c r="BO263" s="69">
        <v>0</v>
      </c>
      <c r="BP263" s="69">
        <v>0</v>
      </c>
      <c r="BQ263" s="69">
        <v>0</v>
      </c>
      <c r="BR263" s="69">
        <v>0</v>
      </c>
      <c r="BS263" s="69">
        <v>0</v>
      </c>
      <c r="BT263" s="69">
        <v>0</v>
      </c>
      <c r="BU263" s="69">
        <v>0</v>
      </c>
      <c r="BV263" s="69">
        <v>0</v>
      </c>
      <c r="BW263" s="69">
        <v>0</v>
      </c>
      <c r="BX263" s="69">
        <v>0</v>
      </c>
      <c r="BY263" s="69">
        <v>0</v>
      </c>
      <c r="BZ263" s="69">
        <f t="shared" si="764"/>
        <v>3000</v>
      </c>
      <c r="CA263" s="69">
        <f t="shared" si="765"/>
        <v>3000</v>
      </c>
      <c r="CB263" s="69">
        <f t="shared" si="675"/>
        <v>3000</v>
      </c>
      <c r="CC263" s="70">
        <v>0</v>
      </c>
      <c r="CD263" s="70">
        <v>3000</v>
      </c>
      <c r="CE263" s="69">
        <f t="shared" si="766"/>
        <v>0</v>
      </c>
      <c r="CF263" s="70">
        <v>0</v>
      </c>
      <c r="CG263" s="70">
        <v>0</v>
      </c>
      <c r="CH263" s="70">
        <v>0</v>
      </c>
      <c r="CI263" s="70">
        <v>0</v>
      </c>
      <c r="CJ263" s="70">
        <v>0</v>
      </c>
      <c r="CK263" s="69">
        <f t="shared" si="767"/>
        <v>0</v>
      </c>
      <c r="CL263" s="70">
        <v>0</v>
      </c>
      <c r="CM263" s="70">
        <v>0</v>
      </c>
      <c r="CN263" s="70">
        <v>0</v>
      </c>
      <c r="CO263" s="70">
        <v>0</v>
      </c>
      <c r="CP263" s="70">
        <v>0</v>
      </c>
      <c r="CQ263" s="70"/>
      <c r="CR263" s="70"/>
      <c r="CS263" s="69">
        <v>0</v>
      </c>
      <c r="CT263" s="69"/>
      <c r="CU263" s="69"/>
      <c r="CV263" s="69"/>
      <c r="CW263" s="69">
        <f t="shared" si="676"/>
        <v>0</v>
      </c>
      <c r="CX263" s="69">
        <f t="shared" si="677"/>
        <v>0</v>
      </c>
      <c r="CY263" s="69">
        <v>0</v>
      </c>
      <c r="CZ263" s="72">
        <v>0</v>
      </c>
    </row>
    <row r="264" spans="1:105" s="73" customFormat="1" ht="31.5" x14ac:dyDescent="0.25">
      <c r="A264" s="83" t="s">
        <v>1</v>
      </c>
      <c r="B264" s="66" t="s">
        <v>96</v>
      </c>
      <c r="C264" s="67" t="s">
        <v>578</v>
      </c>
      <c r="D264" s="68">
        <f t="shared" si="755"/>
        <v>862285</v>
      </c>
      <c r="E264" s="69">
        <f t="shared" si="756"/>
        <v>796785</v>
      </c>
      <c r="F264" s="69">
        <f t="shared" si="757"/>
        <v>796785</v>
      </c>
      <c r="G264" s="70">
        <v>55724</v>
      </c>
      <c r="H264" s="70">
        <v>13931</v>
      </c>
      <c r="I264" s="69">
        <f t="shared" si="671"/>
        <v>342403</v>
      </c>
      <c r="J264" s="70">
        <v>2200</v>
      </c>
      <c r="K264" s="70">
        <v>0</v>
      </c>
      <c r="L264" s="70">
        <v>0</v>
      </c>
      <c r="M264" s="70">
        <v>0</v>
      </c>
      <c r="N264" s="70">
        <f>20500+23060</f>
        <v>43560</v>
      </c>
      <c r="O264" s="70">
        <f>177865+118778</f>
        <v>296643</v>
      </c>
      <c r="P264" s="69">
        <f t="shared" si="672"/>
        <v>0</v>
      </c>
      <c r="Q264" s="70">
        <v>0</v>
      </c>
      <c r="R264" s="70">
        <v>0</v>
      </c>
      <c r="S264" s="70">
        <v>5000</v>
      </c>
      <c r="T264" s="70">
        <v>2000</v>
      </c>
      <c r="U264" s="69">
        <f t="shared" si="758"/>
        <v>176663</v>
      </c>
      <c r="V264" s="70">
        <v>5150</v>
      </c>
      <c r="W264" s="70">
        <v>84266</v>
      </c>
      <c r="X264" s="70">
        <v>41347</v>
      </c>
      <c r="Y264" s="70">
        <v>26560</v>
      </c>
      <c r="Z264" s="70">
        <f>7933+1211</f>
        <v>9144</v>
      </c>
      <c r="AA264" s="70">
        <v>9600</v>
      </c>
      <c r="AB264" s="70">
        <v>0</v>
      </c>
      <c r="AC264" s="70">
        <v>596</v>
      </c>
      <c r="AD264" s="69">
        <f t="shared" si="759"/>
        <v>201064</v>
      </c>
      <c r="AE264" s="71">
        <v>0</v>
      </c>
      <c r="AF264" s="71">
        <v>0</v>
      </c>
      <c r="AG264" s="75">
        <v>5500</v>
      </c>
      <c r="AH264" s="75">
        <f>41480+10000</f>
        <v>51480</v>
      </c>
      <c r="AI264" s="75">
        <v>2440</v>
      </c>
      <c r="AJ264" s="75">
        <v>11500</v>
      </c>
      <c r="AK264" s="75">
        <v>0</v>
      </c>
      <c r="AL264" s="75">
        <v>1830</v>
      </c>
      <c r="AM264" s="75">
        <v>25550</v>
      </c>
      <c r="AN264" s="75">
        <v>0</v>
      </c>
      <c r="AO264" s="75">
        <v>0</v>
      </c>
      <c r="AP264" s="75">
        <f>0+50000</f>
        <v>50000</v>
      </c>
      <c r="AQ264" s="75">
        <v>0</v>
      </c>
      <c r="AR264" s="75">
        <v>0</v>
      </c>
      <c r="AS264" s="75">
        <v>24150</v>
      </c>
      <c r="AT264" s="75">
        <v>0</v>
      </c>
      <c r="AU264" s="75">
        <v>0</v>
      </c>
      <c r="AV264" s="75">
        <v>0</v>
      </c>
      <c r="AW264" s="75">
        <v>0</v>
      </c>
      <c r="AX264" s="75">
        <v>10667</v>
      </c>
      <c r="AY264" s="75">
        <v>0</v>
      </c>
      <c r="AZ264" s="75">
        <v>17947</v>
      </c>
      <c r="BA264" s="69">
        <f t="shared" si="760"/>
        <v>0</v>
      </c>
      <c r="BB264" s="69">
        <f t="shared" si="761"/>
        <v>0</v>
      </c>
      <c r="BC264" s="69">
        <v>0</v>
      </c>
      <c r="BD264" s="69">
        <v>0</v>
      </c>
      <c r="BE264" s="69">
        <v>0</v>
      </c>
      <c r="BF264" s="69">
        <f t="shared" si="762"/>
        <v>0</v>
      </c>
      <c r="BG264" s="69">
        <v>0</v>
      </c>
      <c r="BH264" s="69">
        <v>0</v>
      </c>
      <c r="BI264" s="69">
        <v>0</v>
      </c>
      <c r="BJ264" s="69">
        <v>0</v>
      </c>
      <c r="BK264" s="69">
        <f t="shared" si="674"/>
        <v>0</v>
      </c>
      <c r="BL264" s="69">
        <v>0</v>
      </c>
      <c r="BM264" s="69">
        <v>0</v>
      </c>
      <c r="BN264" s="69">
        <f t="shared" si="763"/>
        <v>0</v>
      </c>
      <c r="BO264" s="69">
        <v>0</v>
      </c>
      <c r="BP264" s="69">
        <v>0</v>
      </c>
      <c r="BQ264" s="69">
        <v>0</v>
      </c>
      <c r="BR264" s="69">
        <v>0</v>
      </c>
      <c r="BS264" s="69">
        <v>0</v>
      </c>
      <c r="BT264" s="69">
        <v>0</v>
      </c>
      <c r="BU264" s="69">
        <v>0</v>
      </c>
      <c r="BV264" s="69">
        <v>0</v>
      </c>
      <c r="BW264" s="69">
        <v>0</v>
      </c>
      <c r="BX264" s="69">
        <v>0</v>
      </c>
      <c r="BY264" s="69">
        <v>0</v>
      </c>
      <c r="BZ264" s="69">
        <f t="shared" si="764"/>
        <v>65500</v>
      </c>
      <c r="CA264" s="69">
        <f t="shared" si="765"/>
        <v>65500</v>
      </c>
      <c r="CB264" s="69">
        <f t="shared" si="675"/>
        <v>65500</v>
      </c>
      <c r="CC264" s="70">
        <v>0</v>
      </c>
      <c r="CD264" s="70">
        <f>65500</f>
        <v>65500</v>
      </c>
      <c r="CE264" s="69">
        <f t="shared" si="766"/>
        <v>0</v>
      </c>
      <c r="CF264" s="70">
        <v>0</v>
      </c>
      <c r="CG264" s="70">
        <v>0</v>
      </c>
      <c r="CH264" s="70">
        <v>0</v>
      </c>
      <c r="CI264" s="70">
        <v>0</v>
      </c>
      <c r="CJ264" s="70">
        <v>0</v>
      </c>
      <c r="CK264" s="69">
        <f t="shared" si="767"/>
        <v>0</v>
      </c>
      <c r="CL264" s="70">
        <v>0</v>
      </c>
      <c r="CM264" s="70">
        <v>0</v>
      </c>
      <c r="CN264" s="70">
        <v>0</v>
      </c>
      <c r="CO264" s="70">
        <v>0</v>
      </c>
      <c r="CP264" s="70">
        <v>0</v>
      </c>
      <c r="CQ264" s="70"/>
      <c r="CR264" s="70"/>
      <c r="CS264" s="69">
        <v>0</v>
      </c>
      <c r="CT264" s="69"/>
      <c r="CU264" s="69"/>
      <c r="CV264" s="69"/>
      <c r="CW264" s="69">
        <f t="shared" si="676"/>
        <v>0</v>
      </c>
      <c r="CX264" s="69">
        <f t="shared" si="677"/>
        <v>0</v>
      </c>
      <c r="CY264" s="69">
        <v>0</v>
      </c>
      <c r="CZ264" s="72">
        <v>0</v>
      </c>
    </row>
    <row r="265" spans="1:105" s="73" customFormat="1" ht="39" customHeight="1" x14ac:dyDescent="0.25">
      <c r="A265" s="83" t="s">
        <v>1</v>
      </c>
      <c r="B265" s="66" t="s">
        <v>96</v>
      </c>
      <c r="C265" s="67" t="s">
        <v>579</v>
      </c>
      <c r="D265" s="68">
        <f t="shared" si="755"/>
        <v>1055980</v>
      </c>
      <c r="E265" s="69">
        <f t="shared" si="756"/>
        <v>1035503</v>
      </c>
      <c r="F265" s="69">
        <f t="shared" si="757"/>
        <v>1035503</v>
      </c>
      <c r="G265" s="70">
        <v>200680</v>
      </c>
      <c r="H265" s="70">
        <v>50170</v>
      </c>
      <c r="I265" s="69">
        <f t="shared" si="671"/>
        <v>271815</v>
      </c>
      <c r="J265" s="70">
        <v>2500</v>
      </c>
      <c r="K265" s="70">
        <v>19250</v>
      </c>
      <c r="L265" s="70">
        <v>0</v>
      </c>
      <c r="M265" s="70">
        <v>0</v>
      </c>
      <c r="N265" s="70">
        <v>130615</v>
      </c>
      <c r="O265" s="70">
        <f>99870+19580</f>
        <v>119450</v>
      </c>
      <c r="P265" s="69">
        <f t="shared" si="672"/>
        <v>0</v>
      </c>
      <c r="Q265" s="70">
        <v>0</v>
      </c>
      <c r="R265" s="70">
        <v>0</v>
      </c>
      <c r="S265" s="70">
        <v>0</v>
      </c>
      <c r="T265" s="70">
        <v>14352</v>
      </c>
      <c r="U265" s="69">
        <f t="shared" si="758"/>
        <v>77695</v>
      </c>
      <c r="V265" s="70">
        <v>55373</v>
      </c>
      <c r="W265" s="70">
        <v>8131</v>
      </c>
      <c r="X265" s="70">
        <v>5310</v>
      </c>
      <c r="Y265" s="70">
        <v>1426</v>
      </c>
      <c r="Z265" s="70">
        <v>7455</v>
      </c>
      <c r="AA265" s="70">
        <v>0</v>
      </c>
      <c r="AB265" s="70">
        <v>0</v>
      </c>
      <c r="AC265" s="70">
        <v>0</v>
      </c>
      <c r="AD265" s="69">
        <f t="shared" si="759"/>
        <v>420791</v>
      </c>
      <c r="AE265" s="71">
        <v>0</v>
      </c>
      <c r="AF265" s="71">
        <v>0</v>
      </c>
      <c r="AG265" s="70">
        <v>31169</v>
      </c>
      <c r="AH265" s="70">
        <v>84250</v>
      </c>
      <c r="AI265" s="70">
        <v>0</v>
      </c>
      <c r="AJ265" s="70">
        <v>1800</v>
      </c>
      <c r="AK265" s="70">
        <v>0</v>
      </c>
      <c r="AL265" s="70">
        <v>2265</v>
      </c>
      <c r="AM265" s="70">
        <v>36500</v>
      </c>
      <c r="AN265" s="70">
        <v>0</v>
      </c>
      <c r="AO265" s="70">
        <v>0</v>
      </c>
      <c r="AP265" s="70"/>
      <c r="AQ265" s="70">
        <v>0</v>
      </c>
      <c r="AR265" s="70">
        <v>0</v>
      </c>
      <c r="AS265" s="70">
        <v>0</v>
      </c>
      <c r="AT265" s="70">
        <v>0</v>
      </c>
      <c r="AU265" s="70">
        <v>0</v>
      </c>
      <c r="AV265" s="70">
        <v>0</v>
      </c>
      <c r="AW265" s="70">
        <v>0</v>
      </c>
      <c r="AX265" s="70">
        <v>85483</v>
      </c>
      <c r="AY265" s="70">
        <v>0</v>
      </c>
      <c r="AZ265" s="70">
        <v>179324</v>
      </c>
      <c r="BA265" s="69">
        <f t="shared" si="760"/>
        <v>0</v>
      </c>
      <c r="BB265" s="69">
        <f t="shared" si="761"/>
        <v>0</v>
      </c>
      <c r="BC265" s="69">
        <v>0</v>
      </c>
      <c r="BD265" s="69">
        <v>0</v>
      </c>
      <c r="BE265" s="69">
        <v>0</v>
      </c>
      <c r="BF265" s="69">
        <f t="shared" si="762"/>
        <v>0</v>
      </c>
      <c r="BG265" s="69">
        <v>0</v>
      </c>
      <c r="BH265" s="69">
        <v>0</v>
      </c>
      <c r="BI265" s="69">
        <v>0</v>
      </c>
      <c r="BJ265" s="69">
        <v>0</v>
      </c>
      <c r="BK265" s="69">
        <f t="shared" si="674"/>
        <v>0</v>
      </c>
      <c r="BL265" s="69">
        <v>0</v>
      </c>
      <c r="BM265" s="69">
        <v>0</v>
      </c>
      <c r="BN265" s="69">
        <f t="shared" si="763"/>
        <v>0</v>
      </c>
      <c r="BO265" s="69">
        <v>0</v>
      </c>
      <c r="BP265" s="69">
        <v>0</v>
      </c>
      <c r="BQ265" s="69">
        <v>0</v>
      </c>
      <c r="BR265" s="69">
        <v>0</v>
      </c>
      <c r="BS265" s="69">
        <v>0</v>
      </c>
      <c r="BT265" s="69">
        <v>0</v>
      </c>
      <c r="BU265" s="69">
        <v>0</v>
      </c>
      <c r="BV265" s="69">
        <v>0</v>
      </c>
      <c r="BW265" s="69">
        <v>0</v>
      </c>
      <c r="BX265" s="69">
        <v>0</v>
      </c>
      <c r="BY265" s="69">
        <v>0</v>
      </c>
      <c r="BZ265" s="69">
        <f t="shared" si="764"/>
        <v>20477</v>
      </c>
      <c r="CA265" s="69">
        <f t="shared" si="765"/>
        <v>20477</v>
      </c>
      <c r="CB265" s="69">
        <f t="shared" si="675"/>
        <v>20477</v>
      </c>
      <c r="CC265" s="71"/>
      <c r="CD265" s="70">
        <v>20477</v>
      </c>
      <c r="CE265" s="69">
        <f t="shared" si="766"/>
        <v>0</v>
      </c>
      <c r="CF265" s="69">
        <v>0</v>
      </c>
      <c r="CG265" s="69">
        <v>0</v>
      </c>
      <c r="CH265" s="69">
        <v>0</v>
      </c>
      <c r="CI265" s="69">
        <v>0</v>
      </c>
      <c r="CJ265" s="69">
        <v>0</v>
      </c>
      <c r="CK265" s="69">
        <f t="shared" si="767"/>
        <v>0</v>
      </c>
      <c r="CL265" s="71"/>
      <c r="CM265" s="71"/>
      <c r="CN265" s="69">
        <v>0</v>
      </c>
      <c r="CO265" s="69">
        <v>0</v>
      </c>
      <c r="CP265" s="69">
        <v>0</v>
      </c>
      <c r="CQ265" s="69"/>
      <c r="CR265" s="69"/>
      <c r="CS265" s="69">
        <v>0</v>
      </c>
      <c r="CT265" s="69"/>
      <c r="CU265" s="69"/>
      <c r="CV265" s="69"/>
      <c r="CW265" s="69">
        <f t="shared" si="676"/>
        <v>0</v>
      </c>
      <c r="CX265" s="69">
        <f t="shared" si="677"/>
        <v>0</v>
      </c>
      <c r="CY265" s="69">
        <v>0</v>
      </c>
      <c r="CZ265" s="72">
        <v>0</v>
      </c>
    </row>
    <row r="266" spans="1:105" s="73" customFormat="1" ht="23.45" customHeight="1" x14ac:dyDescent="0.25">
      <c r="A266" s="83" t="s">
        <v>1</v>
      </c>
      <c r="B266" s="66" t="s">
        <v>96</v>
      </c>
      <c r="C266" s="67" t="s">
        <v>636</v>
      </c>
      <c r="D266" s="68">
        <f t="shared" si="755"/>
        <v>1645124</v>
      </c>
      <c r="E266" s="69">
        <f t="shared" si="756"/>
        <v>1487645</v>
      </c>
      <c r="F266" s="69">
        <f t="shared" si="757"/>
        <v>1487645</v>
      </c>
      <c r="G266" s="70">
        <v>258720</v>
      </c>
      <c r="H266" s="70">
        <v>64680</v>
      </c>
      <c r="I266" s="69">
        <f t="shared" si="671"/>
        <v>147470</v>
      </c>
      <c r="J266" s="70">
        <v>0</v>
      </c>
      <c r="K266" s="70">
        <v>0</v>
      </c>
      <c r="L266" s="70">
        <v>0</v>
      </c>
      <c r="M266" s="70">
        <v>0</v>
      </c>
      <c r="N266" s="70">
        <v>87192</v>
      </c>
      <c r="O266" s="70">
        <v>60278</v>
      </c>
      <c r="P266" s="69">
        <f t="shared" si="672"/>
        <v>73750</v>
      </c>
      <c r="Q266" s="70">
        <v>1000</v>
      </c>
      <c r="R266" s="70">
        <v>72750</v>
      </c>
      <c r="S266" s="70">
        <v>0</v>
      </c>
      <c r="T266" s="70">
        <v>31277</v>
      </c>
      <c r="U266" s="69">
        <f t="shared" si="758"/>
        <v>200166</v>
      </c>
      <c r="V266" s="70">
        <v>71154</v>
      </c>
      <c r="W266" s="70">
        <v>2046</v>
      </c>
      <c r="X266" s="70">
        <v>83166</v>
      </c>
      <c r="Y266" s="70">
        <v>13923</v>
      </c>
      <c r="Z266" s="70">
        <v>3877</v>
      </c>
      <c r="AA266" s="70">
        <v>0</v>
      </c>
      <c r="AB266" s="70">
        <v>0</v>
      </c>
      <c r="AC266" s="70">
        <v>26000</v>
      </c>
      <c r="AD266" s="69">
        <f t="shared" si="759"/>
        <v>711582</v>
      </c>
      <c r="AE266" s="71">
        <v>0</v>
      </c>
      <c r="AF266" s="71">
        <v>0</v>
      </c>
      <c r="AG266" s="70">
        <v>48837</v>
      </c>
      <c r="AH266" s="70">
        <f>83792+45124</f>
        <v>128916</v>
      </c>
      <c r="AI266" s="70">
        <v>0</v>
      </c>
      <c r="AJ266" s="70">
        <v>1591</v>
      </c>
      <c r="AK266" s="70">
        <v>0</v>
      </c>
      <c r="AL266" s="70">
        <v>2587</v>
      </c>
      <c r="AM266" s="70">
        <v>81714</v>
      </c>
      <c r="AN266" s="70">
        <v>0</v>
      </c>
      <c r="AO266" s="70">
        <v>0</v>
      </c>
      <c r="AP266" s="70"/>
      <c r="AQ266" s="70">
        <v>0</v>
      </c>
      <c r="AR266" s="70">
        <v>0</v>
      </c>
      <c r="AS266" s="70">
        <v>0</v>
      </c>
      <c r="AT266" s="70">
        <v>0</v>
      </c>
      <c r="AU266" s="70">
        <v>0</v>
      </c>
      <c r="AV266" s="70">
        <v>0</v>
      </c>
      <c r="AW266" s="70">
        <v>0</v>
      </c>
      <c r="AX266" s="70">
        <v>109800</v>
      </c>
      <c r="AY266" s="70">
        <v>0</v>
      </c>
      <c r="AZ266" s="70">
        <v>338137</v>
      </c>
      <c r="BA266" s="69">
        <f t="shared" si="760"/>
        <v>0</v>
      </c>
      <c r="BB266" s="69">
        <f t="shared" si="761"/>
        <v>0</v>
      </c>
      <c r="BC266" s="69">
        <v>0</v>
      </c>
      <c r="BD266" s="69">
        <v>0</v>
      </c>
      <c r="BE266" s="69">
        <v>0</v>
      </c>
      <c r="BF266" s="69">
        <f t="shared" si="762"/>
        <v>0</v>
      </c>
      <c r="BG266" s="69">
        <v>0</v>
      </c>
      <c r="BH266" s="69">
        <v>0</v>
      </c>
      <c r="BI266" s="69">
        <v>0</v>
      </c>
      <c r="BJ266" s="69">
        <v>0</v>
      </c>
      <c r="BK266" s="69">
        <f t="shared" si="674"/>
        <v>0</v>
      </c>
      <c r="BL266" s="69">
        <v>0</v>
      </c>
      <c r="BM266" s="69">
        <v>0</v>
      </c>
      <c r="BN266" s="69">
        <f t="shared" si="763"/>
        <v>0</v>
      </c>
      <c r="BO266" s="69">
        <v>0</v>
      </c>
      <c r="BP266" s="69">
        <v>0</v>
      </c>
      <c r="BQ266" s="69">
        <v>0</v>
      </c>
      <c r="BR266" s="69">
        <v>0</v>
      </c>
      <c r="BS266" s="69">
        <v>0</v>
      </c>
      <c r="BT266" s="69">
        <v>0</v>
      </c>
      <c r="BU266" s="69">
        <v>0</v>
      </c>
      <c r="BV266" s="69">
        <v>0</v>
      </c>
      <c r="BW266" s="69">
        <v>0</v>
      </c>
      <c r="BX266" s="69">
        <v>0</v>
      </c>
      <c r="BY266" s="69">
        <v>0</v>
      </c>
      <c r="BZ266" s="69">
        <f t="shared" si="764"/>
        <v>157479</v>
      </c>
      <c r="CA266" s="69">
        <f t="shared" si="765"/>
        <v>157479</v>
      </c>
      <c r="CB266" s="69">
        <f t="shared" si="675"/>
        <v>157479</v>
      </c>
      <c r="CC266" s="71"/>
      <c r="CD266" s="70">
        <v>157479</v>
      </c>
      <c r="CE266" s="69">
        <f t="shared" si="766"/>
        <v>0</v>
      </c>
      <c r="CF266" s="69">
        <v>0</v>
      </c>
      <c r="CG266" s="69">
        <v>0</v>
      </c>
      <c r="CH266" s="69">
        <v>0</v>
      </c>
      <c r="CI266" s="69">
        <v>0</v>
      </c>
      <c r="CJ266" s="69">
        <v>0</v>
      </c>
      <c r="CK266" s="69">
        <f t="shared" si="767"/>
        <v>0</v>
      </c>
      <c r="CL266" s="71"/>
      <c r="CM266" s="71"/>
      <c r="CN266" s="69">
        <v>0</v>
      </c>
      <c r="CO266" s="69">
        <v>0</v>
      </c>
      <c r="CP266" s="69">
        <v>0</v>
      </c>
      <c r="CQ266" s="69"/>
      <c r="CR266" s="69"/>
      <c r="CS266" s="69">
        <v>0</v>
      </c>
      <c r="CT266" s="69"/>
      <c r="CU266" s="69"/>
      <c r="CV266" s="69"/>
      <c r="CW266" s="69">
        <f t="shared" si="676"/>
        <v>0</v>
      </c>
      <c r="CX266" s="69">
        <f t="shared" si="677"/>
        <v>0</v>
      </c>
      <c r="CY266" s="69">
        <v>0</v>
      </c>
      <c r="CZ266" s="72">
        <v>0</v>
      </c>
    </row>
    <row r="267" spans="1:105" s="73" customFormat="1" ht="31.5" x14ac:dyDescent="0.25">
      <c r="A267" s="83" t="s">
        <v>1</v>
      </c>
      <c r="B267" s="66" t="s">
        <v>98</v>
      </c>
      <c r="C267" s="67" t="s">
        <v>376</v>
      </c>
      <c r="D267" s="68">
        <f t="shared" si="755"/>
        <v>978716</v>
      </c>
      <c r="E267" s="69">
        <f t="shared" si="756"/>
        <v>698716</v>
      </c>
      <c r="F267" s="69">
        <f t="shared" si="757"/>
        <v>698716</v>
      </c>
      <c r="G267" s="70">
        <v>174008</v>
      </c>
      <c r="H267" s="70">
        <v>41777</v>
      </c>
      <c r="I267" s="69">
        <f t="shared" si="671"/>
        <v>246500</v>
      </c>
      <c r="J267" s="70"/>
      <c r="K267" s="70">
        <v>0</v>
      </c>
      <c r="L267" s="70">
        <v>0</v>
      </c>
      <c r="M267" s="70">
        <v>0</v>
      </c>
      <c r="N267" s="70">
        <v>16500</v>
      </c>
      <c r="O267" s="70">
        <f>168500+61500</f>
        <v>230000</v>
      </c>
      <c r="P267" s="69">
        <f t="shared" si="672"/>
        <v>1000</v>
      </c>
      <c r="Q267" s="70">
        <v>1000</v>
      </c>
      <c r="R267" s="70"/>
      <c r="S267" s="70">
        <v>0</v>
      </c>
      <c r="T267" s="70">
        <v>14000</v>
      </c>
      <c r="U267" s="69">
        <f t="shared" si="758"/>
        <v>78831</v>
      </c>
      <c r="V267" s="70">
        <f>21615+57216</f>
        <v>78831</v>
      </c>
      <c r="W267" s="70"/>
      <c r="X267" s="70"/>
      <c r="Y267" s="70"/>
      <c r="Z267" s="70"/>
      <c r="AA267" s="70"/>
      <c r="AB267" s="70">
        <v>0</v>
      </c>
      <c r="AC267" s="70"/>
      <c r="AD267" s="69">
        <f t="shared" si="759"/>
        <v>142600</v>
      </c>
      <c r="AE267" s="71">
        <v>0</v>
      </c>
      <c r="AF267" s="71">
        <v>0</v>
      </c>
      <c r="AG267" s="70">
        <v>10000</v>
      </c>
      <c r="AH267" s="70">
        <f>41000+50000</f>
        <v>91000</v>
      </c>
      <c r="AI267" s="70">
        <v>600</v>
      </c>
      <c r="AJ267" s="70"/>
      <c r="AK267" s="70">
        <v>0</v>
      </c>
      <c r="AL267" s="70">
        <v>1000</v>
      </c>
      <c r="AM267" s="70">
        <v>10000</v>
      </c>
      <c r="AN267" s="70">
        <v>0</v>
      </c>
      <c r="AO267" s="70">
        <v>0</v>
      </c>
      <c r="AP267" s="70"/>
      <c r="AQ267" s="70">
        <v>0</v>
      </c>
      <c r="AR267" s="70"/>
      <c r="AS267" s="70">
        <v>0</v>
      </c>
      <c r="AT267" s="70">
        <v>0</v>
      </c>
      <c r="AU267" s="70">
        <v>0</v>
      </c>
      <c r="AV267" s="70">
        <v>0</v>
      </c>
      <c r="AW267" s="70">
        <v>0</v>
      </c>
      <c r="AX267" s="70">
        <v>0</v>
      </c>
      <c r="AY267" s="70">
        <v>0</v>
      </c>
      <c r="AZ267" s="70">
        <f>20000+10000</f>
        <v>30000</v>
      </c>
      <c r="BA267" s="69">
        <f t="shared" si="760"/>
        <v>0</v>
      </c>
      <c r="BB267" s="69">
        <f t="shared" si="761"/>
        <v>0</v>
      </c>
      <c r="BC267" s="69">
        <v>0</v>
      </c>
      <c r="BD267" s="69">
        <v>0</v>
      </c>
      <c r="BE267" s="69">
        <v>0</v>
      </c>
      <c r="BF267" s="69">
        <f t="shared" si="762"/>
        <v>0</v>
      </c>
      <c r="BG267" s="69">
        <v>0</v>
      </c>
      <c r="BH267" s="69">
        <v>0</v>
      </c>
      <c r="BI267" s="69">
        <v>0</v>
      </c>
      <c r="BJ267" s="69">
        <v>0</v>
      </c>
      <c r="BK267" s="69">
        <f t="shared" si="674"/>
        <v>0</v>
      </c>
      <c r="BL267" s="69">
        <v>0</v>
      </c>
      <c r="BM267" s="69">
        <v>0</v>
      </c>
      <c r="BN267" s="69">
        <f t="shared" si="763"/>
        <v>0</v>
      </c>
      <c r="BO267" s="69">
        <v>0</v>
      </c>
      <c r="BP267" s="69">
        <v>0</v>
      </c>
      <c r="BQ267" s="69">
        <v>0</v>
      </c>
      <c r="BR267" s="69">
        <v>0</v>
      </c>
      <c r="BS267" s="69">
        <v>0</v>
      </c>
      <c r="BT267" s="69">
        <v>0</v>
      </c>
      <c r="BU267" s="69">
        <v>0</v>
      </c>
      <c r="BV267" s="69">
        <v>0</v>
      </c>
      <c r="BW267" s="69">
        <v>0</v>
      </c>
      <c r="BX267" s="69">
        <v>0</v>
      </c>
      <c r="BY267" s="69">
        <v>0</v>
      </c>
      <c r="BZ267" s="69">
        <f t="shared" si="764"/>
        <v>280000</v>
      </c>
      <c r="CA267" s="69">
        <f t="shared" si="765"/>
        <v>280000</v>
      </c>
      <c r="CB267" s="69">
        <f t="shared" si="675"/>
        <v>280000</v>
      </c>
      <c r="CC267" s="71"/>
      <c r="CD267" s="70">
        <v>280000</v>
      </c>
      <c r="CE267" s="69">
        <f t="shared" si="766"/>
        <v>0</v>
      </c>
      <c r="CF267" s="69">
        <v>0</v>
      </c>
      <c r="CG267" s="69">
        <v>0</v>
      </c>
      <c r="CH267" s="69">
        <v>0</v>
      </c>
      <c r="CI267" s="69">
        <v>0</v>
      </c>
      <c r="CJ267" s="69">
        <v>0</v>
      </c>
      <c r="CK267" s="69">
        <f t="shared" si="767"/>
        <v>0</v>
      </c>
      <c r="CL267" s="71"/>
      <c r="CM267" s="71"/>
      <c r="CN267" s="69">
        <v>0</v>
      </c>
      <c r="CO267" s="69">
        <v>0</v>
      </c>
      <c r="CP267" s="69">
        <v>0</v>
      </c>
      <c r="CQ267" s="69"/>
      <c r="CR267" s="69"/>
      <c r="CS267" s="69">
        <v>0</v>
      </c>
      <c r="CT267" s="69"/>
      <c r="CU267" s="69"/>
      <c r="CV267" s="69"/>
      <c r="CW267" s="69">
        <f t="shared" si="676"/>
        <v>0</v>
      </c>
      <c r="CX267" s="69">
        <f t="shared" si="677"/>
        <v>0</v>
      </c>
      <c r="CY267" s="69">
        <v>0</v>
      </c>
      <c r="CZ267" s="72">
        <v>0</v>
      </c>
    </row>
    <row r="268" spans="1:105" s="73" customFormat="1" ht="15.75" x14ac:dyDescent="0.25">
      <c r="A268" s="83"/>
      <c r="B268" s="76" t="s">
        <v>104</v>
      </c>
      <c r="C268" s="77" t="s">
        <v>580</v>
      </c>
      <c r="D268" s="68">
        <f t="shared" si="755"/>
        <v>1319396</v>
      </c>
      <c r="E268" s="69">
        <f t="shared" si="756"/>
        <v>1253609</v>
      </c>
      <c r="F268" s="69">
        <f t="shared" si="757"/>
        <v>1253609</v>
      </c>
      <c r="G268" s="70">
        <v>0</v>
      </c>
      <c r="H268" s="70">
        <v>0</v>
      </c>
      <c r="I268" s="69">
        <f t="shared" ref="I268" si="768">SUM(J268:O268)</f>
        <v>489678</v>
      </c>
      <c r="J268" s="70">
        <v>1000</v>
      </c>
      <c r="K268" s="70"/>
      <c r="L268" s="70"/>
      <c r="M268" s="70"/>
      <c r="N268" s="70">
        <v>273492</v>
      </c>
      <c r="O268" s="70">
        <v>215186</v>
      </c>
      <c r="P268" s="69">
        <f t="shared" ref="P268" si="769">SUM(Q268:R268)</f>
        <v>60000</v>
      </c>
      <c r="Q268" s="70"/>
      <c r="R268" s="70">
        <v>60000</v>
      </c>
      <c r="S268" s="70"/>
      <c r="T268" s="70">
        <v>75000</v>
      </c>
      <c r="U268" s="69">
        <f t="shared" ref="U268" si="770">SUM(V268:AC268)</f>
        <v>228831</v>
      </c>
      <c r="V268" s="70">
        <v>27000</v>
      </c>
      <c r="W268" s="70">
        <f>58830+9892</f>
        <v>68722</v>
      </c>
      <c r="X268" s="70">
        <f>83678+8355</f>
        <v>92033</v>
      </c>
      <c r="Y268" s="70">
        <f>15687+1149</f>
        <v>16836</v>
      </c>
      <c r="Z268" s="70">
        <v>8114</v>
      </c>
      <c r="AA268" s="70">
        <v>12000</v>
      </c>
      <c r="AB268" s="70"/>
      <c r="AC268" s="70">
        <v>4126</v>
      </c>
      <c r="AD268" s="69">
        <f t="shared" si="759"/>
        <v>400100</v>
      </c>
      <c r="AE268" s="71"/>
      <c r="AF268" s="71"/>
      <c r="AG268" s="70">
        <v>85400</v>
      </c>
      <c r="AH268" s="70">
        <v>97000</v>
      </c>
      <c r="AI268" s="70"/>
      <c r="AJ268" s="70">
        <v>19700</v>
      </c>
      <c r="AK268" s="70"/>
      <c r="AL268" s="70"/>
      <c r="AM268" s="70"/>
      <c r="AN268" s="70"/>
      <c r="AO268" s="70"/>
      <c r="AP268" s="70"/>
      <c r="AQ268" s="70"/>
      <c r="AR268" s="70">
        <v>48000</v>
      </c>
      <c r="AS268" s="70"/>
      <c r="AT268" s="70"/>
      <c r="AU268" s="70"/>
      <c r="AV268" s="70"/>
      <c r="AW268" s="70"/>
      <c r="AX268" s="70"/>
      <c r="AY268" s="70"/>
      <c r="AZ268" s="70">
        <v>150000</v>
      </c>
      <c r="BA268" s="69">
        <f t="shared" si="760"/>
        <v>0</v>
      </c>
      <c r="BB268" s="69">
        <f t="shared" ref="BB268" si="771">SUM(BC268:BE268)</f>
        <v>0</v>
      </c>
      <c r="BC268" s="69">
        <v>0</v>
      </c>
      <c r="BD268" s="69">
        <v>0</v>
      </c>
      <c r="BE268" s="69">
        <v>0</v>
      </c>
      <c r="BF268" s="69">
        <f t="shared" si="762"/>
        <v>0</v>
      </c>
      <c r="BG268" s="69">
        <v>0</v>
      </c>
      <c r="BH268" s="69">
        <v>0</v>
      </c>
      <c r="BI268" s="69">
        <v>0</v>
      </c>
      <c r="BJ268" s="69">
        <v>0</v>
      </c>
      <c r="BK268" s="69">
        <f t="shared" ref="BK268" si="772">SUM(BL268)</f>
        <v>0</v>
      </c>
      <c r="BL268" s="69">
        <v>0</v>
      </c>
      <c r="BM268" s="69">
        <v>0</v>
      </c>
      <c r="BN268" s="69">
        <f t="shared" si="763"/>
        <v>0</v>
      </c>
      <c r="BO268" s="69">
        <v>0</v>
      </c>
      <c r="BP268" s="69">
        <v>0</v>
      </c>
      <c r="BQ268" s="69">
        <v>0</v>
      </c>
      <c r="BR268" s="69">
        <v>0</v>
      </c>
      <c r="BS268" s="69">
        <v>0</v>
      </c>
      <c r="BT268" s="69">
        <v>0</v>
      </c>
      <c r="BU268" s="69">
        <v>0</v>
      </c>
      <c r="BV268" s="69">
        <v>0</v>
      </c>
      <c r="BW268" s="69">
        <v>0</v>
      </c>
      <c r="BX268" s="69">
        <v>0</v>
      </c>
      <c r="BY268" s="69">
        <v>0</v>
      </c>
      <c r="BZ268" s="69">
        <f t="shared" si="764"/>
        <v>65787</v>
      </c>
      <c r="CA268" s="69">
        <f t="shared" si="765"/>
        <v>65787</v>
      </c>
      <c r="CB268" s="69">
        <f t="shared" ref="CB268" si="773">SUM(CC268:CD268)</f>
        <v>65787</v>
      </c>
      <c r="CC268" s="71"/>
      <c r="CD268" s="70">
        <v>65787</v>
      </c>
      <c r="CE268" s="69">
        <f t="shared" si="766"/>
        <v>0</v>
      </c>
      <c r="CF268" s="69">
        <v>0</v>
      </c>
      <c r="CG268" s="69">
        <v>0</v>
      </c>
      <c r="CH268" s="69">
        <v>0</v>
      </c>
      <c r="CI268" s="69">
        <v>0</v>
      </c>
      <c r="CJ268" s="69">
        <v>0</v>
      </c>
      <c r="CK268" s="69">
        <f t="shared" si="767"/>
        <v>0</v>
      </c>
      <c r="CL268" s="71"/>
      <c r="CM268" s="71"/>
      <c r="CN268" s="69">
        <v>0</v>
      </c>
      <c r="CO268" s="69">
        <v>0</v>
      </c>
      <c r="CP268" s="69">
        <v>0</v>
      </c>
      <c r="CQ268" s="69"/>
      <c r="CR268" s="69"/>
      <c r="CS268" s="69">
        <v>0</v>
      </c>
      <c r="CT268" s="69"/>
      <c r="CU268" s="69"/>
      <c r="CV268" s="69"/>
      <c r="CW268" s="69">
        <f t="shared" ref="CW268" si="774">SUM(CX268)</f>
        <v>0</v>
      </c>
      <c r="CX268" s="69">
        <f t="shared" ref="CX268" si="775">SUM(CY268:CZ268)</f>
        <v>0</v>
      </c>
      <c r="CY268" s="69">
        <v>0</v>
      </c>
      <c r="CZ268" s="72">
        <v>0</v>
      </c>
    </row>
    <row r="269" spans="1:105" s="73" customFormat="1" ht="15.75" x14ac:dyDescent="0.25">
      <c r="A269" s="83" t="s">
        <v>1</v>
      </c>
      <c r="B269" s="76" t="s">
        <v>104</v>
      </c>
      <c r="C269" s="77" t="s">
        <v>581</v>
      </c>
      <c r="D269" s="68">
        <f t="shared" si="755"/>
        <v>901917</v>
      </c>
      <c r="E269" s="69">
        <f t="shared" si="756"/>
        <v>400933</v>
      </c>
      <c r="F269" s="69">
        <f t="shared" si="757"/>
        <v>400933</v>
      </c>
      <c r="G269" s="70">
        <v>0</v>
      </c>
      <c r="H269" s="70">
        <v>0</v>
      </c>
      <c r="I269" s="69">
        <f t="shared" si="671"/>
        <v>197648</v>
      </c>
      <c r="J269" s="70"/>
      <c r="K269" s="70"/>
      <c r="L269" s="70"/>
      <c r="M269" s="70"/>
      <c r="N269" s="70">
        <v>77404</v>
      </c>
      <c r="O269" s="70">
        <f>69926+50318</f>
        <v>120244</v>
      </c>
      <c r="P269" s="69">
        <f t="shared" si="672"/>
        <v>1933</v>
      </c>
      <c r="Q269" s="70"/>
      <c r="R269" s="70">
        <v>1933</v>
      </c>
      <c r="S269" s="70">
        <v>15402</v>
      </c>
      <c r="T269" s="70">
        <f>28195+663</f>
        <v>28858</v>
      </c>
      <c r="U269" s="69">
        <f t="shared" si="758"/>
        <v>65131</v>
      </c>
      <c r="V269" s="70">
        <v>6431</v>
      </c>
      <c r="W269" s="70">
        <f>27677+4529</f>
        <v>32206</v>
      </c>
      <c r="X269" s="70">
        <v>19141</v>
      </c>
      <c r="Y269" s="70">
        <v>3980</v>
      </c>
      <c r="Z269" s="70">
        <v>3373</v>
      </c>
      <c r="AA269" s="70"/>
      <c r="AB269" s="70"/>
      <c r="AC269" s="70"/>
      <c r="AD269" s="69">
        <f t="shared" si="759"/>
        <v>91961</v>
      </c>
      <c r="AE269" s="71"/>
      <c r="AF269" s="71"/>
      <c r="AG269" s="70">
        <v>9936</v>
      </c>
      <c r="AH269" s="70">
        <v>6151</v>
      </c>
      <c r="AI269" s="70"/>
      <c r="AJ269" s="70">
        <v>4985</v>
      </c>
      <c r="AK269" s="70"/>
      <c r="AL269" s="70"/>
      <c r="AM269" s="70"/>
      <c r="AN269" s="70"/>
      <c r="AO269" s="70"/>
      <c r="AP269" s="70"/>
      <c r="AQ269" s="70"/>
      <c r="AR269" s="70"/>
      <c r="AS269" s="70"/>
      <c r="AT269" s="70"/>
      <c r="AU269" s="70"/>
      <c r="AV269" s="70"/>
      <c r="AW269" s="70"/>
      <c r="AX269" s="70"/>
      <c r="AY269" s="70"/>
      <c r="AZ269" s="70">
        <f>50889+20000</f>
        <v>70889</v>
      </c>
      <c r="BA269" s="69">
        <f t="shared" si="760"/>
        <v>0</v>
      </c>
      <c r="BB269" s="69">
        <f t="shared" si="761"/>
        <v>0</v>
      </c>
      <c r="BC269" s="69">
        <v>0</v>
      </c>
      <c r="BD269" s="69">
        <v>0</v>
      </c>
      <c r="BE269" s="69">
        <v>0</v>
      </c>
      <c r="BF269" s="69">
        <f t="shared" si="762"/>
        <v>0</v>
      </c>
      <c r="BG269" s="69">
        <v>0</v>
      </c>
      <c r="BH269" s="69">
        <v>0</v>
      </c>
      <c r="BI269" s="69">
        <v>0</v>
      </c>
      <c r="BJ269" s="69">
        <v>0</v>
      </c>
      <c r="BK269" s="69">
        <f t="shared" si="674"/>
        <v>0</v>
      </c>
      <c r="BL269" s="69">
        <v>0</v>
      </c>
      <c r="BM269" s="69">
        <v>0</v>
      </c>
      <c r="BN269" s="69">
        <f t="shared" si="763"/>
        <v>0</v>
      </c>
      <c r="BO269" s="69">
        <v>0</v>
      </c>
      <c r="BP269" s="69">
        <v>0</v>
      </c>
      <c r="BQ269" s="69">
        <v>0</v>
      </c>
      <c r="BR269" s="69">
        <v>0</v>
      </c>
      <c r="BS269" s="69">
        <v>0</v>
      </c>
      <c r="BT269" s="69">
        <v>0</v>
      </c>
      <c r="BU269" s="69">
        <v>0</v>
      </c>
      <c r="BV269" s="69">
        <v>0</v>
      </c>
      <c r="BW269" s="69">
        <v>0</v>
      </c>
      <c r="BX269" s="69">
        <v>0</v>
      </c>
      <c r="BY269" s="69">
        <v>0</v>
      </c>
      <c r="BZ269" s="69">
        <f t="shared" si="764"/>
        <v>500984</v>
      </c>
      <c r="CA269" s="69">
        <f t="shared" si="765"/>
        <v>500984</v>
      </c>
      <c r="CB269" s="69">
        <f t="shared" si="675"/>
        <v>161015</v>
      </c>
      <c r="CC269" s="71"/>
      <c r="CD269" s="70">
        <f>61015+100000</f>
        <v>161015</v>
      </c>
      <c r="CE269" s="69">
        <f t="shared" si="766"/>
        <v>0</v>
      </c>
      <c r="CF269" s="69">
        <v>0</v>
      </c>
      <c r="CG269" s="69">
        <v>0</v>
      </c>
      <c r="CH269" s="69">
        <v>0</v>
      </c>
      <c r="CI269" s="69">
        <v>0</v>
      </c>
      <c r="CJ269" s="69">
        <v>0</v>
      </c>
      <c r="CK269" s="69">
        <f t="shared" si="767"/>
        <v>339969</v>
      </c>
      <c r="CL269" s="70">
        <v>0</v>
      </c>
      <c r="CM269" s="70">
        <v>339969</v>
      </c>
      <c r="CN269" s="69">
        <v>0</v>
      </c>
      <c r="CO269" s="69">
        <v>0</v>
      </c>
      <c r="CP269" s="69">
        <v>0</v>
      </c>
      <c r="CQ269" s="69"/>
      <c r="CR269" s="69"/>
      <c r="CS269" s="69">
        <v>0</v>
      </c>
      <c r="CT269" s="69"/>
      <c r="CU269" s="69"/>
      <c r="CV269" s="69"/>
      <c r="CW269" s="69">
        <f t="shared" si="676"/>
        <v>0</v>
      </c>
      <c r="CX269" s="69">
        <f t="shared" si="677"/>
        <v>0</v>
      </c>
      <c r="CY269" s="69">
        <v>0</v>
      </c>
      <c r="CZ269" s="72">
        <v>0</v>
      </c>
    </row>
    <row r="270" spans="1:105" s="58" customFormat="1" ht="15.75" x14ac:dyDescent="0.25">
      <c r="A270" s="79" t="s">
        <v>323</v>
      </c>
      <c r="B270" s="16" t="s">
        <v>1</v>
      </c>
      <c r="C270" s="17" t="s">
        <v>324</v>
      </c>
      <c r="D270" s="18">
        <f t="shared" ref="D270:AO270" si="776">SUM(D271:D285)</f>
        <v>109357371</v>
      </c>
      <c r="E270" s="18">
        <f t="shared" si="776"/>
        <v>2147876</v>
      </c>
      <c r="F270" s="18">
        <f t="shared" si="776"/>
        <v>2147876</v>
      </c>
      <c r="G270" s="18">
        <f t="shared" si="776"/>
        <v>0</v>
      </c>
      <c r="H270" s="18">
        <f t="shared" si="776"/>
        <v>0</v>
      </c>
      <c r="I270" s="18">
        <f t="shared" si="776"/>
        <v>0</v>
      </c>
      <c r="J270" s="18">
        <f t="shared" si="776"/>
        <v>0</v>
      </c>
      <c r="K270" s="18">
        <f t="shared" si="776"/>
        <v>0</v>
      </c>
      <c r="L270" s="18">
        <f t="shared" si="776"/>
        <v>0</v>
      </c>
      <c r="M270" s="18">
        <f t="shared" si="776"/>
        <v>0</v>
      </c>
      <c r="N270" s="18">
        <f t="shared" si="776"/>
        <v>0</v>
      </c>
      <c r="O270" s="18">
        <f t="shared" si="776"/>
        <v>0</v>
      </c>
      <c r="P270" s="18">
        <f t="shared" si="776"/>
        <v>0</v>
      </c>
      <c r="Q270" s="18">
        <f t="shared" si="776"/>
        <v>0</v>
      </c>
      <c r="R270" s="18">
        <f t="shared" si="776"/>
        <v>0</v>
      </c>
      <c r="S270" s="18">
        <f t="shared" si="776"/>
        <v>0</v>
      </c>
      <c r="T270" s="18">
        <f t="shared" si="776"/>
        <v>0</v>
      </c>
      <c r="U270" s="18">
        <f t="shared" si="776"/>
        <v>0</v>
      </c>
      <c r="V270" s="18">
        <f t="shared" si="776"/>
        <v>0</v>
      </c>
      <c r="W270" s="18">
        <f t="shared" si="776"/>
        <v>0</v>
      </c>
      <c r="X270" s="18">
        <f t="shared" si="776"/>
        <v>0</v>
      </c>
      <c r="Y270" s="18">
        <f t="shared" si="776"/>
        <v>0</v>
      </c>
      <c r="Z270" s="18">
        <f t="shared" si="776"/>
        <v>0</v>
      </c>
      <c r="AA270" s="18">
        <f t="shared" si="776"/>
        <v>0</v>
      </c>
      <c r="AB270" s="18">
        <f t="shared" si="776"/>
        <v>0</v>
      </c>
      <c r="AC270" s="18">
        <f t="shared" si="776"/>
        <v>0</v>
      </c>
      <c r="AD270" s="18">
        <f t="shared" si="776"/>
        <v>2147876</v>
      </c>
      <c r="AE270" s="18">
        <f t="shared" si="776"/>
        <v>0</v>
      </c>
      <c r="AF270" s="18">
        <f t="shared" si="776"/>
        <v>0</v>
      </c>
      <c r="AG270" s="18">
        <f t="shared" si="776"/>
        <v>0</v>
      </c>
      <c r="AH270" s="18">
        <f t="shared" si="776"/>
        <v>0</v>
      </c>
      <c r="AI270" s="18">
        <f t="shared" si="776"/>
        <v>0</v>
      </c>
      <c r="AJ270" s="18">
        <f t="shared" si="776"/>
        <v>0</v>
      </c>
      <c r="AK270" s="18">
        <f t="shared" si="776"/>
        <v>0</v>
      </c>
      <c r="AL270" s="18">
        <f t="shared" si="776"/>
        <v>0</v>
      </c>
      <c r="AM270" s="18">
        <f t="shared" si="776"/>
        <v>0</v>
      </c>
      <c r="AN270" s="18">
        <f t="shared" si="776"/>
        <v>0</v>
      </c>
      <c r="AO270" s="18">
        <f t="shared" si="776"/>
        <v>0</v>
      </c>
      <c r="AP270" s="18"/>
      <c r="AQ270" s="18">
        <f t="shared" ref="AQ270:AX270" si="777">SUM(AQ271:AQ285)</f>
        <v>0</v>
      </c>
      <c r="AR270" s="18">
        <f t="shared" si="777"/>
        <v>0</v>
      </c>
      <c r="AS270" s="18">
        <f t="shared" si="777"/>
        <v>0</v>
      </c>
      <c r="AT270" s="18">
        <f t="shared" si="777"/>
        <v>0</v>
      </c>
      <c r="AU270" s="18">
        <f t="shared" si="777"/>
        <v>0</v>
      </c>
      <c r="AV270" s="18">
        <f t="shared" si="777"/>
        <v>0</v>
      </c>
      <c r="AW270" s="18">
        <f t="shared" si="777"/>
        <v>0</v>
      </c>
      <c r="AX270" s="18">
        <f t="shared" si="777"/>
        <v>0</v>
      </c>
      <c r="AY270" s="18"/>
      <c r="AZ270" s="18">
        <f t="shared" ref="AZ270:CN270" si="778">SUM(AZ271:AZ285)</f>
        <v>2147876</v>
      </c>
      <c r="BA270" s="18">
        <f t="shared" si="778"/>
        <v>0</v>
      </c>
      <c r="BB270" s="18">
        <f t="shared" si="778"/>
        <v>0</v>
      </c>
      <c r="BC270" s="18">
        <f t="shared" si="778"/>
        <v>0</v>
      </c>
      <c r="BD270" s="18">
        <f t="shared" si="778"/>
        <v>0</v>
      </c>
      <c r="BE270" s="18">
        <f t="shared" si="778"/>
        <v>0</v>
      </c>
      <c r="BF270" s="18">
        <f t="shared" si="778"/>
        <v>0</v>
      </c>
      <c r="BG270" s="18">
        <f t="shared" si="778"/>
        <v>0</v>
      </c>
      <c r="BH270" s="18">
        <f t="shared" si="778"/>
        <v>0</v>
      </c>
      <c r="BI270" s="18">
        <f t="shared" si="778"/>
        <v>0</v>
      </c>
      <c r="BJ270" s="18">
        <f t="shared" si="778"/>
        <v>0</v>
      </c>
      <c r="BK270" s="18">
        <f t="shared" si="778"/>
        <v>0</v>
      </c>
      <c r="BL270" s="18">
        <f t="shared" si="778"/>
        <v>0</v>
      </c>
      <c r="BM270" s="18">
        <f t="shared" si="778"/>
        <v>0</v>
      </c>
      <c r="BN270" s="18">
        <f t="shared" si="778"/>
        <v>0</v>
      </c>
      <c r="BO270" s="18">
        <f t="shared" si="778"/>
        <v>0</v>
      </c>
      <c r="BP270" s="18">
        <f t="shared" si="778"/>
        <v>0</v>
      </c>
      <c r="BQ270" s="18">
        <f t="shared" si="778"/>
        <v>0</v>
      </c>
      <c r="BR270" s="18">
        <f t="shared" si="778"/>
        <v>0</v>
      </c>
      <c r="BS270" s="18">
        <f t="shared" si="778"/>
        <v>0</v>
      </c>
      <c r="BT270" s="18">
        <f t="shared" si="778"/>
        <v>0</v>
      </c>
      <c r="BU270" s="18">
        <f t="shared" si="778"/>
        <v>0</v>
      </c>
      <c r="BV270" s="18">
        <f t="shared" si="778"/>
        <v>0</v>
      </c>
      <c r="BW270" s="18">
        <f t="shared" si="778"/>
        <v>0</v>
      </c>
      <c r="BX270" s="18">
        <f t="shared" si="778"/>
        <v>0</v>
      </c>
      <c r="BY270" s="18">
        <f t="shared" si="778"/>
        <v>0</v>
      </c>
      <c r="BZ270" s="18">
        <f t="shared" si="778"/>
        <v>107209495</v>
      </c>
      <c r="CA270" s="18">
        <f t="shared" si="778"/>
        <v>0</v>
      </c>
      <c r="CB270" s="18">
        <f t="shared" si="778"/>
        <v>0</v>
      </c>
      <c r="CC270" s="18">
        <f t="shared" si="778"/>
        <v>0</v>
      </c>
      <c r="CD270" s="18">
        <f t="shared" si="778"/>
        <v>0</v>
      </c>
      <c r="CE270" s="18">
        <f t="shared" si="778"/>
        <v>0</v>
      </c>
      <c r="CF270" s="18">
        <f t="shared" si="778"/>
        <v>0</v>
      </c>
      <c r="CG270" s="18">
        <f t="shared" si="778"/>
        <v>0</v>
      </c>
      <c r="CH270" s="18">
        <f t="shared" si="778"/>
        <v>0</v>
      </c>
      <c r="CI270" s="18">
        <f t="shared" si="778"/>
        <v>0</v>
      </c>
      <c r="CJ270" s="18">
        <f t="shared" si="778"/>
        <v>0</v>
      </c>
      <c r="CK270" s="18">
        <f t="shared" si="778"/>
        <v>0</v>
      </c>
      <c r="CL270" s="18">
        <f t="shared" si="778"/>
        <v>0</v>
      </c>
      <c r="CM270" s="18">
        <f t="shared" si="778"/>
        <v>0</v>
      </c>
      <c r="CN270" s="18">
        <f t="shared" si="778"/>
        <v>0</v>
      </c>
      <c r="CO270" s="18"/>
      <c r="CP270" s="18"/>
      <c r="CQ270" s="18"/>
      <c r="CR270" s="18"/>
      <c r="CS270" s="38">
        <f>SUM(CS271:CS285)</f>
        <v>107209495</v>
      </c>
      <c r="CT270" s="38">
        <f t="shared" ref="CT270:CV270" si="779">SUM(CT271:CT285)</f>
        <v>0</v>
      </c>
      <c r="CU270" s="38">
        <f t="shared" si="779"/>
        <v>0</v>
      </c>
      <c r="CV270" s="38">
        <f t="shared" si="779"/>
        <v>0</v>
      </c>
      <c r="CW270" s="18">
        <f>SUM(CW271:CW285)</f>
        <v>0</v>
      </c>
      <c r="CX270" s="18">
        <f>SUM(CX271:CX285)</f>
        <v>0</v>
      </c>
      <c r="CY270" s="18">
        <f>SUM(CY271:CY285)</f>
        <v>0</v>
      </c>
      <c r="CZ270" s="46">
        <f>SUM(CZ271:CZ285)</f>
        <v>0</v>
      </c>
      <c r="DA270" s="57"/>
    </row>
    <row r="271" spans="1:105" ht="15.75" x14ac:dyDescent="0.25">
      <c r="A271" s="80" t="s">
        <v>1</v>
      </c>
      <c r="B271" s="21" t="s">
        <v>80</v>
      </c>
      <c r="C271" s="22" t="s">
        <v>527</v>
      </c>
      <c r="D271" s="18">
        <f t="shared" ref="D271:D285" si="780">SUM(E271+BZ271+CW271)</f>
        <v>815000</v>
      </c>
      <c r="E271" s="19">
        <f t="shared" ref="E271:E285" si="781">SUM(F271+BA271)</f>
        <v>815000</v>
      </c>
      <c r="F271" s="19">
        <f t="shared" ref="F271:F285" si="782">SUM(G271+H271+I271+P271+S271+T271+U271+AD271)</f>
        <v>815000</v>
      </c>
      <c r="G271" s="19">
        <v>0</v>
      </c>
      <c r="H271" s="19">
        <v>0</v>
      </c>
      <c r="I271" s="19">
        <f>SUM(J271:O271)</f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v>0</v>
      </c>
      <c r="P271" s="19">
        <f>SUM(Q271:R271)</f>
        <v>0</v>
      </c>
      <c r="Q271" s="19">
        <v>0</v>
      </c>
      <c r="R271" s="19">
        <v>0</v>
      </c>
      <c r="S271" s="19">
        <v>0</v>
      </c>
      <c r="T271" s="19">
        <v>0</v>
      </c>
      <c r="U271" s="19">
        <f t="shared" ref="U271" si="783">SUM(V271:AC271)</f>
        <v>0</v>
      </c>
      <c r="V271" s="19">
        <v>0</v>
      </c>
      <c r="W271" s="19">
        <v>0</v>
      </c>
      <c r="X271" s="19">
        <v>0</v>
      </c>
      <c r="Y271" s="19">
        <v>0</v>
      </c>
      <c r="Z271" s="19">
        <v>0</v>
      </c>
      <c r="AA271" s="19">
        <v>0</v>
      </c>
      <c r="AB271" s="19">
        <v>0</v>
      </c>
      <c r="AC271" s="19">
        <v>0</v>
      </c>
      <c r="AD271" s="19">
        <f t="shared" ref="AD271:AD276" si="784">SUM(AE271:AZ271)</f>
        <v>815000</v>
      </c>
      <c r="AE271" s="19">
        <v>0</v>
      </c>
      <c r="AF271" s="19">
        <v>0</v>
      </c>
      <c r="AG271" s="19">
        <v>0</v>
      </c>
      <c r="AH271" s="19">
        <v>0</v>
      </c>
      <c r="AI271" s="19">
        <v>0</v>
      </c>
      <c r="AJ271" s="19">
        <v>0</v>
      </c>
      <c r="AK271" s="19">
        <v>0</v>
      </c>
      <c r="AL271" s="19">
        <v>0</v>
      </c>
      <c r="AM271" s="19">
        <v>0</v>
      </c>
      <c r="AN271" s="19">
        <v>0</v>
      </c>
      <c r="AO271" s="19">
        <v>0</v>
      </c>
      <c r="AP271" s="19"/>
      <c r="AQ271" s="19">
        <v>0</v>
      </c>
      <c r="AR271" s="19">
        <v>0</v>
      </c>
      <c r="AS271" s="19">
        <v>0</v>
      </c>
      <c r="AT271" s="19">
        <v>0</v>
      </c>
      <c r="AU271" s="19">
        <v>0</v>
      </c>
      <c r="AV271" s="19">
        <v>0</v>
      </c>
      <c r="AW271" s="19">
        <v>0</v>
      </c>
      <c r="AX271" s="19">
        <v>0</v>
      </c>
      <c r="AY271" s="19">
        <v>0</v>
      </c>
      <c r="AZ271" s="23">
        <f>205000+610000</f>
        <v>815000</v>
      </c>
      <c r="BA271" s="19">
        <f t="shared" ref="BA271:BA276" si="785">SUM(BB271+BF271+BI271+BK271+BN271)</f>
        <v>0</v>
      </c>
      <c r="BB271" s="19">
        <f t="shared" ref="BB271" si="786">SUM(BC271:BE271)</f>
        <v>0</v>
      </c>
      <c r="BC271" s="19">
        <v>0</v>
      </c>
      <c r="BD271" s="19">
        <v>0</v>
      </c>
      <c r="BE271" s="19">
        <v>0</v>
      </c>
      <c r="BF271" s="19">
        <f t="shared" ref="BF271" si="787">SUM(BH271:BH271)</f>
        <v>0</v>
      </c>
      <c r="BG271" s="19">
        <v>0</v>
      </c>
      <c r="BH271" s="19">
        <v>0</v>
      </c>
      <c r="BI271" s="19">
        <v>0</v>
      </c>
      <c r="BJ271" s="19">
        <v>0</v>
      </c>
      <c r="BK271" s="19">
        <f>SUM(BL271)</f>
        <v>0</v>
      </c>
      <c r="BL271" s="19">
        <v>0</v>
      </c>
      <c r="BM271" s="19">
        <v>0</v>
      </c>
      <c r="BN271" s="19">
        <f t="shared" ref="BN271:BN285" si="788">SUM(BO271:BY271)</f>
        <v>0</v>
      </c>
      <c r="BO271" s="19">
        <v>0</v>
      </c>
      <c r="BP271" s="19">
        <v>0</v>
      </c>
      <c r="BQ271" s="19">
        <v>0</v>
      </c>
      <c r="BR271" s="19">
        <v>0</v>
      </c>
      <c r="BS271" s="19">
        <v>0</v>
      </c>
      <c r="BT271" s="19">
        <v>0</v>
      </c>
      <c r="BU271" s="19">
        <v>0</v>
      </c>
      <c r="BV271" s="19">
        <v>0</v>
      </c>
      <c r="BW271" s="19">
        <v>0</v>
      </c>
      <c r="BX271" s="19">
        <v>0</v>
      </c>
      <c r="BY271" s="19">
        <v>0</v>
      </c>
      <c r="BZ271" s="19">
        <f t="shared" ref="BZ271:BZ276" si="789">SUM(CA271+CS271)</f>
        <v>0</v>
      </c>
      <c r="CA271" s="19">
        <f t="shared" ref="CA271:CA276" si="790">SUM(CB271+CE271+CK271)</f>
        <v>0</v>
      </c>
      <c r="CB271" s="19">
        <f>SUM(CC271:CD271)</f>
        <v>0</v>
      </c>
      <c r="CC271" s="19">
        <v>0</v>
      </c>
      <c r="CD271" s="19">
        <v>0</v>
      </c>
      <c r="CE271" s="19">
        <f t="shared" ref="CE271:CE285" si="791">SUM(CF271:CJ271)</f>
        <v>0</v>
      </c>
      <c r="CF271" s="19">
        <v>0</v>
      </c>
      <c r="CG271" s="19">
        <v>0</v>
      </c>
      <c r="CH271" s="19">
        <v>0</v>
      </c>
      <c r="CI271" s="19">
        <v>0</v>
      </c>
      <c r="CJ271" s="19">
        <v>0</v>
      </c>
      <c r="CK271" s="19">
        <f t="shared" ref="CK271" si="792">SUM(CL271:CP271)</f>
        <v>0</v>
      </c>
      <c r="CL271" s="19">
        <v>0</v>
      </c>
      <c r="CM271" s="19">
        <v>0</v>
      </c>
      <c r="CN271" s="19">
        <v>0</v>
      </c>
      <c r="CO271" s="19">
        <v>0</v>
      </c>
      <c r="CP271" s="19">
        <v>0</v>
      </c>
      <c r="CQ271" s="19"/>
      <c r="CR271" s="19"/>
      <c r="CS271" s="39">
        <v>0</v>
      </c>
      <c r="CT271" s="39"/>
      <c r="CU271" s="39"/>
      <c r="CV271" s="39"/>
      <c r="CW271" s="19">
        <f>SUM(CX271)</f>
        <v>0</v>
      </c>
      <c r="CX271" s="19">
        <f>SUM(CY271:CZ271)</f>
        <v>0</v>
      </c>
      <c r="CY271" s="19">
        <v>0</v>
      </c>
      <c r="CZ271" s="20">
        <v>0</v>
      </c>
    </row>
    <row r="272" spans="1:105" ht="31.5" x14ac:dyDescent="0.25">
      <c r="A272" s="80" t="s">
        <v>1</v>
      </c>
      <c r="B272" s="21" t="s">
        <v>80</v>
      </c>
      <c r="C272" s="22" t="s">
        <v>628</v>
      </c>
      <c r="D272" s="18">
        <f t="shared" si="780"/>
        <v>7353388</v>
      </c>
      <c r="E272" s="19">
        <f t="shared" si="781"/>
        <v>0</v>
      </c>
      <c r="F272" s="19">
        <f t="shared" si="782"/>
        <v>0</v>
      </c>
      <c r="G272" s="19">
        <v>0</v>
      </c>
      <c r="H272" s="19">
        <v>0</v>
      </c>
      <c r="I272" s="19">
        <f>SUM(J272:O272)</f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f>SUM(Q272:R272)</f>
        <v>0</v>
      </c>
      <c r="Q272" s="19">
        <v>0</v>
      </c>
      <c r="R272" s="19">
        <v>0</v>
      </c>
      <c r="S272" s="19">
        <v>0</v>
      </c>
      <c r="T272" s="19">
        <v>0</v>
      </c>
      <c r="U272" s="19">
        <f t="shared" ref="U272" si="793">SUM(V272:AC272)</f>
        <v>0</v>
      </c>
      <c r="V272" s="19">
        <v>0</v>
      </c>
      <c r="W272" s="19">
        <v>0</v>
      </c>
      <c r="X272" s="19">
        <v>0</v>
      </c>
      <c r="Y272" s="19">
        <v>0</v>
      </c>
      <c r="Z272" s="19">
        <v>0</v>
      </c>
      <c r="AA272" s="19">
        <v>0</v>
      </c>
      <c r="AB272" s="19">
        <v>0</v>
      </c>
      <c r="AC272" s="19">
        <v>0</v>
      </c>
      <c r="AD272" s="19">
        <f t="shared" si="784"/>
        <v>0</v>
      </c>
      <c r="AE272" s="19">
        <v>0</v>
      </c>
      <c r="AF272" s="19">
        <v>0</v>
      </c>
      <c r="AG272" s="19">
        <v>0</v>
      </c>
      <c r="AH272" s="19">
        <v>0</v>
      </c>
      <c r="AI272" s="19">
        <v>0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/>
      <c r="AQ272" s="19">
        <v>0</v>
      </c>
      <c r="AR272" s="19">
        <v>0</v>
      </c>
      <c r="AS272" s="19">
        <v>0</v>
      </c>
      <c r="AT272" s="19">
        <v>0</v>
      </c>
      <c r="AU272" s="19">
        <v>0</v>
      </c>
      <c r="AV272" s="19">
        <v>0</v>
      </c>
      <c r="AW272" s="19">
        <v>0</v>
      </c>
      <c r="AX272" s="19">
        <v>0</v>
      </c>
      <c r="AY272" s="19">
        <v>0</v>
      </c>
      <c r="AZ272" s="23"/>
      <c r="BA272" s="19">
        <f t="shared" si="785"/>
        <v>0</v>
      </c>
      <c r="BB272" s="19">
        <f t="shared" ref="BB272" si="794">SUM(BC272:BE272)</f>
        <v>0</v>
      </c>
      <c r="BC272" s="19">
        <v>0</v>
      </c>
      <c r="BD272" s="19">
        <v>0</v>
      </c>
      <c r="BE272" s="19">
        <v>0</v>
      </c>
      <c r="BF272" s="19">
        <f t="shared" ref="BF272" si="795">SUM(BH272:BH272)</f>
        <v>0</v>
      </c>
      <c r="BG272" s="19">
        <v>0</v>
      </c>
      <c r="BH272" s="19">
        <v>0</v>
      </c>
      <c r="BI272" s="19">
        <v>0</v>
      </c>
      <c r="BJ272" s="19">
        <v>0</v>
      </c>
      <c r="BK272" s="19">
        <f>SUM(BL272)</f>
        <v>0</v>
      </c>
      <c r="BL272" s="19">
        <v>0</v>
      </c>
      <c r="BM272" s="19">
        <v>0</v>
      </c>
      <c r="BN272" s="19">
        <f t="shared" ref="BN272" si="796">SUM(BO272:BY272)</f>
        <v>0</v>
      </c>
      <c r="BO272" s="19">
        <v>0</v>
      </c>
      <c r="BP272" s="19">
        <v>0</v>
      </c>
      <c r="BQ272" s="19">
        <v>0</v>
      </c>
      <c r="BR272" s="19">
        <v>0</v>
      </c>
      <c r="BS272" s="19">
        <v>0</v>
      </c>
      <c r="BT272" s="19">
        <v>0</v>
      </c>
      <c r="BU272" s="19">
        <v>0</v>
      </c>
      <c r="BV272" s="19">
        <v>0</v>
      </c>
      <c r="BW272" s="19">
        <v>0</v>
      </c>
      <c r="BX272" s="19">
        <v>0</v>
      </c>
      <c r="BY272" s="19">
        <v>0</v>
      </c>
      <c r="BZ272" s="19">
        <f t="shared" si="789"/>
        <v>7353388</v>
      </c>
      <c r="CA272" s="19">
        <f t="shared" si="790"/>
        <v>0</v>
      </c>
      <c r="CB272" s="19">
        <f>SUM(CC272:CD272)</f>
        <v>0</v>
      </c>
      <c r="CC272" s="19">
        <v>0</v>
      </c>
      <c r="CD272" s="19">
        <v>0</v>
      </c>
      <c r="CE272" s="19">
        <f t="shared" ref="CE272" si="797">SUM(CF272:CJ272)</f>
        <v>0</v>
      </c>
      <c r="CF272" s="19">
        <v>0</v>
      </c>
      <c r="CG272" s="19">
        <v>0</v>
      </c>
      <c r="CH272" s="19">
        <v>0</v>
      </c>
      <c r="CI272" s="19">
        <v>0</v>
      </c>
      <c r="CJ272" s="19">
        <v>0</v>
      </c>
      <c r="CK272" s="19">
        <f t="shared" ref="CK272" si="798">SUM(CL272:CP272)</f>
        <v>0</v>
      </c>
      <c r="CL272" s="19">
        <v>0</v>
      </c>
      <c r="CM272" s="19">
        <v>0</v>
      </c>
      <c r="CN272" s="19">
        <v>0</v>
      </c>
      <c r="CO272" s="19">
        <v>0</v>
      </c>
      <c r="CP272" s="19">
        <v>0</v>
      </c>
      <c r="CQ272" s="19"/>
      <c r="CR272" s="19"/>
      <c r="CS272" s="39">
        <f>0+7353388</f>
        <v>7353388</v>
      </c>
      <c r="CT272" s="39"/>
      <c r="CU272" s="39"/>
      <c r="CV272" s="39"/>
      <c r="CW272" s="19">
        <f>SUM(CX272)</f>
        <v>0</v>
      </c>
      <c r="CX272" s="19">
        <f>SUM(CY272:CZ272)</f>
        <v>0</v>
      </c>
      <c r="CY272" s="19">
        <v>0</v>
      </c>
      <c r="CZ272" s="20">
        <v>0</v>
      </c>
    </row>
    <row r="273" spans="1:105" ht="18.75" customHeight="1" x14ac:dyDescent="0.25">
      <c r="A273" s="82" t="s">
        <v>1</v>
      </c>
      <c r="B273" s="36" t="s">
        <v>82</v>
      </c>
      <c r="C273" s="37" t="s">
        <v>593</v>
      </c>
      <c r="D273" s="38">
        <f t="shared" si="780"/>
        <v>19035884</v>
      </c>
      <c r="E273" s="39">
        <f t="shared" si="781"/>
        <v>0</v>
      </c>
      <c r="F273" s="39">
        <f t="shared" si="782"/>
        <v>0</v>
      </c>
      <c r="G273" s="39">
        <v>0</v>
      </c>
      <c r="H273" s="39">
        <v>0</v>
      </c>
      <c r="I273" s="39">
        <f t="shared" si="671"/>
        <v>0</v>
      </c>
      <c r="J273" s="39">
        <v>0</v>
      </c>
      <c r="K273" s="39">
        <v>0</v>
      </c>
      <c r="L273" s="39">
        <v>0</v>
      </c>
      <c r="M273" s="39">
        <v>0</v>
      </c>
      <c r="N273" s="39">
        <v>0</v>
      </c>
      <c r="O273" s="39">
        <v>0</v>
      </c>
      <c r="P273" s="39">
        <f t="shared" si="672"/>
        <v>0</v>
      </c>
      <c r="Q273" s="39">
        <v>0</v>
      </c>
      <c r="R273" s="39">
        <v>0</v>
      </c>
      <c r="S273" s="39">
        <v>0</v>
      </c>
      <c r="T273" s="39">
        <v>0</v>
      </c>
      <c r="U273" s="39">
        <f t="shared" ref="U273:U285" si="799">SUM(V273:AC273)</f>
        <v>0</v>
      </c>
      <c r="V273" s="39">
        <v>0</v>
      </c>
      <c r="W273" s="39">
        <v>0</v>
      </c>
      <c r="X273" s="39">
        <v>0</v>
      </c>
      <c r="Y273" s="39">
        <v>0</v>
      </c>
      <c r="Z273" s="39">
        <v>0</v>
      </c>
      <c r="AA273" s="39">
        <v>0</v>
      </c>
      <c r="AB273" s="39">
        <v>0</v>
      </c>
      <c r="AC273" s="39">
        <v>0</v>
      </c>
      <c r="AD273" s="39">
        <f t="shared" si="784"/>
        <v>0</v>
      </c>
      <c r="AE273" s="39">
        <v>0</v>
      </c>
      <c r="AF273" s="39">
        <v>0</v>
      </c>
      <c r="AG273" s="39">
        <v>0</v>
      </c>
      <c r="AH273" s="39">
        <v>0</v>
      </c>
      <c r="AI273" s="39">
        <v>0</v>
      </c>
      <c r="AJ273" s="39">
        <v>0</v>
      </c>
      <c r="AK273" s="39">
        <v>0</v>
      </c>
      <c r="AL273" s="39">
        <v>0</v>
      </c>
      <c r="AM273" s="39">
        <v>0</v>
      </c>
      <c r="AN273" s="39">
        <v>0</v>
      </c>
      <c r="AO273" s="39">
        <v>0</v>
      </c>
      <c r="AP273" s="39"/>
      <c r="AQ273" s="39">
        <v>0</v>
      </c>
      <c r="AR273" s="39">
        <v>0</v>
      </c>
      <c r="AS273" s="39">
        <v>0</v>
      </c>
      <c r="AT273" s="39">
        <v>0</v>
      </c>
      <c r="AU273" s="39">
        <v>0</v>
      </c>
      <c r="AV273" s="39">
        <v>0</v>
      </c>
      <c r="AW273" s="39">
        <v>0</v>
      </c>
      <c r="AX273" s="39">
        <v>0</v>
      </c>
      <c r="AY273" s="39">
        <v>0</v>
      </c>
      <c r="AZ273" s="39">
        <v>0</v>
      </c>
      <c r="BA273" s="39">
        <f t="shared" si="785"/>
        <v>0</v>
      </c>
      <c r="BB273" s="39">
        <f t="shared" ref="BB273:BB285" si="800">SUM(BC273:BE273)</f>
        <v>0</v>
      </c>
      <c r="BC273" s="39">
        <v>0</v>
      </c>
      <c r="BD273" s="39">
        <v>0</v>
      </c>
      <c r="BE273" s="39">
        <v>0</v>
      </c>
      <c r="BF273" s="39">
        <f>SUM(BH273:BH273)</f>
        <v>0</v>
      </c>
      <c r="BG273" s="39">
        <v>0</v>
      </c>
      <c r="BH273" s="39">
        <v>0</v>
      </c>
      <c r="BI273" s="39">
        <v>0</v>
      </c>
      <c r="BJ273" s="39">
        <v>0</v>
      </c>
      <c r="BK273" s="39">
        <f t="shared" si="674"/>
        <v>0</v>
      </c>
      <c r="BL273" s="39">
        <v>0</v>
      </c>
      <c r="BM273" s="39">
        <v>0</v>
      </c>
      <c r="BN273" s="39">
        <f t="shared" si="788"/>
        <v>0</v>
      </c>
      <c r="BO273" s="39">
        <v>0</v>
      </c>
      <c r="BP273" s="39">
        <v>0</v>
      </c>
      <c r="BQ273" s="39">
        <v>0</v>
      </c>
      <c r="BR273" s="39">
        <v>0</v>
      </c>
      <c r="BS273" s="39">
        <v>0</v>
      </c>
      <c r="BT273" s="39">
        <v>0</v>
      </c>
      <c r="BU273" s="39">
        <v>0</v>
      </c>
      <c r="BV273" s="39">
        <v>0</v>
      </c>
      <c r="BW273" s="39">
        <v>0</v>
      </c>
      <c r="BX273" s="39">
        <v>0</v>
      </c>
      <c r="BY273" s="39">
        <v>0</v>
      </c>
      <c r="BZ273" s="39">
        <f t="shared" si="789"/>
        <v>19035884</v>
      </c>
      <c r="CA273" s="39">
        <f t="shared" si="790"/>
        <v>0</v>
      </c>
      <c r="CB273" s="39">
        <f t="shared" si="675"/>
        <v>0</v>
      </c>
      <c r="CC273" s="39">
        <v>0</v>
      </c>
      <c r="CD273" s="39">
        <v>0</v>
      </c>
      <c r="CE273" s="19">
        <f t="shared" si="791"/>
        <v>0</v>
      </c>
      <c r="CF273" s="39">
        <v>0</v>
      </c>
      <c r="CG273" s="39">
        <v>0</v>
      </c>
      <c r="CH273" s="39">
        <v>0</v>
      </c>
      <c r="CI273" s="39">
        <v>0</v>
      </c>
      <c r="CJ273" s="39">
        <v>0</v>
      </c>
      <c r="CK273" s="39">
        <f t="shared" ref="CK273:CK285" si="801">SUM(CL273:CP273)</f>
        <v>0</v>
      </c>
      <c r="CL273" s="39">
        <v>0</v>
      </c>
      <c r="CM273" s="39">
        <v>0</v>
      </c>
      <c r="CN273" s="39">
        <v>0</v>
      </c>
      <c r="CO273" s="39">
        <v>0</v>
      </c>
      <c r="CP273" s="39">
        <v>0</v>
      </c>
      <c r="CQ273" s="39"/>
      <c r="CR273" s="39"/>
      <c r="CS273" s="35">
        <f>15291120+3744764</f>
        <v>19035884</v>
      </c>
      <c r="CT273" s="35"/>
      <c r="CU273" s="35"/>
      <c r="CV273" s="35"/>
      <c r="CW273" s="39">
        <f t="shared" si="676"/>
        <v>0</v>
      </c>
      <c r="CX273" s="39">
        <f t="shared" si="677"/>
        <v>0</v>
      </c>
      <c r="CY273" s="39">
        <v>0</v>
      </c>
      <c r="CZ273" s="41">
        <v>0</v>
      </c>
    </row>
    <row r="274" spans="1:105" s="55" customFormat="1" ht="31.5" x14ac:dyDescent="0.25">
      <c r="A274" s="82" t="s">
        <v>1</v>
      </c>
      <c r="B274" s="44" t="s">
        <v>82</v>
      </c>
      <c r="C274" s="45" t="s">
        <v>510</v>
      </c>
      <c r="D274" s="38">
        <f t="shared" si="780"/>
        <v>156000</v>
      </c>
      <c r="E274" s="39">
        <f t="shared" si="781"/>
        <v>0</v>
      </c>
      <c r="F274" s="39">
        <f t="shared" si="782"/>
        <v>0</v>
      </c>
      <c r="G274" s="39">
        <v>0</v>
      </c>
      <c r="H274" s="39">
        <v>0</v>
      </c>
      <c r="I274" s="39">
        <f>SUM(J274:O274)</f>
        <v>0</v>
      </c>
      <c r="J274" s="39">
        <v>0</v>
      </c>
      <c r="K274" s="39">
        <v>0</v>
      </c>
      <c r="L274" s="39">
        <v>0</v>
      </c>
      <c r="M274" s="39">
        <v>0</v>
      </c>
      <c r="N274" s="39">
        <v>0</v>
      </c>
      <c r="O274" s="39">
        <v>0</v>
      </c>
      <c r="P274" s="39">
        <f>SUM(Q274:R274)</f>
        <v>0</v>
      </c>
      <c r="Q274" s="39">
        <v>0</v>
      </c>
      <c r="R274" s="39">
        <v>0</v>
      </c>
      <c r="S274" s="39">
        <v>0</v>
      </c>
      <c r="T274" s="39">
        <v>0</v>
      </c>
      <c r="U274" s="39">
        <f t="shared" si="799"/>
        <v>0</v>
      </c>
      <c r="V274" s="39">
        <v>0</v>
      </c>
      <c r="W274" s="39">
        <v>0</v>
      </c>
      <c r="X274" s="39">
        <v>0</v>
      </c>
      <c r="Y274" s="39">
        <v>0</v>
      </c>
      <c r="Z274" s="39">
        <v>0</v>
      </c>
      <c r="AA274" s="39">
        <v>0</v>
      </c>
      <c r="AB274" s="39">
        <v>0</v>
      </c>
      <c r="AC274" s="39">
        <v>0</v>
      </c>
      <c r="AD274" s="39">
        <f t="shared" si="784"/>
        <v>0</v>
      </c>
      <c r="AE274" s="39"/>
      <c r="AF274" s="39"/>
      <c r="AG274" s="39">
        <v>0</v>
      </c>
      <c r="AH274" s="39">
        <v>0</v>
      </c>
      <c r="AI274" s="39">
        <v>0</v>
      </c>
      <c r="AJ274" s="39">
        <v>0</v>
      </c>
      <c r="AK274" s="39">
        <v>0</v>
      </c>
      <c r="AL274" s="39">
        <v>0</v>
      </c>
      <c r="AM274" s="39">
        <v>0</v>
      </c>
      <c r="AN274" s="39">
        <v>0</v>
      </c>
      <c r="AO274" s="39">
        <v>0</v>
      </c>
      <c r="AP274" s="39"/>
      <c r="AQ274" s="39">
        <v>0</v>
      </c>
      <c r="AR274" s="39">
        <v>0</v>
      </c>
      <c r="AS274" s="39">
        <v>0</v>
      </c>
      <c r="AT274" s="39">
        <v>0</v>
      </c>
      <c r="AU274" s="39">
        <v>0</v>
      </c>
      <c r="AV274" s="39">
        <v>0</v>
      </c>
      <c r="AW274" s="39">
        <v>0</v>
      </c>
      <c r="AX274" s="39">
        <v>0</v>
      </c>
      <c r="AY274" s="39">
        <v>0</v>
      </c>
      <c r="AZ274" s="39">
        <v>0</v>
      </c>
      <c r="BA274" s="39">
        <f t="shared" si="785"/>
        <v>0</v>
      </c>
      <c r="BB274" s="39">
        <f t="shared" si="800"/>
        <v>0</v>
      </c>
      <c r="BC274" s="39">
        <v>0</v>
      </c>
      <c r="BD274" s="39">
        <v>0</v>
      </c>
      <c r="BE274" s="39">
        <v>0</v>
      </c>
      <c r="BF274" s="39">
        <f>SUM(BH274:BH274)</f>
        <v>0</v>
      </c>
      <c r="BG274" s="39">
        <v>0</v>
      </c>
      <c r="BH274" s="39">
        <v>0</v>
      </c>
      <c r="BI274" s="39">
        <v>0</v>
      </c>
      <c r="BJ274" s="39">
        <v>0</v>
      </c>
      <c r="BK274" s="39">
        <f>SUM(BL274)</f>
        <v>0</v>
      </c>
      <c r="BL274" s="39">
        <v>0</v>
      </c>
      <c r="BM274" s="39">
        <v>0</v>
      </c>
      <c r="BN274" s="39">
        <f t="shared" si="788"/>
        <v>0</v>
      </c>
      <c r="BO274" s="39">
        <v>0</v>
      </c>
      <c r="BP274" s="39">
        <v>0</v>
      </c>
      <c r="BQ274" s="39">
        <v>0</v>
      </c>
      <c r="BR274" s="39">
        <v>0</v>
      </c>
      <c r="BS274" s="39">
        <v>0</v>
      </c>
      <c r="BT274" s="39">
        <v>0</v>
      </c>
      <c r="BU274" s="39">
        <v>0</v>
      </c>
      <c r="BV274" s="39">
        <v>0</v>
      </c>
      <c r="BW274" s="39">
        <v>0</v>
      </c>
      <c r="BX274" s="39">
        <v>0</v>
      </c>
      <c r="BY274" s="39">
        <v>0</v>
      </c>
      <c r="BZ274" s="39">
        <f t="shared" si="789"/>
        <v>156000</v>
      </c>
      <c r="CA274" s="39">
        <f t="shared" si="790"/>
        <v>0</v>
      </c>
      <c r="CB274" s="39">
        <f>SUM(CC274:CD274)</f>
        <v>0</v>
      </c>
      <c r="CC274" s="39">
        <v>0</v>
      </c>
      <c r="CD274" s="39">
        <v>0</v>
      </c>
      <c r="CE274" s="19">
        <f t="shared" si="791"/>
        <v>0</v>
      </c>
      <c r="CF274" s="39">
        <v>0</v>
      </c>
      <c r="CG274" s="39">
        <v>0</v>
      </c>
      <c r="CH274" s="39">
        <v>0</v>
      </c>
      <c r="CI274" s="39">
        <v>0</v>
      </c>
      <c r="CJ274" s="39">
        <v>0</v>
      </c>
      <c r="CK274" s="39">
        <f t="shared" si="801"/>
        <v>0</v>
      </c>
      <c r="CL274" s="39">
        <v>0</v>
      </c>
      <c r="CM274" s="39">
        <v>0</v>
      </c>
      <c r="CN274" s="39">
        <v>0</v>
      </c>
      <c r="CO274" s="39">
        <v>0</v>
      </c>
      <c r="CP274" s="39">
        <v>0</v>
      </c>
      <c r="CQ274" s="39"/>
      <c r="CR274" s="39"/>
      <c r="CS274" s="35">
        <v>156000</v>
      </c>
      <c r="CT274" s="35"/>
      <c r="CU274" s="35"/>
      <c r="CV274" s="35"/>
      <c r="CW274" s="39">
        <f>SUM(CX274)</f>
        <v>0</v>
      </c>
      <c r="CX274" s="39">
        <f>SUM(CY274:CZ274)</f>
        <v>0</v>
      </c>
      <c r="CY274" s="39">
        <v>0</v>
      </c>
      <c r="CZ274" s="41">
        <v>0</v>
      </c>
      <c r="DA274" s="52"/>
    </row>
    <row r="275" spans="1:105" ht="31.5" x14ac:dyDescent="0.25">
      <c r="A275" s="82"/>
      <c r="B275" s="42" t="s">
        <v>84</v>
      </c>
      <c r="C275" s="43" t="s">
        <v>509</v>
      </c>
      <c r="D275" s="38">
        <f t="shared" si="780"/>
        <v>2306844</v>
      </c>
      <c r="E275" s="39">
        <f t="shared" si="781"/>
        <v>0</v>
      </c>
      <c r="F275" s="39">
        <f t="shared" si="782"/>
        <v>0</v>
      </c>
      <c r="G275" s="39">
        <v>0</v>
      </c>
      <c r="H275" s="39">
        <v>0</v>
      </c>
      <c r="I275" s="39">
        <f t="shared" ref="I275" si="802">SUM(J275:O275)</f>
        <v>0</v>
      </c>
      <c r="J275" s="39">
        <v>0</v>
      </c>
      <c r="K275" s="39">
        <v>0</v>
      </c>
      <c r="L275" s="39">
        <v>0</v>
      </c>
      <c r="M275" s="39">
        <v>0</v>
      </c>
      <c r="N275" s="39">
        <v>0</v>
      </c>
      <c r="O275" s="39">
        <v>0</v>
      </c>
      <c r="P275" s="39">
        <f t="shared" ref="P275" si="803">SUM(Q275:R275)</f>
        <v>0</v>
      </c>
      <c r="Q275" s="39">
        <v>0</v>
      </c>
      <c r="R275" s="39">
        <v>0</v>
      </c>
      <c r="S275" s="39">
        <v>0</v>
      </c>
      <c r="T275" s="39">
        <v>0</v>
      </c>
      <c r="U275" s="39">
        <f>SUM(V275:AC275)</f>
        <v>0</v>
      </c>
      <c r="V275" s="39">
        <v>0</v>
      </c>
      <c r="W275" s="39">
        <v>0</v>
      </c>
      <c r="X275" s="39">
        <v>0</v>
      </c>
      <c r="Y275" s="39">
        <v>0</v>
      </c>
      <c r="Z275" s="39">
        <v>0</v>
      </c>
      <c r="AA275" s="39">
        <v>0</v>
      </c>
      <c r="AB275" s="39">
        <v>0</v>
      </c>
      <c r="AC275" s="39">
        <v>0</v>
      </c>
      <c r="AD275" s="39">
        <f t="shared" si="784"/>
        <v>0</v>
      </c>
      <c r="AE275" s="40"/>
      <c r="AF275" s="40"/>
      <c r="AG275" s="39">
        <v>0</v>
      </c>
      <c r="AH275" s="39">
        <v>0</v>
      </c>
      <c r="AI275" s="39">
        <v>0</v>
      </c>
      <c r="AJ275" s="39">
        <v>0</v>
      </c>
      <c r="AK275" s="39">
        <v>0</v>
      </c>
      <c r="AL275" s="39">
        <v>0</v>
      </c>
      <c r="AM275" s="39">
        <v>0</v>
      </c>
      <c r="AN275" s="39">
        <v>0</v>
      </c>
      <c r="AO275" s="39">
        <v>0</v>
      </c>
      <c r="AP275" s="39"/>
      <c r="AQ275" s="39">
        <v>0</v>
      </c>
      <c r="AR275" s="39">
        <v>0</v>
      </c>
      <c r="AS275" s="39">
        <v>0</v>
      </c>
      <c r="AT275" s="39">
        <v>0</v>
      </c>
      <c r="AU275" s="39">
        <v>0</v>
      </c>
      <c r="AV275" s="39">
        <v>0</v>
      </c>
      <c r="AW275" s="39">
        <v>0</v>
      </c>
      <c r="AX275" s="39">
        <v>0</v>
      </c>
      <c r="AY275" s="39">
        <v>0</v>
      </c>
      <c r="AZ275" s="39">
        <v>0</v>
      </c>
      <c r="BA275" s="39">
        <f t="shared" si="785"/>
        <v>0</v>
      </c>
      <c r="BB275" s="39">
        <f>SUM(BC275:BE275)</f>
        <v>0</v>
      </c>
      <c r="BC275" s="39">
        <v>0</v>
      </c>
      <c r="BD275" s="39">
        <v>0</v>
      </c>
      <c r="BE275" s="39">
        <v>0</v>
      </c>
      <c r="BF275" s="39">
        <f>SUM(BH275:BH275)</f>
        <v>0</v>
      </c>
      <c r="BG275" s="39">
        <v>0</v>
      </c>
      <c r="BH275" s="39">
        <v>0</v>
      </c>
      <c r="BI275" s="39">
        <v>0</v>
      </c>
      <c r="BJ275" s="39">
        <v>0</v>
      </c>
      <c r="BK275" s="39">
        <f t="shared" ref="BK275" si="804">SUM(BL275)</f>
        <v>0</v>
      </c>
      <c r="BL275" s="39">
        <v>0</v>
      </c>
      <c r="BM275" s="39">
        <v>0</v>
      </c>
      <c r="BN275" s="39">
        <f>SUM(BO275:BY275)</f>
        <v>0</v>
      </c>
      <c r="BO275" s="39">
        <v>0</v>
      </c>
      <c r="BP275" s="39">
        <v>0</v>
      </c>
      <c r="BQ275" s="39">
        <v>0</v>
      </c>
      <c r="BR275" s="39">
        <v>0</v>
      </c>
      <c r="BS275" s="39">
        <v>0</v>
      </c>
      <c r="BT275" s="39">
        <v>0</v>
      </c>
      <c r="BU275" s="39">
        <v>0</v>
      </c>
      <c r="BV275" s="39">
        <v>0</v>
      </c>
      <c r="BW275" s="39">
        <v>0</v>
      </c>
      <c r="BX275" s="39">
        <v>0</v>
      </c>
      <c r="BY275" s="39">
        <v>0</v>
      </c>
      <c r="BZ275" s="39">
        <f t="shared" si="789"/>
        <v>2306844</v>
      </c>
      <c r="CA275" s="39">
        <f t="shared" si="790"/>
        <v>0</v>
      </c>
      <c r="CB275" s="39">
        <f t="shared" ref="CB275" si="805">SUM(CC275:CD275)</f>
        <v>0</v>
      </c>
      <c r="CC275" s="39">
        <v>0</v>
      </c>
      <c r="CD275" s="39">
        <v>0</v>
      </c>
      <c r="CE275" s="19">
        <f>SUM(CF275:CJ275)</f>
        <v>0</v>
      </c>
      <c r="CF275" s="39">
        <v>0</v>
      </c>
      <c r="CG275" s="39">
        <v>0</v>
      </c>
      <c r="CH275" s="39">
        <v>0</v>
      </c>
      <c r="CI275" s="39">
        <v>0</v>
      </c>
      <c r="CJ275" s="39">
        <v>0</v>
      </c>
      <c r="CK275" s="39">
        <f>SUM(CL275:CP275)</f>
        <v>0</v>
      </c>
      <c r="CL275" s="39">
        <v>0</v>
      </c>
      <c r="CM275" s="39">
        <v>0</v>
      </c>
      <c r="CN275" s="39">
        <v>0</v>
      </c>
      <c r="CO275" s="39">
        <v>0</v>
      </c>
      <c r="CP275" s="39">
        <v>0</v>
      </c>
      <c r="CQ275" s="39"/>
      <c r="CR275" s="39"/>
      <c r="CS275" s="35">
        <v>2306844</v>
      </c>
      <c r="CT275" s="35"/>
      <c r="CU275" s="35"/>
      <c r="CV275" s="35"/>
      <c r="CW275" s="39">
        <f t="shared" ref="CW275" si="806">SUM(CX275)</f>
        <v>0</v>
      </c>
      <c r="CX275" s="39">
        <f t="shared" ref="CX275" si="807">SUM(CY275:CZ275)</f>
        <v>0</v>
      </c>
      <c r="CY275" s="39">
        <v>0</v>
      </c>
      <c r="CZ275" s="41">
        <v>0</v>
      </c>
    </row>
    <row r="276" spans="1:105" ht="31.5" x14ac:dyDescent="0.25">
      <c r="A276" s="82" t="s">
        <v>1</v>
      </c>
      <c r="B276" s="44" t="s">
        <v>84</v>
      </c>
      <c r="C276" s="45" t="s">
        <v>511</v>
      </c>
      <c r="D276" s="38">
        <f t="shared" si="780"/>
        <v>2872472</v>
      </c>
      <c r="E276" s="39">
        <f t="shared" si="781"/>
        <v>0</v>
      </c>
      <c r="F276" s="39">
        <f t="shared" si="782"/>
        <v>0</v>
      </c>
      <c r="G276" s="39">
        <v>0</v>
      </c>
      <c r="H276" s="39">
        <v>0</v>
      </c>
      <c r="I276" s="39">
        <f>SUM(J276:O276)</f>
        <v>0</v>
      </c>
      <c r="J276" s="39">
        <v>0</v>
      </c>
      <c r="K276" s="39">
        <v>0</v>
      </c>
      <c r="L276" s="39">
        <v>0</v>
      </c>
      <c r="M276" s="39">
        <v>0</v>
      </c>
      <c r="N276" s="39">
        <v>0</v>
      </c>
      <c r="O276" s="39">
        <v>0</v>
      </c>
      <c r="P276" s="39">
        <f>SUM(Q276:R276)</f>
        <v>0</v>
      </c>
      <c r="Q276" s="39">
        <v>0</v>
      </c>
      <c r="R276" s="39">
        <v>0</v>
      </c>
      <c r="S276" s="39">
        <v>0</v>
      </c>
      <c r="T276" s="39">
        <v>0</v>
      </c>
      <c r="U276" s="39">
        <f>SUM(V276:AC276)</f>
        <v>0</v>
      </c>
      <c r="V276" s="39">
        <v>0</v>
      </c>
      <c r="W276" s="39">
        <v>0</v>
      </c>
      <c r="X276" s="39">
        <v>0</v>
      </c>
      <c r="Y276" s="39">
        <v>0</v>
      </c>
      <c r="Z276" s="39">
        <v>0</v>
      </c>
      <c r="AA276" s="39">
        <v>0</v>
      </c>
      <c r="AB276" s="39">
        <v>0</v>
      </c>
      <c r="AC276" s="39">
        <v>0</v>
      </c>
      <c r="AD276" s="39">
        <f t="shared" si="784"/>
        <v>0</v>
      </c>
      <c r="AE276" s="39"/>
      <c r="AF276" s="39"/>
      <c r="AG276" s="39">
        <v>0</v>
      </c>
      <c r="AH276" s="39">
        <v>0</v>
      </c>
      <c r="AI276" s="39">
        <v>0</v>
      </c>
      <c r="AJ276" s="39">
        <v>0</v>
      </c>
      <c r="AK276" s="39">
        <v>0</v>
      </c>
      <c r="AL276" s="39">
        <v>0</v>
      </c>
      <c r="AM276" s="39">
        <v>0</v>
      </c>
      <c r="AN276" s="39">
        <v>0</v>
      </c>
      <c r="AO276" s="39">
        <v>0</v>
      </c>
      <c r="AP276" s="39"/>
      <c r="AQ276" s="39">
        <v>0</v>
      </c>
      <c r="AR276" s="39">
        <v>0</v>
      </c>
      <c r="AS276" s="39">
        <v>0</v>
      </c>
      <c r="AT276" s="39">
        <v>0</v>
      </c>
      <c r="AU276" s="39">
        <v>0</v>
      </c>
      <c r="AV276" s="39">
        <v>0</v>
      </c>
      <c r="AW276" s="39">
        <v>0</v>
      </c>
      <c r="AX276" s="39">
        <v>0</v>
      </c>
      <c r="AY276" s="39">
        <v>0</v>
      </c>
      <c r="AZ276" s="39">
        <v>0</v>
      </c>
      <c r="BA276" s="39">
        <f t="shared" si="785"/>
        <v>0</v>
      </c>
      <c r="BB276" s="39">
        <f>SUM(BC276:BE276)</f>
        <v>0</v>
      </c>
      <c r="BC276" s="39">
        <v>0</v>
      </c>
      <c r="BD276" s="39">
        <v>0</v>
      </c>
      <c r="BE276" s="39">
        <v>0</v>
      </c>
      <c r="BF276" s="39">
        <f>SUM(BH276:BH276)</f>
        <v>0</v>
      </c>
      <c r="BG276" s="39">
        <v>0</v>
      </c>
      <c r="BH276" s="39">
        <v>0</v>
      </c>
      <c r="BI276" s="39">
        <v>0</v>
      </c>
      <c r="BJ276" s="39">
        <v>0</v>
      </c>
      <c r="BK276" s="39">
        <f>SUM(BL276)</f>
        <v>0</v>
      </c>
      <c r="BL276" s="39">
        <v>0</v>
      </c>
      <c r="BM276" s="39">
        <v>0</v>
      </c>
      <c r="BN276" s="39">
        <f>SUM(BO276:BY276)</f>
        <v>0</v>
      </c>
      <c r="BO276" s="39">
        <v>0</v>
      </c>
      <c r="BP276" s="39">
        <v>0</v>
      </c>
      <c r="BQ276" s="39">
        <v>0</v>
      </c>
      <c r="BR276" s="39">
        <v>0</v>
      </c>
      <c r="BS276" s="39">
        <v>0</v>
      </c>
      <c r="BT276" s="39">
        <v>0</v>
      </c>
      <c r="BU276" s="39">
        <v>0</v>
      </c>
      <c r="BV276" s="39">
        <v>0</v>
      </c>
      <c r="BW276" s="39">
        <v>0</v>
      </c>
      <c r="BX276" s="39">
        <v>0</v>
      </c>
      <c r="BY276" s="39">
        <v>0</v>
      </c>
      <c r="BZ276" s="39">
        <f t="shared" si="789"/>
        <v>2872472</v>
      </c>
      <c r="CA276" s="39">
        <f t="shared" si="790"/>
        <v>0</v>
      </c>
      <c r="CB276" s="39">
        <f>SUM(CC276:CD276)</f>
        <v>0</v>
      </c>
      <c r="CC276" s="39">
        <v>0</v>
      </c>
      <c r="CD276" s="39">
        <v>0</v>
      </c>
      <c r="CE276" s="19">
        <f>SUM(CF276:CJ276)</f>
        <v>0</v>
      </c>
      <c r="CF276" s="39">
        <v>0</v>
      </c>
      <c r="CG276" s="39">
        <v>0</v>
      </c>
      <c r="CH276" s="39">
        <v>0</v>
      </c>
      <c r="CI276" s="39">
        <v>0</v>
      </c>
      <c r="CJ276" s="39">
        <v>0</v>
      </c>
      <c r="CK276" s="39">
        <f>SUM(CL276:CP276)</f>
        <v>0</v>
      </c>
      <c r="CL276" s="39">
        <v>0</v>
      </c>
      <c r="CM276" s="39">
        <v>0</v>
      </c>
      <c r="CN276" s="39">
        <v>0</v>
      </c>
      <c r="CO276" s="39">
        <v>0</v>
      </c>
      <c r="CP276" s="39">
        <v>0</v>
      </c>
      <c r="CQ276" s="39"/>
      <c r="CR276" s="39"/>
      <c r="CS276" s="35">
        <v>2872472</v>
      </c>
      <c r="CT276" s="35"/>
      <c r="CU276" s="35"/>
      <c r="CV276" s="35"/>
      <c r="CW276" s="39">
        <f>SUM(CX276)</f>
        <v>0</v>
      </c>
      <c r="CX276" s="39">
        <f>SUM(CY276:CZ276)</f>
        <v>0</v>
      </c>
      <c r="CY276" s="39">
        <v>0</v>
      </c>
      <c r="CZ276" s="41">
        <v>0</v>
      </c>
    </row>
    <row r="277" spans="1:105" ht="15.75" x14ac:dyDescent="0.25">
      <c r="A277" s="82" t="s">
        <v>1</v>
      </c>
      <c r="B277" s="36" t="s">
        <v>84</v>
      </c>
      <c r="C277" s="37" t="s">
        <v>529</v>
      </c>
      <c r="D277" s="38">
        <f t="shared" si="780"/>
        <v>4390762</v>
      </c>
      <c r="E277" s="39">
        <f t="shared" si="781"/>
        <v>0</v>
      </c>
      <c r="F277" s="39">
        <f t="shared" si="782"/>
        <v>0</v>
      </c>
      <c r="G277" s="39">
        <v>0</v>
      </c>
      <c r="H277" s="39">
        <v>0</v>
      </c>
      <c r="I277" s="39">
        <f>SUM(J277:O277)</f>
        <v>0</v>
      </c>
      <c r="J277" s="39">
        <v>0</v>
      </c>
      <c r="K277" s="39">
        <v>0</v>
      </c>
      <c r="L277" s="39">
        <v>0</v>
      </c>
      <c r="M277" s="39">
        <v>0</v>
      </c>
      <c r="N277" s="39">
        <v>0</v>
      </c>
      <c r="O277" s="39">
        <v>0</v>
      </c>
      <c r="P277" s="39">
        <f>SUM(Q277:R277)</f>
        <v>0</v>
      </c>
      <c r="Q277" s="39">
        <v>0</v>
      </c>
      <c r="R277" s="39">
        <v>0</v>
      </c>
      <c r="S277" s="39">
        <v>0</v>
      </c>
      <c r="T277" s="39">
        <v>0</v>
      </c>
      <c r="U277" s="39">
        <f t="shared" ref="U277:U284" si="808">SUM(V277:AC277)</f>
        <v>0</v>
      </c>
      <c r="V277" s="39">
        <v>0</v>
      </c>
      <c r="W277" s="39">
        <v>0</v>
      </c>
      <c r="X277" s="39">
        <v>0</v>
      </c>
      <c r="Y277" s="39">
        <v>0</v>
      </c>
      <c r="Z277" s="39">
        <v>0</v>
      </c>
      <c r="AA277" s="39">
        <v>0</v>
      </c>
      <c r="AB277" s="39">
        <v>0</v>
      </c>
      <c r="AC277" s="39">
        <v>0</v>
      </c>
      <c r="AD277" s="39">
        <f t="shared" ref="AD277:AD285" si="809">SUM(AE277:AZ277)</f>
        <v>0</v>
      </c>
      <c r="AE277" s="39"/>
      <c r="AF277" s="39"/>
      <c r="AG277" s="39">
        <v>0</v>
      </c>
      <c r="AH277" s="39">
        <v>0</v>
      </c>
      <c r="AI277" s="39">
        <v>0</v>
      </c>
      <c r="AJ277" s="39">
        <v>0</v>
      </c>
      <c r="AK277" s="39">
        <v>0</v>
      </c>
      <c r="AL277" s="39">
        <v>0</v>
      </c>
      <c r="AM277" s="39">
        <v>0</v>
      </c>
      <c r="AN277" s="39">
        <v>0</v>
      </c>
      <c r="AO277" s="39">
        <v>0</v>
      </c>
      <c r="AP277" s="39"/>
      <c r="AQ277" s="39">
        <v>0</v>
      </c>
      <c r="AR277" s="39">
        <v>0</v>
      </c>
      <c r="AS277" s="39">
        <v>0</v>
      </c>
      <c r="AT277" s="39">
        <v>0</v>
      </c>
      <c r="AU277" s="39">
        <v>0</v>
      </c>
      <c r="AV277" s="39">
        <v>0</v>
      </c>
      <c r="AW277" s="39">
        <v>0</v>
      </c>
      <c r="AX277" s="39">
        <v>0</v>
      </c>
      <c r="AY277" s="39">
        <v>0</v>
      </c>
      <c r="AZ277" s="39">
        <v>0</v>
      </c>
      <c r="BA277" s="39">
        <f t="shared" ref="BA277:BA285" si="810">SUM(BB277+BF277+BI277+BK277+BN277)</f>
        <v>0</v>
      </c>
      <c r="BB277" s="39">
        <f t="shared" ref="BB277:BB283" si="811">SUM(BC277:BE277)</f>
        <v>0</v>
      </c>
      <c r="BC277" s="39">
        <v>0</v>
      </c>
      <c r="BD277" s="39">
        <v>0</v>
      </c>
      <c r="BE277" s="39">
        <v>0</v>
      </c>
      <c r="BF277" s="39">
        <f t="shared" ref="BF277:BF283" si="812">SUM(BH277:BH277)</f>
        <v>0</v>
      </c>
      <c r="BG277" s="39">
        <v>0</v>
      </c>
      <c r="BH277" s="39">
        <v>0</v>
      </c>
      <c r="BI277" s="39">
        <v>0</v>
      </c>
      <c r="BJ277" s="39">
        <v>0</v>
      </c>
      <c r="BK277" s="39">
        <f>SUM(BL277)</f>
        <v>0</v>
      </c>
      <c r="BL277" s="39">
        <v>0</v>
      </c>
      <c r="BM277" s="39">
        <v>0</v>
      </c>
      <c r="BN277" s="39">
        <f t="shared" ref="BN277:BN284" si="813">SUM(BO277:BY277)</f>
        <v>0</v>
      </c>
      <c r="BO277" s="39">
        <v>0</v>
      </c>
      <c r="BP277" s="39">
        <v>0</v>
      </c>
      <c r="BQ277" s="39">
        <v>0</v>
      </c>
      <c r="BR277" s="39">
        <v>0</v>
      </c>
      <c r="BS277" s="39">
        <v>0</v>
      </c>
      <c r="BT277" s="39">
        <v>0</v>
      </c>
      <c r="BU277" s="39">
        <v>0</v>
      </c>
      <c r="BV277" s="39">
        <v>0</v>
      </c>
      <c r="BW277" s="39">
        <v>0</v>
      </c>
      <c r="BX277" s="39">
        <v>0</v>
      </c>
      <c r="BY277" s="39">
        <v>0</v>
      </c>
      <c r="BZ277" s="39">
        <f t="shared" ref="BZ277:BZ285" si="814">SUM(CA277+CS277)</f>
        <v>4390762</v>
      </c>
      <c r="CA277" s="39">
        <f t="shared" ref="CA277:CA285" si="815">SUM(CB277+CE277+CK277)</f>
        <v>0</v>
      </c>
      <c r="CB277" s="39">
        <f>SUM(CC277:CD277)</f>
        <v>0</v>
      </c>
      <c r="CC277" s="39">
        <v>0</v>
      </c>
      <c r="CD277" s="39">
        <v>0</v>
      </c>
      <c r="CE277" s="19">
        <f t="shared" si="791"/>
        <v>0</v>
      </c>
      <c r="CF277" s="39">
        <v>0</v>
      </c>
      <c r="CG277" s="39">
        <v>0</v>
      </c>
      <c r="CH277" s="39">
        <v>0</v>
      </c>
      <c r="CI277" s="39">
        <v>0</v>
      </c>
      <c r="CJ277" s="39">
        <v>0</v>
      </c>
      <c r="CK277" s="39">
        <f t="shared" ref="CK277:CK283" si="816">SUM(CL277:CP277)</f>
        <v>0</v>
      </c>
      <c r="CL277" s="39">
        <v>0</v>
      </c>
      <c r="CM277" s="39">
        <v>0</v>
      </c>
      <c r="CN277" s="39">
        <v>0</v>
      </c>
      <c r="CO277" s="39">
        <v>0</v>
      </c>
      <c r="CP277" s="39">
        <v>0</v>
      </c>
      <c r="CQ277" s="39"/>
      <c r="CR277" s="39"/>
      <c r="CS277" s="35">
        <v>4390762</v>
      </c>
      <c r="CT277" s="35"/>
      <c r="CU277" s="35"/>
      <c r="CV277" s="35"/>
      <c r="CW277" s="39">
        <f>SUM(CX277)</f>
        <v>0</v>
      </c>
      <c r="CX277" s="39">
        <f>SUM(CY277:CZ277)</f>
        <v>0</v>
      </c>
      <c r="CY277" s="39">
        <v>0</v>
      </c>
      <c r="CZ277" s="41">
        <v>0</v>
      </c>
    </row>
    <row r="278" spans="1:105" ht="15.75" x14ac:dyDescent="0.25">
      <c r="A278" s="82" t="s">
        <v>1</v>
      </c>
      <c r="B278" s="36" t="s">
        <v>84</v>
      </c>
      <c r="C278" s="37" t="s">
        <v>531</v>
      </c>
      <c r="D278" s="38">
        <f t="shared" si="780"/>
        <v>30522764</v>
      </c>
      <c r="E278" s="39">
        <f t="shared" si="781"/>
        <v>0</v>
      </c>
      <c r="F278" s="39">
        <f t="shared" si="782"/>
        <v>0</v>
      </c>
      <c r="G278" s="39">
        <v>0</v>
      </c>
      <c r="H278" s="39">
        <v>0</v>
      </c>
      <c r="I278" s="39">
        <f>SUM(J278:O278)</f>
        <v>0</v>
      </c>
      <c r="J278" s="39">
        <v>0</v>
      </c>
      <c r="K278" s="39">
        <v>0</v>
      </c>
      <c r="L278" s="39">
        <v>0</v>
      </c>
      <c r="M278" s="39">
        <v>0</v>
      </c>
      <c r="N278" s="39">
        <v>0</v>
      </c>
      <c r="O278" s="39">
        <v>0</v>
      </c>
      <c r="P278" s="39">
        <f>SUM(Q278:R278)</f>
        <v>0</v>
      </c>
      <c r="Q278" s="39">
        <v>0</v>
      </c>
      <c r="R278" s="39">
        <v>0</v>
      </c>
      <c r="S278" s="39">
        <v>0</v>
      </c>
      <c r="T278" s="39">
        <v>0</v>
      </c>
      <c r="U278" s="39">
        <f>SUM(V278:AC278)</f>
        <v>0</v>
      </c>
      <c r="V278" s="39">
        <v>0</v>
      </c>
      <c r="W278" s="39">
        <v>0</v>
      </c>
      <c r="X278" s="39">
        <v>0</v>
      </c>
      <c r="Y278" s="39">
        <v>0</v>
      </c>
      <c r="Z278" s="39">
        <v>0</v>
      </c>
      <c r="AA278" s="39">
        <v>0</v>
      </c>
      <c r="AB278" s="39">
        <v>0</v>
      </c>
      <c r="AC278" s="39">
        <v>0</v>
      </c>
      <c r="AD278" s="39">
        <f>SUM(AE278:AZ278)</f>
        <v>0</v>
      </c>
      <c r="AE278" s="39"/>
      <c r="AF278" s="39"/>
      <c r="AG278" s="39">
        <v>0</v>
      </c>
      <c r="AH278" s="39">
        <v>0</v>
      </c>
      <c r="AI278" s="39">
        <v>0</v>
      </c>
      <c r="AJ278" s="39">
        <v>0</v>
      </c>
      <c r="AK278" s="39">
        <v>0</v>
      </c>
      <c r="AL278" s="39">
        <v>0</v>
      </c>
      <c r="AM278" s="39">
        <v>0</v>
      </c>
      <c r="AN278" s="39">
        <v>0</v>
      </c>
      <c r="AO278" s="39">
        <v>0</v>
      </c>
      <c r="AP278" s="39"/>
      <c r="AQ278" s="39">
        <v>0</v>
      </c>
      <c r="AR278" s="39">
        <v>0</v>
      </c>
      <c r="AS278" s="39">
        <v>0</v>
      </c>
      <c r="AT278" s="39">
        <v>0</v>
      </c>
      <c r="AU278" s="39">
        <v>0</v>
      </c>
      <c r="AV278" s="39">
        <v>0</v>
      </c>
      <c r="AW278" s="39">
        <v>0</v>
      </c>
      <c r="AX278" s="39">
        <v>0</v>
      </c>
      <c r="AY278" s="39">
        <v>0</v>
      </c>
      <c r="AZ278" s="39">
        <v>0</v>
      </c>
      <c r="BA278" s="39">
        <f>SUM(BB278+BF278+BI278+BK278+BN278)</f>
        <v>0</v>
      </c>
      <c r="BB278" s="39">
        <f>SUM(BC278:BE278)</f>
        <v>0</v>
      </c>
      <c r="BC278" s="39">
        <v>0</v>
      </c>
      <c r="BD278" s="39">
        <v>0</v>
      </c>
      <c r="BE278" s="39">
        <v>0</v>
      </c>
      <c r="BF278" s="39">
        <f>SUM(BH278:BH278)</f>
        <v>0</v>
      </c>
      <c r="BG278" s="39">
        <v>0</v>
      </c>
      <c r="BH278" s="39">
        <v>0</v>
      </c>
      <c r="BI278" s="39">
        <v>0</v>
      </c>
      <c r="BJ278" s="39">
        <v>0</v>
      </c>
      <c r="BK278" s="39">
        <f>SUM(BL278)</f>
        <v>0</v>
      </c>
      <c r="BL278" s="39">
        <v>0</v>
      </c>
      <c r="BM278" s="39">
        <v>0</v>
      </c>
      <c r="BN278" s="39">
        <f>SUM(BO278:BY278)</f>
        <v>0</v>
      </c>
      <c r="BO278" s="39">
        <v>0</v>
      </c>
      <c r="BP278" s="39">
        <v>0</v>
      </c>
      <c r="BQ278" s="39">
        <v>0</v>
      </c>
      <c r="BR278" s="39">
        <v>0</v>
      </c>
      <c r="BS278" s="39">
        <v>0</v>
      </c>
      <c r="BT278" s="39">
        <v>0</v>
      </c>
      <c r="BU278" s="39">
        <v>0</v>
      </c>
      <c r="BV278" s="39">
        <v>0</v>
      </c>
      <c r="BW278" s="39">
        <v>0</v>
      </c>
      <c r="BX278" s="39">
        <v>0</v>
      </c>
      <c r="BY278" s="39">
        <v>0</v>
      </c>
      <c r="BZ278" s="39">
        <f>SUM(CA278+CS278)</f>
        <v>30522764</v>
      </c>
      <c r="CA278" s="39">
        <f>SUM(CB278+CE278+CK278)</f>
        <v>0</v>
      </c>
      <c r="CB278" s="39">
        <f>SUM(CC278:CD278)</f>
        <v>0</v>
      </c>
      <c r="CC278" s="39">
        <v>0</v>
      </c>
      <c r="CD278" s="39">
        <v>0</v>
      </c>
      <c r="CE278" s="19">
        <f>SUM(CF278:CJ278)</f>
        <v>0</v>
      </c>
      <c r="CF278" s="39">
        <v>0</v>
      </c>
      <c r="CG278" s="39">
        <v>0</v>
      </c>
      <c r="CH278" s="39">
        <v>0</v>
      </c>
      <c r="CI278" s="39">
        <v>0</v>
      </c>
      <c r="CJ278" s="39">
        <v>0</v>
      </c>
      <c r="CK278" s="39">
        <f>SUM(CL278:CP278)</f>
        <v>0</v>
      </c>
      <c r="CL278" s="39">
        <v>0</v>
      </c>
      <c r="CM278" s="39">
        <v>0</v>
      </c>
      <c r="CN278" s="39">
        <v>0</v>
      </c>
      <c r="CO278" s="39">
        <v>0</v>
      </c>
      <c r="CP278" s="39">
        <v>0</v>
      </c>
      <c r="CQ278" s="39"/>
      <c r="CR278" s="39"/>
      <c r="CS278" s="35">
        <v>30522764</v>
      </c>
      <c r="CT278" s="35"/>
      <c r="CU278" s="35"/>
      <c r="CV278" s="35"/>
      <c r="CW278" s="39">
        <f>SUM(CX278)</f>
        <v>0</v>
      </c>
      <c r="CX278" s="39">
        <f>SUM(CY278:CZ278)</f>
        <v>0</v>
      </c>
      <c r="CY278" s="39">
        <v>0</v>
      </c>
      <c r="CZ278" s="41">
        <v>0</v>
      </c>
    </row>
    <row r="279" spans="1:105" ht="15.75" x14ac:dyDescent="0.25">
      <c r="A279" s="82" t="s">
        <v>1</v>
      </c>
      <c r="B279" s="36" t="s">
        <v>84</v>
      </c>
      <c r="C279" s="37" t="s">
        <v>530</v>
      </c>
      <c r="D279" s="38">
        <f t="shared" si="780"/>
        <v>5685270</v>
      </c>
      <c r="E279" s="39">
        <f t="shared" si="781"/>
        <v>0</v>
      </c>
      <c r="F279" s="39">
        <f t="shared" si="782"/>
        <v>0</v>
      </c>
      <c r="G279" s="39">
        <v>0</v>
      </c>
      <c r="H279" s="39">
        <v>0</v>
      </c>
      <c r="I279" s="39">
        <f>SUM(J279:O279)</f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  <c r="O279" s="39">
        <v>0</v>
      </c>
      <c r="P279" s="39">
        <f>SUM(Q279:R279)</f>
        <v>0</v>
      </c>
      <c r="Q279" s="39">
        <v>0</v>
      </c>
      <c r="R279" s="39">
        <v>0</v>
      </c>
      <c r="S279" s="39">
        <v>0</v>
      </c>
      <c r="T279" s="39">
        <v>0</v>
      </c>
      <c r="U279" s="39">
        <f t="shared" si="808"/>
        <v>0</v>
      </c>
      <c r="V279" s="39">
        <v>0</v>
      </c>
      <c r="W279" s="39">
        <v>0</v>
      </c>
      <c r="X279" s="39">
        <v>0</v>
      </c>
      <c r="Y279" s="39">
        <v>0</v>
      </c>
      <c r="Z279" s="39">
        <v>0</v>
      </c>
      <c r="AA279" s="39">
        <v>0</v>
      </c>
      <c r="AB279" s="39">
        <v>0</v>
      </c>
      <c r="AC279" s="39">
        <v>0</v>
      </c>
      <c r="AD279" s="39">
        <f t="shared" si="809"/>
        <v>0</v>
      </c>
      <c r="AE279" s="39"/>
      <c r="AF279" s="39"/>
      <c r="AG279" s="39">
        <v>0</v>
      </c>
      <c r="AH279" s="39">
        <v>0</v>
      </c>
      <c r="AI279" s="39">
        <v>0</v>
      </c>
      <c r="AJ279" s="39">
        <v>0</v>
      </c>
      <c r="AK279" s="39">
        <v>0</v>
      </c>
      <c r="AL279" s="39">
        <v>0</v>
      </c>
      <c r="AM279" s="39">
        <v>0</v>
      </c>
      <c r="AN279" s="39">
        <v>0</v>
      </c>
      <c r="AO279" s="39">
        <v>0</v>
      </c>
      <c r="AP279" s="39"/>
      <c r="AQ279" s="39">
        <v>0</v>
      </c>
      <c r="AR279" s="39">
        <v>0</v>
      </c>
      <c r="AS279" s="39">
        <v>0</v>
      </c>
      <c r="AT279" s="39">
        <v>0</v>
      </c>
      <c r="AU279" s="39">
        <v>0</v>
      </c>
      <c r="AV279" s="39">
        <v>0</v>
      </c>
      <c r="AW279" s="39">
        <v>0</v>
      </c>
      <c r="AX279" s="39">
        <v>0</v>
      </c>
      <c r="AY279" s="39">
        <v>0</v>
      </c>
      <c r="AZ279" s="39">
        <v>0</v>
      </c>
      <c r="BA279" s="39">
        <f t="shared" si="810"/>
        <v>0</v>
      </c>
      <c r="BB279" s="39">
        <f t="shared" si="811"/>
        <v>0</v>
      </c>
      <c r="BC279" s="39">
        <v>0</v>
      </c>
      <c r="BD279" s="39">
        <v>0</v>
      </c>
      <c r="BE279" s="39">
        <v>0</v>
      </c>
      <c r="BF279" s="39">
        <f t="shared" si="812"/>
        <v>0</v>
      </c>
      <c r="BG279" s="39">
        <v>0</v>
      </c>
      <c r="BH279" s="39">
        <v>0</v>
      </c>
      <c r="BI279" s="39">
        <v>0</v>
      </c>
      <c r="BJ279" s="39">
        <v>0</v>
      </c>
      <c r="BK279" s="39">
        <f>SUM(BL279)</f>
        <v>0</v>
      </c>
      <c r="BL279" s="39">
        <v>0</v>
      </c>
      <c r="BM279" s="39">
        <v>0</v>
      </c>
      <c r="BN279" s="39">
        <f t="shared" si="813"/>
        <v>0</v>
      </c>
      <c r="BO279" s="39">
        <v>0</v>
      </c>
      <c r="BP279" s="39">
        <v>0</v>
      </c>
      <c r="BQ279" s="39">
        <v>0</v>
      </c>
      <c r="BR279" s="39">
        <v>0</v>
      </c>
      <c r="BS279" s="39">
        <v>0</v>
      </c>
      <c r="BT279" s="39">
        <v>0</v>
      </c>
      <c r="BU279" s="39">
        <v>0</v>
      </c>
      <c r="BV279" s="39">
        <v>0</v>
      </c>
      <c r="BW279" s="39">
        <v>0</v>
      </c>
      <c r="BX279" s="39">
        <v>0</v>
      </c>
      <c r="BY279" s="39">
        <v>0</v>
      </c>
      <c r="BZ279" s="39">
        <f t="shared" si="814"/>
        <v>5685270</v>
      </c>
      <c r="CA279" s="39">
        <f t="shared" si="815"/>
        <v>0</v>
      </c>
      <c r="CB279" s="39">
        <f>SUM(CC279:CD279)</f>
        <v>0</v>
      </c>
      <c r="CC279" s="39">
        <v>0</v>
      </c>
      <c r="CD279" s="39">
        <v>0</v>
      </c>
      <c r="CE279" s="19">
        <f t="shared" si="791"/>
        <v>0</v>
      </c>
      <c r="CF279" s="39">
        <v>0</v>
      </c>
      <c r="CG279" s="39">
        <v>0</v>
      </c>
      <c r="CH279" s="39">
        <v>0</v>
      </c>
      <c r="CI279" s="39">
        <v>0</v>
      </c>
      <c r="CJ279" s="39">
        <v>0</v>
      </c>
      <c r="CK279" s="39">
        <f t="shared" si="816"/>
        <v>0</v>
      </c>
      <c r="CL279" s="39">
        <v>0</v>
      </c>
      <c r="CM279" s="39">
        <v>0</v>
      </c>
      <c r="CN279" s="39">
        <v>0</v>
      </c>
      <c r="CO279" s="39">
        <v>0</v>
      </c>
      <c r="CP279" s="39">
        <v>0</v>
      </c>
      <c r="CQ279" s="39"/>
      <c r="CR279" s="39"/>
      <c r="CS279" s="35">
        <v>5685270</v>
      </c>
      <c r="CT279" s="35"/>
      <c r="CU279" s="35"/>
      <c r="CV279" s="35"/>
      <c r="CW279" s="39">
        <f>SUM(CX279)</f>
        <v>0</v>
      </c>
      <c r="CX279" s="39">
        <f>SUM(CY279:CZ279)</f>
        <v>0</v>
      </c>
      <c r="CY279" s="39">
        <v>0</v>
      </c>
      <c r="CZ279" s="41">
        <v>0</v>
      </c>
    </row>
    <row r="280" spans="1:105" ht="15.75" x14ac:dyDescent="0.25">
      <c r="A280" s="82" t="s">
        <v>1</v>
      </c>
      <c r="B280" s="36" t="s">
        <v>84</v>
      </c>
      <c r="C280" s="37" t="s">
        <v>325</v>
      </c>
      <c r="D280" s="38">
        <f t="shared" si="780"/>
        <v>3365065</v>
      </c>
      <c r="E280" s="39">
        <f t="shared" si="781"/>
        <v>0</v>
      </c>
      <c r="F280" s="39">
        <f t="shared" si="782"/>
        <v>0</v>
      </c>
      <c r="G280" s="39">
        <v>0</v>
      </c>
      <c r="H280" s="39">
        <v>0</v>
      </c>
      <c r="I280" s="39">
        <f t="shared" ref="I280:I283" si="817">SUM(J280:O280)</f>
        <v>0</v>
      </c>
      <c r="J280" s="39">
        <v>0</v>
      </c>
      <c r="K280" s="39">
        <v>0</v>
      </c>
      <c r="L280" s="39">
        <v>0</v>
      </c>
      <c r="M280" s="39">
        <v>0</v>
      </c>
      <c r="N280" s="39">
        <v>0</v>
      </c>
      <c r="O280" s="39">
        <v>0</v>
      </c>
      <c r="P280" s="39">
        <f t="shared" ref="P280:P284" si="818">SUM(Q280:R280)</f>
        <v>0</v>
      </c>
      <c r="Q280" s="39">
        <v>0</v>
      </c>
      <c r="R280" s="39">
        <v>0</v>
      </c>
      <c r="S280" s="39">
        <v>0</v>
      </c>
      <c r="T280" s="39">
        <v>0</v>
      </c>
      <c r="U280" s="39">
        <f t="shared" si="808"/>
        <v>0</v>
      </c>
      <c r="V280" s="39">
        <v>0</v>
      </c>
      <c r="W280" s="39">
        <v>0</v>
      </c>
      <c r="X280" s="39">
        <v>0</v>
      </c>
      <c r="Y280" s="39">
        <v>0</v>
      </c>
      <c r="Z280" s="39">
        <v>0</v>
      </c>
      <c r="AA280" s="39">
        <v>0</v>
      </c>
      <c r="AB280" s="39">
        <v>0</v>
      </c>
      <c r="AC280" s="39">
        <v>0</v>
      </c>
      <c r="AD280" s="39">
        <f t="shared" si="809"/>
        <v>0</v>
      </c>
      <c r="AE280" s="39"/>
      <c r="AF280" s="39"/>
      <c r="AG280" s="39">
        <v>0</v>
      </c>
      <c r="AH280" s="39">
        <v>0</v>
      </c>
      <c r="AI280" s="39">
        <v>0</v>
      </c>
      <c r="AJ280" s="39">
        <v>0</v>
      </c>
      <c r="AK280" s="39">
        <v>0</v>
      </c>
      <c r="AL280" s="39">
        <v>0</v>
      </c>
      <c r="AM280" s="39">
        <v>0</v>
      </c>
      <c r="AN280" s="39">
        <v>0</v>
      </c>
      <c r="AO280" s="39">
        <v>0</v>
      </c>
      <c r="AP280" s="39"/>
      <c r="AQ280" s="39">
        <v>0</v>
      </c>
      <c r="AR280" s="39">
        <v>0</v>
      </c>
      <c r="AS280" s="39">
        <v>0</v>
      </c>
      <c r="AT280" s="39">
        <v>0</v>
      </c>
      <c r="AU280" s="39">
        <v>0</v>
      </c>
      <c r="AV280" s="39">
        <v>0</v>
      </c>
      <c r="AW280" s="39">
        <v>0</v>
      </c>
      <c r="AX280" s="39">
        <v>0</v>
      </c>
      <c r="AY280" s="39">
        <v>0</v>
      </c>
      <c r="AZ280" s="39">
        <v>0</v>
      </c>
      <c r="BA280" s="39">
        <f t="shared" si="810"/>
        <v>0</v>
      </c>
      <c r="BB280" s="39">
        <f t="shared" si="811"/>
        <v>0</v>
      </c>
      <c r="BC280" s="39">
        <v>0</v>
      </c>
      <c r="BD280" s="39">
        <v>0</v>
      </c>
      <c r="BE280" s="39">
        <v>0</v>
      </c>
      <c r="BF280" s="39">
        <f t="shared" si="812"/>
        <v>0</v>
      </c>
      <c r="BG280" s="39">
        <v>0</v>
      </c>
      <c r="BH280" s="39">
        <v>0</v>
      </c>
      <c r="BI280" s="39">
        <v>0</v>
      </c>
      <c r="BJ280" s="39">
        <v>0</v>
      </c>
      <c r="BK280" s="39">
        <f t="shared" ref="BK280:BK284" si="819">SUM(BL280)</f>
        <v>0</v>
      </c>
      <c r="BL280" s="39">
        <v>0</v>
      </c>
      <c r="BM280" s="39">
        <v>0</v>
      </c>
      <c r="BN280" s="39">
        <f t="shared" si="813"/>
        <v>0</v>
      </c>
      <c r="BO280" s="39">
        <v>0</v>
      </c>
      <c r="BP280" s="39">
        <v>0</v>
      </c>
      <c r="BQ280" s="39">
        <v>0</v>
      </c>
      <c r="BR280" s="39">
        <v>0</v>
      </c>
      <c r="BS280" s="39">
        <v>0</v>
      </c>
      <c r="BT280" s="39">
        <v>0</v>
      </c>
      <c r="BU280" s="39">
        <v>0</v>
      </c>
      <c r="BV280" s="39">
        <v>0</v>
      </c>
      <c r="BW280" s="39">
        <v>0</v>
      </c>
      <c r="BX280" s="39">
        <v>0</v>
      </c>
      <c r="BY280" s="39">
        <v>0</v>
      </c>
      <c r="BZ280" s="39">
        <f t="shared" si="814"/>
        <v>3365065</v>
      </c>
      <c r="CA280" s="39">
        <f t="shared" si="815"/>
        <v>0</v>
      </c>
      <c r="CB280" s="39">
        <f t="shared" ref="CB280:CB283" si="820">SUM(CC280:CD280)</f>
        <v>0</v>
      </c>
      <c r="CC280" s="39">
        <v>0</v>
      </c>
      <c r="CD280" s="39">
        <v>0</v>
      </c>
      <c r="CE280" s="19">
        <f t="shared" si="791"/>
        <v>0</v>
      </c>
      <c r="CF280" s="39">
        <v>0</v>
      </c>
      <c r="CG280" s="39">
        <v>0</v>
      </c>
      <c r="CH280" s="39">
        <v>0</v>
      </c>
      <c r="CI280" s="39">
        <v>0</v>
      </c>
      <c r="CJ280" s="39">
        <v>0</v>
      </c>
      <c r="CK280" s="39">
        <f t="shared" si="816"/>
        <v>0</v>
      </c>
      <c r="CL280" s="39">
        <v>0</v>
      </c>
      <c r="CM280" s="39">
        <v>0</v>
      </c>
      <c r="CN280" s="39">
        <v>0</v>
      </c>
      <c r="CO280" s="39">
        <v>0</v>
      </c>
      <c r="CP280" s="39">
        <v>0</v>
      </c>
      <c r="CQ280" s="39"/>
      <c r="CR280" s="39"/>
      <c r="CS280" s="35">
        <v>3365065</v>
      </c>
      <c r="CT280" s="35"/>
      <c r="CU280" s="35"/>
      <c r="CV280" s="35"/>
      <c r="CW280" s="39">
        <f t="shared" ref="CW280:CW284" si="821">SUM(CX280)</f>
        <v>0</v>
      </c>
      <c r="CX280" s="39">
        <f t="shared" ref="CX280:CX283" si="822">SUM(CY280:CZ280)</f>
        <v>0</v>
      </c>
      <c r="CY280" s="39">
        <v>0</v>
      </c>
      <c r="CZ280" s="41">
        <v>0</v>
      </c>
    </row>
    <row r="281" spans="1:105" ht="15.75" x14ac:dyDescent="0.25">
      <c r="A281" s="80" t="s">
        <v>1</v>
      </c>
      <c r="B281" s="21" t="s">
        <v>86</v>
      </c>
      <c r="C281" s="22" t="s">
        <v>532</v>
      </c>
      <c r="D281" s="18">
        <f t="shared" si="780"/>
        <v>1118200</v>
      </c>
      <c r="E281" s="19">
        <f t="shared" si="781"/>
        <v>0</v>
      </c>
      <c r="F281" s="19">
        <f t="shared" si="782"/>
        <v>0</v>
      </c>
      <c r="G281" s="19">
        <v>0</v>
      </c>
      <c r="H281" s="19">
        <v>0</v>
      </c>
      <c r="I281" s="19">
        <f t="shared" si="817"/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0</v>
      </c>
      <c r="P281" s="19">
        <f t="shared" si="818"/>
        <v>0</v>
      </c>
      <c r="Q281" s="19">
        <v>0</v>
      </c>
      <c r="R281" s="19">
        <v>0</v>
      </c>
      <c r="S281" s="19">
        <v>0</v>
      </c>
      <c r="T281" s="19">
        <v>0</v>
      </c>
      <c r="U281" s="19">
        <f t="shared" si="808"/>
        <v>0</v>
      </c>
      <c r="V281" s="19">
        <v>0</v>
      </c>
      <c r="W281" s="19">
        <v>0</v>
      </c>
      <c r="X281" s="19">
        <v>0</v>
      </c>
      <c r="Y281" s="19">
        <v>0</v>
      </c>
      <c r="Z281" s="19">
        <v>0</v>
      </c>
      <c r="AA281" s="19">
        <v>0</v>
      </c>
      <c r="AB281" s="19">
        <v>0</v>
      </c>
      <c r="AC281" s="19">
        <v>0</v>
      </c>
      <c r="AD281" s="19">
        <f t="shared" si="809"/>
        <v>0</v>
      </c>
      <c r="AE281" s="19"/>
      <c r="AF281" s="19"/>
      <c r="AG281" s="19">
        <v>0</v>
      </c>
      <c r="AH281" s="19">
        <v>0</v>
      </c>
      <c r="AI281" s="19">
        <v>0</v>
      </c>
      <c r="AJ281" s="19">
        <v>0</v>
      </c>
      <c r="AK281" s="19">
        <v>0</v>
      </c>
      <c r="AL281" s="19">
        <v>0</v>
      </c>
      <c r="AM281" s="19">
        <v>0</v>
      </c>
      <c r="AN281" s="19">
        <v>0</v>
      </c>
      <c r="AO281" s="19">
        <v>0</v>
      </c>
      <c r="AP281" s="19"/>
      <c r="AQ281" s="19">
        <v>0</v>
      </c>
      <c r="AR281" s="19">
        <v>0</v>
      </c>
      <c r="AS281" s="19">
        <v>0</v>
      </c>
      <c r="AT281" s="19">
        <v>0</v>
      </c>
      <c r="AU281" s="19">
        <v>0</v>
      </c>
      <c r="AV281" s="19">
        <v>0</v>
      </c>
      <c r="AW281" s="19">
        <v>0</v>
      </c>
      <c r="AX281" s="19">
        <v>0</v>
      </c>
      <c r="AY281" s="19">
        <v>0</v>
      </c>
      <c r="AZ281" s="19">
        <v>0</v>
      </c>
      <c r="BA281" s="19">
        <f t="shared" si="810"/>
        <v>0</v>
      </c>
      <c r="BB281" s="19">
        <f t="shared" si="811"/>
        <v>0</v>
      </c>
      <c r="BC281" s="19">
        <v>0</v>
      </c>
      <c r="BD281" s="19">
        <v>0</v>
      </c>
      <c r="BE281" s="19">
        <v>0</v>
      </c>
      <c r="BF281" s="19">
        <f t="shared" si="812"/>
        <v>0</v>
      </c>
      <c r="BG281" s="19">
        <v>0</v>
      </c>
      <c r="BH281" s="19">
        <v>0</v>
      </c>
      <c r="BI281" s="19">
        <v>0</v>
      </c>
      <c r="BJ281" s="19">
        <v>0</v>
      </c>
      <c r="BK281" s="19">
        <f t="shared" si="819"/>
        <v>0</v>
      </c>
      <c r="BL281" s="19">
        <v>0</v>
      </c>
      <c r="BM281" s="19">
        <v>0</v>
      </c>
      <c r="BN281" s="19">
        <f t="shared" si="813"/>
        <v>0</v>
      </c>
      <c r="BO281" s="19">
        <v>0</v>
      </c>
      <c r="BP281" s="19">
        <v>0</v>
      </c>
      <c r="BQ281" s="19">
        <v>0</v>
      </c>
      <c r="BR281" s="19">
        <v>0</v>
      </c>
      <c r="BS281" s="19">
        <v>0</v>
      </c>
      <c r="BT281" s="19">
        <v>0</v>
      </c>
      <c r="BU281" s="19">
        <v>0</v>
      </c>
      <c r="BV281" s="19">
        <v>0</v>
      </c>
      <c r="BW281" s="19">
        <v>0</v>
      </c>
      <c r="BX281" s="19">
        <v>0</v>
      </c>
      <c r="BY281" s="19">
        <v>0</v>
      </c>
      <c r="BZ281" s="19">
        <f t="shared" si="814"/>
        <v>1118200</v>
      </c>
      <c r="CA281" s="19">
        <f t="shared" si="815"/>
        <v>0</v>
      </c>
      <c r="CB281" s="19">
        <f t="shared" si="820"/>
        <v>0</v>
      </c>
      <c r="CC281" s="19">
        <v>0</v>
      </c>
      <c r="CD281" s="19">
        <v>0</v>
      </c>
      <c r="CE281" s="19">
        <f t="shared" si="791"/>
        <v>0</v>
      </c>
      <c r="CF281" s="19">
        <v>0</v>
      </c>
      <c r="CG281" s="19">
        <v>0</v>
      </c>
      <c r="CH281" s="19">
        <v>0</v>
      </c>
      <c r="CI281" s="19">
        <v>0</v>
      </c>
      <c r="CJ281" s="19">
        <v>0</v>
      </c>
      <c r="CK281" s="19">
        <f t="shared" si="816"/>
        <v>0</v>
      </c>
      <c r="CL281" s="19">
        <v>0</v>
      </c>
      <c r="CM281" s="19">
        <v>0</v>
      </c>
      <c r="CN281" s="19">
        <v>0</v>
      </c>
      <c r="CO281" s="19">
        <v>0</v>
      </c>
      <c r="CP281" s="19">
        <v>0</v>
      </c>
      <c r="CQ281" s="19"/>
      <c r="CR281" s="19"/>
      <c r="CS281" s="35">
        <v>1118200</v>
      </c>
      <c r="CT281" s="35"/>
      <c r="CU281" s="35"/>
      <c r="CV281" s="35"/>
      <c r="CW281" s="19">
        <f t="shared" si="821"/>
        <v>0</v>
      </c>
      <c r="CX281" s="19">
        <f t="shared" si="822"/>
        <v>0</v>
      </c>
      <c r="CY281" s="19">
        <v>0</v>
      </c>
      <c r="CZ281" s="20">
        <v>0</v>
      </c>
    </row>
    <row r="282" spans="1:105" ht="31.5" x14ac:dyDescent="0.25">
      <c r="A282" s="82"/>
      <c r="B282" s="42" t="s">
        <v>153</v>
      </c>
      <c r="C282" s="43" t="s">
        <v>606</v>
      </c>
      <c r="D282" s="38">
        <f t="shared" si="780"/>
        <v>6790000</v>
      </c>
      <c r="E282" s="39">
        <f t="shared" si="781"/>
        <v>0</v>
      </c>
      <c r="F282" s="39">
        <f t="shared" si="782"/>
        <v>0</v>
      </c>
      <c r="G282" s="39">
        <v>0</v>
      </c>
      <c r="H282" s="39">
        <v>0</v>
      </c>
      <c r="I282" s="39">
        <f t="shared" si="817"/>
        <v>0</v>
      </c>
      <c r="J282" s="39">
        <v>0</v>
      </c>
      <c r="K282" s="39">
        <v>0</v>
      </c>
      <c r="L282" s="39">
        <v>0</v>
      </c>
      <c r="M282" s="39">
        <v>0</v>
      </c>
      <c r="N282" s="39">
        <v>0</v>
      </c>
      <c r="O282" s="39">
        <v>0</v>
      </c>
      <c r="P282" s="39">
        <f t="shared" si="818"/>
        <v>0</v>
      </c>
      <c r="Q282" s="39">
        <v>0</v>
      </c>
      <c r="R282" s="39">
        <v>0</v>
      </c>
      <c r="S282" s="39">
        <v>0</v>
      </c>
      <c r="T282" s="39">
        <v>0</v>
      </c>
      <c r="U282" s="39">
        <f t="shared" si="808"/>
        <v>0</v>
      </c>
      <c r="V282" s="39">
        <v>0</v>
      </c>
      <c r="W282" s="39">
        <v>0</v>
      </c>
      <c r="X282" s="39">
        <v>0</v>
      </c>
      <c r="Y282" s="39">
        <v>0</v>
      </c>
      <c r="Z282" s="39">
        <v>0</v>
      </c>
      <c r="AA282" s="39">
        <v>0</v>
      </c>
      <c r="AB282" s="39">
        <v>0</v>
      </c>
      <c r="AC282" s="39">
        <v>0</v>
      </c>
      <c r="AD282" s="39">
        <f t="shared" si="809"/>
        <v>0</v>
      </c>
      <c r="AE282" s="40"/>
      <c r="AF282" s="40"/>
      <c r="AG282" s="39">
        <v>0</v>
      </c>
      <c r="AH282" s="39">
        <v>0</v>
      </c>
      <c r="AI282" s="39">
        <v>0</v>
      </c>
      <c r="AJ282" s="39">
        <v>0</v>
      </c>
      <c r="AK282" s="39">
        <v>0</v>
      </c>
      <c r="AL282" s="39">
        <v>0</v>
      </c>
      <c r="AM282" s="39">
        <v>0</v>
      </c>
      <c r="AN282" s="39">
        <v>0</v>
      </c>
      <c r="AO282" s="39">
        <v>0</v>
      </c>
      <c r="AP282" s="39"/>
      <c r="AQ282" s="39">
        <v>0</v>
      </c>
      <c r="AR282" s="39">
        <v>0</v>
      </c>
      <c r="AS282" s="39">
        <v>0</v>
      </c>
      <c r="AT282" s="39">
        <v>0</v>
      </c>
      <c r="AU282" s="39">
        <v>0</v>
      </c>
      <c r="AV282" s="39">
        <v>0</v>
      </c>
      <c r="AW282" s="39">
        <v>0</v>
      </c>
      <c r="AX282" s="39">
        <v>0</v>
      </c>
      <c r="AY282" s="39">
        <v>0</v>
      </c>
      <c r="AZ282" s="39">
        <v>0</v>
      </c>
      <c r="BA282" s="39">
        <f t="shared" si="810"/>
        <v>0</v>
      </c>
      <c r="BB282" s="39">
        <f t="shared" si="811"/>
        <v>0</v>
      </c>
      <c r="BC282" s="39">
        <v>0</v>
      </c>
      <c r="BD282" s="39">
        <v>0</v>
      </c>
      <c r="BE282" s="39">
        <v>0</v>
      </c>
      <c r="BF282" s="39">
        <f t="shared" si="812"/>
        <v>0</v>
      </c>
      <c r="BG282" s="39">
        <v>0</v>
      </c>
      <c r="BH282" s="39">
        <v>0</v>
      </c>
      <c r="BI282" s="39">
        <v>0</v>
      </c>
      <c r="BJ282" s="39">
        <v>0</v>
      </c>
      <c r="BK282" s="39">
        <f t="shared" si="819"/>
        <v>0</v>
      </c>
      <c r="BL282" s="39">
        <v>0</v>
      </c>
      <c r="BM282" s="39">
        <v>0</v>
      </c>
      <c r="BN282" s="39">
        <f t="shared" si="813"/>
        <v>0</v>
      </c>
      <c r="BO282" s="39">
        <v>0</v>
      </c>
      <c r="BP282" s="39">
        <v>0</v>
      </c>
      <c r="BQ282" s="39">
        <v>0</v>
      </c>
      <c r="BR282" s="39">
        <v>0</v>
      </c>
      <c r="BS282" s="39">
        <v>0</v>
      </c>
      <c r="BT282" s="39">
        <v>0</v>
      </c>
      <c r="BU282" s="39">
        <v>0</v>
      </c>
      <c r="BV282" s="39">
        <v>0</v>
      </c>
      <c r="BW282" s="39">
        <v>0</v>
      </c>
      <c r="BX282" s="39">
        <v>0</v>
      </c>
      <c r="BY282" s="39">
        <v>0</v>
      </c>
      <c r="BZ282" s="39">
        <f t="shared" si="814"/>
        <v>6790000</v>
      </c>
      <c r="CA282" s="39">
        <f t="shared" si="815"/>
        <v>0</v>
      </c>
      <c r="CB282" s="39">
        <f t="shared" si="820"/>
        <v>0</v>
      </c>
      <c r="CC282" s="39">
        <v>0</v>
      </c>
      <c r="CD282" s="35">
        <f>8631700-8631700</f>
        <v>0</v>
      </c>
      <c r="CE282" s="19">
        <f t="shared" si="791"/>
        <v>0</v>
      </c>
      <c r="CF282" s="39">
        <v>0</v>
      </c>
      <c r="CG282" s="39">
        <v>0</v>
      </c>
      <c r="CH282" s="39">
        <v>0</v>
      </c>
      <c r="CI282" s="39">
        <v>0</v>
      </c>
      <c r="CJ282" s="39">
        <v>0</v>
      </c>
      <c r="CK282" s="39">
        <f t="shared" si="816"/>
        <v>0</v>
      </c>
      <c r="CL282" s="39">
        <v>0</v>
      </c>
      <c r="CM282" s="39">
        <v>0</v>
      </c>
      <c r="CN282" s="39">
        <v>0</v>
      </c>
      <c r="CO282" s="39">
        <v>0</v>
      </c>
      <c r="CP282" s="39">
        <v>0</v>
      </c>
      <c r="CQ282" s="39"/>
      <c r="CR282" s="39"/>
      <c r="CS282" s="35">
        <v>6790000</v>
      </c>
      <c r="CT282" s="35"/>
      <c r="CU282" s="35"/>
      <c r="CV282" s="35"/>
      <c r="CW282" s="39">
        <f t="shared" si="821"/>
        <v>0</v>
      </c>
      <c r="CX282" s="39">
        <f t="shared" si="822"/>
        <v>0</v>
      </c>
      <c r="CY282" s="39">
        <v>0</v>
      </c>
      <c r="CZ282" s="41">
        <v>0</v>
      </c>
    </row>
    <row r="283" spans="1:105" ht="30.6" customHeight="1" x14ac:dyDescent="0.25">
      <c r="A283" s="82"/>
      <c r="B283" s="42" t="s">
        <v>92</v>
      </c>
      <c r="C283" s="43" t="s">
        <v>533</v>
      </c>
      <c r="D283" s="38">
        <f t="shared" si="780"/>
        <v>1332876</v>
      </c>
      <c r="E283" s="39">
        <f t="shared" si="781"/>
        <v>1332876</v>
      </c>
      <c r="F283" s="39">
        <f t="shared" si="782"/>
        <v>1332876</v>
      </c>
      <c r="G283" s="39">
        <v>0</v>
      </c>
      <c r="H283" s="39">
        <v>0</v>
      </c>
      <c r="I283" s="39">
        <f t="shared" si="817"/>
        <v>0</v>
      </c>
      <c r="J283" s="39">
        <v>0</v>
      </c>
      <c r="K283" s="39">
        <v>0</v>
      </c>
      <c r="L283" s="39">
        <v>0</v>
      </c>
      <c r="M283" s="39">
        <v>0</v>
      </c>
      <c r="N283" s="39">
        <v>0</v>
      </c>
      <c r="O283" s="39">
        <v>0</v>
      </c>
      <c r="P283" s="39">
        <f t="shared" si="818"/>
        <v>0</v>
      </c>
      <c r="Q283" s="39">
        <v>0</v>
      </c>
      <c r="R283" s="39">
        <v>0</v>
      </c>
      <c r="S283" s="39">
        <v>0</v>
      </c>
      <c r="T283" s="39">
        <v>0</v>
      </c>
      <c r="U283" s="39">
        <f t="shared" si="808"/>
        <v>0</v>
      </c>
      <c r="V283" s="39">
        <v>0</v>
      </c>
      <c r="W283" s="39">
        <v>0</v>
      </c>
      <c r="X283" s="39">
        <v>0</v>
      </c>
      <c r="Y283" s="39">
        <v>0</v>
      </c>
      <c r="Z283" s="39">
        <v>0</v>
      </c>
      <c r="AA283" s="39">
        <v>0</v>
      </c>
      <c r="AB283" s="39">
        <v>0</v>
      </c>
      <c r="AC283" s="39">
        <v>0</v>
      </c>
      <c r="AD283" s="39">
        <f t="shared" si="809"/>
        <v>1332876</v>
      </c>
      <c r="AE283" s="40"/>
      <c r="AF283" s="40"/>
      <c r="AG283" s="39">
        <v>0</v>
      </c>
      <c r="AH283" s="39">
        <v>0</v>
      </c>
      <c r="AI283" s="39">
        <v>0</v>
      </c>
      <c r="AJ283" s="39">
        <v>0</v>
      </c>
      <c r="AK283" s="39">
        <v>0</v>
      </c>
      <c r="AL283" s="39">
        <v>0</v>
      </c>
      <c r="AM283" s="39">
        <v>0</v>
      </c>
      <c r="AN283" s="39">
        <v>0</v>
      </c>
      <c r="AO283" s="39">
        <v>0</v>
      </c>
      <c r="AP283" s="39"/>
      <c r="AQ283" s="39">
        <v>0</v>
      </c>
      <c r="AR283" s="39">
        <v>0</v>
      </c>
      <c r="AS283" s="39">
        <v>0</v>
      </c>
      <c r="AT283" s="39">
        <v>0</v>
      </c>
      <c r="AU283" s="39">
        <v>0</v>
      </c>
      <c r="AV283" s="39">
        <v>0</v>
      </c>
      <c r="AW283" s="39">
        <v>0</v>
      </c>
      <c r="AX283" s="39">
        <v>0</v>
      </c>
      <c r="AY283" s="39">
        <v>0</v>
      </c>
      <c r="AZ283" s="35">
        <v>1332876</v>
      </c>
      <c r="BA283" s="39">
        <f t="shared" si="810"/>
        <v>0</v>
      </c>
      <c r="BB283" s="39">
        <f t="shared" si="811"/>
        <v>0</v>
      </c>
      <c r="BC283" s="39">
        <v>0</v>
      </c>
      <c r="BD283" s="39">
        <v>0</v>
      </c>
      <c r="BE283" s="39">
        <v>0</v>
      </c>
      <c r="BF283" s="39">
        <f t="shared" si="812"/>
        <v>0</v>
      </c>
      <c r="BG283" s="39">
        <v>0</v>
      </c>
      <c r="BH283" s="39">
        <v>0</v>
      </c>
      <c r="BI283" s="39">
        <v>0</v>
      </c>
      <c r="BJ283" s="39">
        <v>0</v>
      </c>
      <c r="BK283" s="39">
        <f t="shared" si="819"/>
        <v>0</v>
      </c>
      <c r="BL283" s="39">
        <v>0</v>
      </c>
      <c r="BM283" s="39">
        <v>0</v>
      </c>
      <c r="BN283" s="39">
        <f t="shared" si="813"/>
        <v>0</v>
      </c>
      <c r="BO283" s="39">
        <v>0</v>
      </c>
      <c r="BP283" s="39">
        <v>0</v>
      </c>
      <c r="BQ283" s="39">
        <v>0</v>
      </c>
      <c r="BR283" s="39">
        <v>0</v>
      </c>
      <c r="BS283" s="39">
        <v>0</v>
      </c>
      <c r="BT283" s="39">
        <v>0</v>
      </c>
      <c r="BU283" s="39">
        <v>0</v>
      </c>
      <c r="BV283" s="39">
        <v>0</v>
      </c>
      <c r="BW283" s="39">
        <v>0</v>
      </c>
      <c r="BX283" s="39">
        <v>0</v>
      </c>
      <c r="BY283" s="39">
        <v>0</v>
      </c>
      <c r="BZ283" s="39">
        <f t="shared" si="814"/>
        <v>0</v>
      </c>
      <c r="CA283" s="39">
        <f t="shared" si="815"/>
        <v>0</v>
      </c>
      <c r="CB283" s="39">
        <f t="shared" si="820"/>
        <v>0</v>
      </c>
      <c r="CC283" s="39">
        <v>0</v>
      </c>
      <c r="CD283" s="39">
        <v>0</v>
      </c>
      <c r="CE283" s="19">
        <f t="shared" si="791"/>
        <v>0</v>
      </c>
      <c r="CF283" s="39">
        <v>0</v>
      </c>
      <c r="CG283" s="39">
        <v>0</v>
      </c>
      <c r="CH283" s="39">
        <v>0</v>
      </c>
      <c r="CI283" s="39">
        <v>0</v>
      </c>
      <c r="CJ283" s="39">
        <v>0</v>
      </c>
      <c r="CK283" s="39">
        <f t="shared" si="816"/>
        <v>0</v>
      </c>
      <c r="CL283" s="39">
        <v>0</v>
      </c>
      <c r="CM283" s="39">
        <v>0</v>
      </c>
      <c r="CN283" s="39">
        <v>0</v>
      </c>
      <c r="CO283" s="39">
        <v>0</v>
      </c>
      <c r="CP283" s="39">
        <v>0</v>
      </c>
      <c r="CQ283" s="39"/>
      <c r="CR283" s="39"/>
      <c r="CS283" s="35"/>
      <c r="CT283" s="35"/>
      <c r="CU283" s="35"/>
      <c r="CV283" s="35"/>
      <c r="CW283" s="39">
        <f t="shared" si="821"/>
        <v>0</v>
      </c>
      <c r="CX283" s="39">
        <f t="shared" si="822"/>
        <v>0</v>
      </c>
      <c r="CY283" s="39">
        <v>0</v>
      </c>
      <c r="CZ283" s="41">
        <v>0</v>
      </c>
    </row>
    <row r="284" spans="1:105" ht="31.5" x14ac:dyDescent="0.25">
      <c r="A284" s="80" t="s">
        <v>1</v>
      </c>
      <c r="B284" s="21" t="s">
        <v>298</v>
      </c>
      <c r="C284" s="22" t="s">
        <v>377</v>
      </c>
      <c r="D284" s="18">
        <f t="shared" si="780"/>
        <v>5430000</v>
      </c>
      <c r="E284" s="19">
        <f t="shared" si="781"/>
        <v>0</v>
      </c>
      <c r="F284" s="19">
        <f t="shared" si="782"/>
        <v>0</v>
      </c>
      <c r="G284" s="19">
        <v>0</v>
      </c>
      <c r="H284" s="19">
        <v>0</v>
      </c>
      <c r="I284" s="19">
        <f t="shared" ref="I284" si="823">SUM(J284:O284)</f>
        <v>0</v>
      </c>
      <c r="J284" s="19">
        <v>0</v>
      </c>
      <c r="K284" s="19">
        <v>0</v>
      </c>
      <c r="L284" s="19">
        <v>0</v>
      </c>
      <c r="M284" s="19">
        <v>0</v>
      </c>
      <c r="N284" s="19">
        <v>0</v>
      </c>
      <c r="O284" s="19">
        <v>0</v>
      </c>
      <c r="P284" s="19">
        <f t="shared" si="818"/>
        <v>0</v>
      </c>
      <c r="Q284" s="19">
        <v>0</v>
      </c>
      <c r="R284" s="19">
        <v>0</v>
      </c>
      <c r="S284" s="19">
        <v>0</v>
      </c>
      <c r="T284" s="19">
        <v>0</v>
      </c>
      <c r="U284" s="19">
        <f t="shared" si="808"/>
        <v>0</v>
      </c>
      <c r="V284" s="19">
        <v>0</v>
      </c>
      <c r="W284" s="19">
        <v>0</v>
      </c>
      <c r="X284" s="19">
        <v>0</v>
      </c>
      <c r="Y284" s="19">
        <v>0</v>
      </c>
      <c r="Z284" s="19">
        <v>0</v>
      </c>
      <c r="AA284" s="19">
        <v>0</v>
      </c>
      <c r="AB284" s="19">
        <v>0</v>
      </c>
      <c r="AC284" s="19">
        <v>0</v>
      </c>
      <c r="AD284" s="19">
        <f t="shared" si="809"/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/>
      <c r="AQ284" s="19">
        <v>0</v>
      </c>
      <c r="AR284" s="19">
        <v>0</v>
      </c>
      <c r="AS284" s="19">
        <v>0</v>
      </c>
      <c r="AT284" s="19">
        <v>0</v>
      </c>
      <c r="AU284" s="19">
        <v>0</v>
      </c>
      <c r="AV284" s="19">
        <v>0</v>
      </c>
      <c r="AW284" s="19">
        <v>0</v>
      </c>
      <c r="AX284" s="19">
        <v>0</v>
      </c>
      <c r="AY284" s="19">
        <v>0</v>
      </c>
      <c r="AZ284" s="19">
        <v>0</v>
      </c>
      <c r="BA284" s="19">
        <f t="shared" si="810"/>
        <v>0</v>
      </c>
      <c r="BB284" s="19">
        <f t="shared" ref="BB284" si="824">SUM(BC284:BE284)</f>
        <v>0</v>
      </c>
      <c r="BC284" s="19">
        <v>0</v>
      </c>
      <c r="BD284" s="19">
        <v>0</v>
      </c>
      <c r="BE284" s="19">
        <v>0</v>
      </c>
      <c r="BF284" s="19">
        <f t="shared" ref="BF284" si="825">SUM(BH284:BH284)</f>
        <v>0</v>
      </c>
      <c r="BG284" s="19">
        <v>0</v>
      </c>
      <c r="BH284" s="19">
        <v>0</v>
      </c>
      <c r="BI284" s="19">
        <v>0</v>
      </c>
      <c r="BJ284" s="19">
        <v>0</v>
      </c>
      <c r="BK284" s="19">
        <f t="shared" si="819"/>
        <v>0</v>
      </c>
      <c r="BL284" s="19">
        <v>0</v>
      </c>
      <c r="BM284" s="19">
        <v>0</v>
      </c>
      <c r="BN284" s="19">
        <f t="shared" si="813"/>
        <v>0</v>
      </c>
      <c r="BO284" s="19">
        <v>0</v>
      </c>
      <c r="BP284" s="19">
        <v>0</v>
      </c>
      <c r="BQ284" s="19">
        <v>0</v>
      </c>
      <c r="BR284" s="19">
        <v>0</v>
      </c>
      <c r="BS284" s="19">
        <v>0</v>
      </c>
      <c r="BT284" s="19">
        <v>0</v>
      </c>
      <c r="BU284" s="19">
        <v>0</v>
      </c>
      <c r="BV284" s="19">
        <v>0</v>
      </c>
      <c r="BW284" s="19">
        <v>0</v>
      </c>
      <c r="BX284" s="19">
        <v>0</v>
      </c>
      <c r="BY284" s="19">
        <v>0</v>
      </c>
      <c r="BZ284" s="19">
        <f t="shared" si="814"/>
        <v>5430000</v>
      </c>
      <c r="CA284" s="19">
        <f t="shared" si="815"/>
        <v>0</v>
      </c>
      <c r="CB284" s="19">
        <f t="shared" ref="CB284" si="826">SUM(CC284:CD284)</f>
        <v>0</v>
      </c>
      <c r="CC284" s="19">
        <v>0</v>
      </c>
      <c r="CD284" s="19">
        <v>0</v>
      </c>
      <c r="CE284" s="19">
        <f t="shared" si="791"/>
        <v>0</v>
      </c>
      <c r="CF284" s="19">
        <v>0</v>
      </c>
      <c r="CG284" s="19">
        <v>0</v>
      </c>
      <c r="CH284" s="19">
        <v>0</v>
      </c>
      <c r="CI284" s="19">
        <v>0</v>
      </c>
      <c r="CJ284" s="19">
        <v>0</v>
      </c>
      <c r="CK284" s="19">
        <f t="shared" ref="CK284" si="827">SUM(CL284:CP284)</f>
        <v>0</v>
      </c>
      <c r="CL284" s="19">
        <v>0</v>
      </c>
      <c r="CM284" s="19">
        <v>0</v>
      </c>
      <c r="CN284" s="19">
        <v>0</v>
      </c>
      <c r="CO284" s="19">
        <v>0</v>
      </c>
      <c r="CP284" s="19">
        <v>0</v>
      </c>
      <c r="CQ284" s="19"/>
      <c r="CR284" s="19"/>
      <c r="CS284" s="35">
        <v>5430000</v>
      </c>
      <c r="CT284" s="35"/>
      <c r="CU284" s="35"/>
      <c r="CV284" s="35"/>
      <c r="CW284" s="19">
        <f t="shared" si="821"/>
        <v>0</v>
      </c>
      <c r="CX284" s="19">
        <f t="shared" ref="CX284" si="828">SUM(CY284:CZ284)</f>
        <v>0</v>
      </c>
      <c r="CY284" s="19">
        <v>0</v>
      </c>
      <c r="CZ284" s="20">
        <v>0</v>
      </c>
    </row>
    <row r="285" spans="1:105" ht="15.75" x14ac:dyDescent="0.25">
      <c r="A285" s="80" t="s">
        <v>1</v>
      </c>
      <c r="B285" s="36" t="s">
        <v>534</v>
      </c>
      <c r="C285" s="22" t="s">
        <v>594</v>
      </c>
      <c r="D285" s="18">
        <f t="shared" si="780"/>
        <v>18182846</v>
      </c>
      <c r="E285" s="19">
        <f t="shared" si="781"/>
        <v>0</v>
      </c>
      <c r="F285" s="19">
        <f t="shared" si="782"/>
        <v>0</v>
      </c>
      <c r="G285" s="19">
        <v>0</v>
      </c>
      <c r="H285" s="19">
        <v>0</v>
      </c>
      <c r="I285" s="19">
        <f t="shared" si="671"/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0</v>
      </c>
      <c r="O285" s="19">
        <v>0</v>
      </c>
      <c r="P285" s="19">
        <f t="shared" si="672"/>
        <v>0</v>
      </c>
      <c r="Q285" s="19">
        <v>0</v>
      </c>
      <c r="R285" s="19">
        <v>0</v>
      </c>
      <c r="S285" s="19">
        <v>0</v>
      </c>
      <c r="T285" s="19">
        <v>0</v>
      </c>
      <c r="U285" s="19">
        <f t="shared" si="799"/>
        <v>0</v>
      </c>
      <c r="V285" s="19">
        <v>0</v>
      </c>
      <c r="W285" s="19">
        <v>0</v>
      </c>
      <c r="X285" s="19">
        <v>0</v>
      </c>
      <c r="Y285" s="19">
        <v>0</v>
      </c>
      <c r="Z285" s="19">
        <v>0</v>
      </c>
      <c r="AA285" s="19">
        <v>0</v>
      </c>
      <c r="AB285" s="19">
        <v>0</v>
      </c>
      <c r="AC285" s="19">
        <v>0</v>
      </c>
      <c r="AD285" s="19">
        <f t="shared" si="809"/>
        <v>0</v>
      </c>
      <c r="AE285" s="19">
        <v>0</v>
      </c>
      <c r="AF285" s="19">
        <v>0</v>
      </c>
      <c r="AG285" s="19">
        <v>0</v>
      </c>
      <c r="AH285" s="19">
        <v>0</v>
      </c>
      <c r="AI285" s="19">
        <v>0</v>
      </c>
      <c r="AJ285" s="19">
        <v>0</v>
      </c>
      <c r="AK285" s="19">
        <v>0</v>
      </c>
      <c r="AL285" s="19">
        <v>0</v>
      </c>
      <c r="AM285" s="19">
        <v>0</v>
      </c>
      <c r="AN285" s="19">
        <v>0</v>
      </c>
      <c r="AO285" s="19">
        <v>0</v>
      </c>
      <c r="AP285" s="19"/>
      <c r="AQ285" s="19">
        <v>0</v>
      </c>
      <c r="AR285" s="19">
        <v>0</v>
      </c>
      <c r="AS285" s="19">
        <v>0</v>
      </c>
      <c r="AT285" s="19">
        <v>0</v>
      </c>
      <c r="AU285" s="19">
        <v>0</v>
      </c>
      <c r="AV285" s="19">
        <v>0</v>
      </c>
      <c r="AW285" s="19">
        <v>0</v>
      </c>
      <c r="AX285" s="19">
        <v>0</v>
      </c>
      <c r="AY285" s="19">
        <v>0</v>
      </c>
      <c r="AZ285" s="19">
        <v>0</v>
      </c>
      <c r="BA285" s="19">
        <f t="shared" si="810"/>
        <v>0</v>
      </c>
      <c r="BB285" s="19">
        <f t="shared" si="800"/>
        <v>0</v>
      </c>
      <c r="BC285" s="19">
        <v>0</v>
      </c>
      <c r="BD285" s="19">
        <v>0</v>
      </c>
      <c r="BE285" s="19">
        <v>0</v>
      </c>
      <c r="BF285" s="19">
        <f>SUM(BH285:BH285)</f>
        <v>0</v>
      </c>
      <c r="BG285" s="19">
        <v>0</v>
      </c>
      <c r="BH285" s="19">
        <v>0</v>
      </c>
      <c r="BI285" s="19">
        <v>0</v>
      </c>
      <c r="BJ285" s="19">
        <v>0</v>
      </c>
      <c r="BK285" s="19">
        <f t="shared" si="674"/>
        <v>0</v>
      </c>
      <c r="BL285" s="19">
        <v>0</v>
      </c>
      <c r="BM285" s="19">
        <v>0</v>
      </c>
      <c r="BN285" s="19">
        <f t="shared" si="788"/>
        <v>0</v>
      </c>
      <c r="BO285" s="19">
        <v>0</v>
      </c>
      <c r="BP285" s="19">
        <v>0</v>
      </c>
      <c r="BQ285" s="19">
        <v>0</v>
      </c>
      <c r="BR285" s="19">
        <v>0</v>
      </c>
      <c r="BS285" s="19">
        <v>0</v>
      </c>
      <c r="BT285" s="19">
        <v>0</v>
      </c>
      <c r="BU285" s="19">
        <v>0</v>
      </c>
      <c r="BV285" s="19">
        <v>0</v>
      </c>
      <c r="BW285" s="19">
        <v>0</v>
      </c>
      <c r="BX285" s="19">
        <v>0</v>
      </c>
      <c r="BY285" s="19">
        <v>0</v>
      </c>
      <c r="BZ285" s="19">
        <f t="shared" si="814"/>
        <v>18182846</v>
      </c>
      <c r="CA285" s="19">
        <f t="shared" si="815"/>
        <v>0</v>
      </c>
      <c r="CB285" s="19">
        <f t="shared" si="675"/>
        <v>0</v>
      </c>
      <c r="CC285" s="19">
        <v>0</v>
      </c>
      <c r="CD285" s="19">
        <v>0</v>
      </c>
      <c r="CE285" s="19">
        <f t="shared" si="791"/>
        <v>0</v>
      </c>
      <c r="CF285" s="19">
        <v>0</v>
      </c>
      <c r="CG285" s="19">
        <v>0</v>
      </c>
      <c r="CH285" s="19">
        <v>0</v>
      </c>
      <c r="CI285" s="19">
        <v>0</v>
      </c>
      <c r="CJ285" s="19">
        <v>0</v>
      </c>
      <c r="CK285" s="19">
        <f t="shared" si="801"/>
        <v>0</v>
      </c>
      <c r="CL285" s="19">
        <v>0</v>
      </c>
      <c r="CM285" s="19">
        <v>0</v>
      </c>
      <c r="CN285" s="19">
        <v>0</v>
      </c>
      <c r="CO285" s="19">
        <v>0</v>
      </c>
      <c r="CP285" s="19">
        <v>0</v>
      </c>
      <c r="CQ285" s="19"/>
      <c r="CR285" s="19"/>
      <c r="CS285" s="35">
        <f>16500000+1682846</f>
        <v>18182846</v>
      </c>
      <c r="CT285" s="35"/>
      <c r="CU285" s="35"/>
      <c r="CV285" s="35"/>
      <c r="CW285" s="19">
        <f t="shared" si="676"/>
        <v>0</v>
      </c>
      <c r="CX285" s="19">
        <f t="shared" si="677"/>
        <v>0</v>
      </c>
      <c r="CY285" s="19">
        <v>0</v>
      </c>
      <c r="CZ285" s="20">
        <v>0</v>
      </c>
    </row>
    <row r="286" spans="1:105" ht="20.25" customHeight="1" x14ac:dyDescent="0.25">
      <c r="A286" s="79" t="s">
        <v>326</v>
      </c>
      <c r="B286" s="16" t="s">
        <v>1</v>
      </c>
      <c r="C286" s="17" t="s">
        <v>327</v>
      </c>
      <c r="D286" s="18">
        <f t="shared" ref="D286:BQ288" si="829">SUM(D287)</f>
        <v>20411301</v>
      </c>
      <c r="E286" s="18">
        <f t="shared" si="829"/>
        <v>0</v>
      </c>
      <c r="F286" s="18">
        <f t="shared" si="829"/>
        <v>0</v>
      </c>
      <c r="G286" s="18">
        <f t="shared" si="829"/>
        <v>0</v>
      </c>
      <c r="H286" s="18">
        <f t="shared" si="829"/>
        <v>0</v>
      </c>
      <c r="I286" s="18">
        <f t="shared" si="829"/>
        <v>0</v>
      </c>
      <c r="J286" s="18">
        <f t="shared" si="829"/>
        <v>0</v>
      </c>
      <c r="K286" s="18">
        <f t="shared" si="829"/>
        <v>0</v>
      </c>
      <c r="L286" s="18">
        <f t="shared" si="829"/>
        <v>0</v>
      </c>
      <c r="M286" s="18">
        <f t="shared" si="829"/>
        <v>0</v>
      </c>
      <c r="N286" s="18">
        <f t="shared" si="829"/>
        <v>0</v>
      </c>
      <c r="O286" s="18">
        <f t="shared" si="829"/>
        <v>0</v>
      </c>
      <c r="P286" s="18">
        <f t="shared" si="829"/>
        <v>0</v>
      </c>
      <c r="Q286" s="18">
        <f t="shared" si="829"/>
        <v>0</v>
      </c>
      <c r="R286" s="18">
        <f t="shared" si="829"/>
        <v>0</v>
      </c>
      <c r="S286" s="18">
        <f t="shared" si="829"/>
        <v>0</v>
      </c>
      <c r="T286" s="18">
        <f t="shared" si="829"/>
        <v>0</v>
      </c>
      <c r="U286" s="18">
        <f t="shared" si="829"/>
        <v>0</v>
      </c>
      <c r="V286" s="18">
        <f t="shared" si="829"/>
        <v>0</v>
      </c>
      <c r="W286" s="18">
        <f t="shared" si="829"/>
        <v>0</v>
      </c>
      <c r="X286" s="18">
        <f t="shared" si="829"/>
        <v>0</v>
      </c>
      <c r="Y286" s="18">
        <f t="shared" si="829"/>
        <v>0</v>
      </c>
      <c r="Z286" s="18">
        <f t="shared" si="829"/>
        <v>0</v>
      </c>
      <c r="AA286" s="18">
        <f t="shared" si="829"/>
        <v>0</v>
      </c>
      <c r="AB286" s="18">
        <f t="shared" si="829"/>
        <v>0</v>
      </c>
      <c r="AC286" s="18">
        <f t="shared" si="829"/>
        <v>0</v>
      </c>
      <c r="AD286" s="18">
        <f t="shared" si="829"/>
        <v>0</v>
      </c>
      <c r="AE286" s="18">
        <f t="shared" si="829"/>
        <v>0</v>
      </c>
      <c r="AF286" s="18">
        <f t="shared" si="829"/>
        <v>0</v>
      </c>
      <c r="AG286" s="18">
        <f t="shared" si="829"/>
        <v>0</v>
      </c>
      <c r="AH286" s="18">
        <f t="shared" si="829"/>
        <v>0</v>
      </c>
      <c r="AI286" s="18">
        <f t="shared" si="829"/>
        <v>0</v>
      </c>
      <c r="AJ286" s="18">
        <f t="shared" si="829"/>
        <v>0</v>
      </c>
      <c r="AK286" s="18">
        <f t="shared" si="829"/>
        <v>0</v>
      </c>
      <c r="AL286" s="18">
        <f t="shared" si="829"/>
        <v>0</v>
      </c>
      <c r="AM286" s="18">
        <f t="shared" si="829"/>
        <v>0</v>
      </c>
      <c r="AN286" s="18">
        <f t="shared" si="829"/>
        <v>0</v>
      </c>
      <c r="AO286" s="18">
        <f t="shared" si="829"/>
        <v>0</v>
      </c>
      <c r="AP286" s="18"/>
      <c r="AQ286" s="18">
        <f t="shared" si="829"/>
        <v>0</v>
      </c>
      <c r="AR286" s="18">
        <f t="shared" si="829"/>
        <v>0</v>
      </c>
      <c r="AS286" s="18">
        <f t="shared" si="829"/>
        <v>0</v>
      </c>
      <c r="AT286" s="18">
        <f t="shared" si="829"/>
        <v>0</v>
      </c>
      <c r="AU286" s="18">
        <f t="shared" si="829"/>
        <v>0</v>
      </c>
      <c r="AV286" s="18">
        <f t="shared" si="829"/>
        <v>0</v>
      </c>
      <c r="AW286" s="18">
        <f t="shared" si="829"/>
        <v>0</v>
      </c>
      <c r="AX286" s="18">
        <f t="shared" si="829"/>
        <v>0</v>
      </c>
      <c r="AY286" s="18"/>
      <c r="AZ286" s="18">
        <f t="shared" si="829"/>
        <v>0</v>
      </c>
      <c r="BA286" s="18">
        <f t="shared" si="829"/>
        <v>0</v>
      </c>
      <c r="BB286" s="18">
        <f t="shared" si="829"/>
        <v>0</v>
      </c>
      <c r="BC286" s="18">
        <f t="shared" si="829"/>
        <v>0</v>
      </c>
      <c r="BD286" s="18">
        <f t="shared" si="829"/>
        <v>0</v>
      </c>
      <c r="BE286" s="18">
        <f t="shared" si="829"/>
        <v>0</v>
      </c>
      <c r="BF286" s="18">
        <f t="shared" si="829"/>
        <v>0</v>
      </c>
      <c r="BG286" s="18">
        <f t="shared" si="829"/>
        <v>0</v>
      </c>
      <c r="BH286" s="18">
        <f t="shared" si="829"/>
        <v>0</v>
      </c>
      <c r="BI286" s="18">
        <f t="shared" si="829"/>
        <v>0</v>
      </c>
      <c r="BJ286" s="18">
        <f t="shared" si="829"/>
        <v>0</v>
      </c>
      <c r="BK286" s="18">
        <f t="shared" si="829"/>
        <v>0</v>
      </c>
      <c r="BL286" s="18">
        <f t="shared" si="829"/>
        <v>0</v>
      </c>
      <c r="BM286" s="18">
        <f t="shared" si="829"/>
        <v>0</v>
      </c>
      <c r="BN286" s="18">
        <f t="shared" si="829"/>
        <v>0</v>
      </c>
      <c r="BO286" s="18">
        <f t="shared" si="829"/>
        <v>0</v>
      </c>
      <c r="BP286" s="18">
        <f t="shared" si="829"/>
        <v>0</v>
      </c>
      <c r="BQ286" s="18">
        <f t="shared" si="829"/>
        <v>0</v>
      </c>
      <c r="BR286" s="18">
        <f t="shared" ref="BR286:CZ288" si="830">SUM(BR287)</f>
        <v>0</v>
      </c>
      <c r="BS286" s="18">
        <f t="shared" si="830"/>
        <v>0</v>
      </c>
      <c r="BT286" s="18">
        <f t="shared" si="830"/>
        <v>0</v>
      </c>
      <c r="BU286" s="18">
        <f t="shared" si="830"/>
        <v>0</v>
      </c>
      <c r="BV286" s="18">
        <f t="shared" si="830"/>
        <v>0</v>
      </c>
      <c r="BW286" s="18">
        <f t="shared" si="830"/>
        <v>0</v>
      </c>
      <c r="BX286" s="18">
        <f t="shared" si="830"/>
        <v>0</v>
      </c>
      <c r="BY286" s="18">
        <f t="shared" si="830"/>
        <v>0</v>
      </c>
      <c r="BZ286" s="18">
        <f t="shared" si="830"/>
        <v>20411301</v>
      </c>
      <c r="CA286" s="18">
        <f t="shared" si="830"/>
        <v>0</v>
      </c>
      <c r="CB286" s="18">
        <f t="shared" si="830"/>
        <v>0</v>
      </c>
      <c r="CC286" s="18">
        <f t="shared" si="830"/>
        <v>0</v>
      </c>
      <c r="CD286" s="18">
        <f t="shared" si="830"/>
        <v>0</v>
      </c>
      <c r="CE286" s="18">
        <f t="shared" si="830"/>
        <v>0</v>
      </c>
      <c r="CF286" s="18">
        <f t="shared" si="830"/>
        <v>0</v>
      </c>
      <c r="CG286" s="18">
        <f t="shared" si="830"/>
        <v>0</v>
      </c>
      <c r="CH286" s="18">
        <f t="shared" si="830"/>
        <v>0</v>
      </c>
      <c r="CI286" s="18">
        <f t="shared" si="830"/>
        <v>0</v>
      </c>
      <c r="CJ286" s="18">
        <f t="shared" si="830"/>
        <v>0</v>
      </c>
      <c r="CK286" s="18">
        <f t="shared" si="830"/>
        <v>0</v>
      </c>
      <c r="CL286" s="18">
        <f t="shared" si="830"/>
        <v>0</v>
      </c>
      <c r="CM286" s="18">
        <f t="shared" si="830"/>
        <v>0</v>
      </c>
      <c r="CN286" s="18">
        <f t="shared" si="830"/>
        <v>0</v>
      </c>
      <c r="CO286" s="18"/>
      <c r="CP286" s="18"/>
      <c r="CQ286" s="18"/>
      <c r="CR286" s="18"/>
      <c r="CS286" s="38">
        <f t="shared" si="830"/>
        <v>20411301</v>
      </c>
      <c r="CT286" s="38">
        <f t="shared" si="830"/>
        <v>0</v>
      </c>
      <c r="CU286" s="38">
        <f t="shared" si="830"/>
        <v>0</v>
      </c>
      <c r="CV286" s="38">
        <f t="shared" si="830"/>
        <v>0</v>
      </c>
      <c r="CW286" s="18">
        <f t="shared" si="830"/>
        <v>0</v>
      </c>
      <c r="CX286" s="18">
        <f t="shared" si="830"/>
        <v>0</v>
      </c>
      <c r="CY286" s="18">
        <f t="shared" si="830"/>
        <v>0</v>
      </c>
      <c r="CZ286" s="46">
        <f t="shared" si="830"/>
        <v>0</v>
      </c>
      <c r="DA286" s="57"/>
    </row>
    <row r="287" spans="1:105" s="55" customFormat="1" ht="15.75" x14ac:dyDescent="0.25">
      <c r="A287" s="80" t="s">
        <v>1</v>
      </c>
      <c r="B287" s="21" t="s">
        <v>328</v>
      </c>
      <c r="C287" s="22" t="s">
        <v>327</v>
      </c>
      <c r="D287" s="38">
        <f>SUM(E287+BZ287+CW287)</f>
        <v>20411301</v>
      </c>
      <c r="E287" s="19">
        <f>SUM(F287+BA287)</f>
        <v>0</v>
      </c>
      <c r="F287" s="19">
        <f>SUM(G287+H287+I287+P287+S287+T287+U287+AD287)</f>
        <v>0</v>
      </c>
      <c r="G287" s="19">
        <v>0</v>
      </c>
      <c r="H287" s="19">
        <v>0</v>
      </c>
      <c r="I287" s="19">
        <f t="shared" si="671"/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f t="shared" si="672"/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f t="shared" ref="U287" si="831">SUM(V287:AC287)</f>
        <v>0</v>
      </c>
      <c r="V287" s="19">
        <v>0</v>
      </c>
      <c r="W287" s="19">
        <v>0</v>
      </c>
      <c r="X287" s="19">
        <v>0</v>
      </c>
      <c r="Y287" s="19">
        <v>0</v>
      </c>
      <c r="Z287" s="19">
        <v>0</v>
      </c>
      <c r="AA287" s="19">
        <v>0</v>
      </c>
      <c r="AB287" s="19">
        <v>0</v>
      </c>
      <c r="AC287" s="19">
        <v>0</v>
      </c>
      <c r="AD287" s="19">
        <f>SUM(AE287:AZ287)</f>
        <v>0</v>
      </c>
      <c r="AE287" s="19">
        <v>0</v>
      </c>
      <c r="AF287" s="19">
        <v>0</v>
      </c>
      <c r="AG287" s="19">
        <v>0</v>
      </c>
      <c r="AH287" s="19">
        <v>0</v>
      </c>
      <c r="AI287" s="19">
        <v>0</v>
      </c>
      <c r="AJ287" s="19">
        <v>0</v>
      </c>
      <c r="AK287" s="19">
        <v>0</v>
      </c>
      <c r="AL287" s="19">
        <v>0</v>
      </c>
      <c r="AM287" s="19">
        <v>0</v>
      </c>
      <c r="AN287" s="19">
        <v>0</v>
      </c>
      <c r="AO287" s="19">
        <v>0</v>
      </c>
      <c r="AP287" s="19"/>
      <c r="AQ287" s="19">
        <v>0</v>
      </c>
      <c r="AR287" s="19">
        <v>0</v>
      </c>
      <c r="AS287" s="19">
        <v>0</v>
      </c>
      <c r="AT287" s="19">
        <v>0</v>
      </c>
      <c r="AU287" s="19">
        <v>0</v>
      </c>
      <c r="AV287" s="19">
        <v>0</v>
      </c>
      <c r="AW287" s="19">
        <v>0</v>
      </c>
      <c r="AX287" s="19">
        <v>0</v>
      </c>
      <c r="AY287" s="19"/>
      <c r="AZ287" s="19">
        <v>0</v>
      </c>
      <c r="BA287" s="19">
        <f>SUM(BB287+BF287+BI287+BK287+BN287)</f>
        <v>0</v>
      </c>
      <c r="BB287" s="19">
        <f>SUM(BC287:BE287)</f>
        <v>0</v>
      </c>
      <c r="BC287" s="19">
        <v>0</v>
      </c>
      <c r="BD287" s="19">
        <v>0</v>
      </c>
      <c r="BE287" s="19">
        <v>0</v>
      </c>
      <c r="BF287" s="19">
        <f>SUM(BH287:BH287)</f>
        <v>0</v>
      </c>
      <c r="BG287" s="19">
        <v>0</v>
      </c>
      <c r="BH287" s="19">
        <v>0</v>
      </c>
      <c r="BI287" s="19">
        <v>0</v>
      </c>
      <c r="BJ287" s="19">
        <v>0</v>
      </c>
      <c r="BK287" s="19">
        <f t="shared" si="674"/>
        <v>0</v>
      </c>
      <c r="BL287" s="19">
        <v>0</v>
      </c>
      <c r="BM287" s="19">
        <v>0</v>
      </c>
      <c r="BN287" s="19">
        <f>SUM(BO287:BY287)</f>
        <v>0</v>
      </c>
      <c r="BO287" s="19">
        <v>0</v>
      </c>
      <c r="BP287" s="19">
        <v>0</v>
      </c>
      <c r="BQ287" s="19">
        <v>0</v>
      </c>
      <c r="BR287" s="19">
        <v>0</v>
      </c>
      <c r="BS287" s="19">
        <v>0</v>
      </c>
      <c r="BT287" s="19">
        <v>0</v>
      </c>
      <c r="BU287" s="19">
        <v>0</v>
      </c>
      <c r="BV287" s="19">
        <v>0</v>
      </c>
      <c r="BW287" s="19">
        <v>0</v>
      </c>
      <c r="BX287" s="19">
        <v>0</v>
      </c>
      <c r="BY287" s="19">
        <v>0</v>
      </c>
      <c r="BZ287" s="19">
        <f>SUM(CA287+CS287)</f>
        <v>20411301</v>
      </c>
      <c r="CA287" s="19">
        <f>SUM(CB287+CE287+CK287)</f>
        <v>0</v>
      </c>
      <c r="CB287" s="19">
        <f t="shared" si="675"/>
        <v>0</v>
      </c>
      <c r="CC287" s="19">
        <v>0</v>
      </c>
      <c r="CD287" s="19">
        <v>0</v>
      </c>
      <c r="CE287" s="19">
        <f>SUM(CF287:CJ287)</f>
        <v>0</v>
      </c>
      <c r="CF287" s="19">
        <v>0</v>
      </c>
      <c r="CG287" s="19">
        <v>0</v>
      </c>
      <c r="CH287" s="19">
        <v>0</v>
      </c>
      <c r="CI287" s="19">
        <v>0</v>
      </c>
      <c r="CJ287" s="19">
        <v>0</v>
      </c>
      <c r="CK287" s="19">
        <f>SUM(CL287:CP287)</f>
        <v>0</v>
      </c>
      <c r="CL287" s="19">
        <v>0</v>
      </c>
      <c r="CM287" s="19">
        <v>0</v>
      </c>
      <c r="CN287" s="19">
        <v>0</v>
      </c>
      <c r="CO287" s="19"/>
      <c r="CP287" s="19"/>
      <c r="CQ287" s="19"/>
      <c r="CR287" s="19"/>
      <c r="CS287" s="39">
        <f>12201145-238470+2553626+5895000</f>
        <v>20411301</v>
      </c>
      <c r="CT287" s="39"/>
      <c r="CU287" s="39"/>
      <c r="CV287" s="39"/>
      <c r="CW287" s="19">
        <f t="shared" si="676"/>
        <v>0</v>
      </c>
      <c r="CX287" s="19">
        <f t="shared" si="677"/>
        <v>0</v>
      </c>
      <c r="CY287" s="19">
        <v>0</v>
      </c>
      <c r="CZ287" s="20">
        <v>0</v>
      </c>
      <c r="DA287" s="52"/>
    </row>
    <row r="288" spans="1:105" s="52" customFormat="1" ht="31.5" x14ac:dyDescent="0.25">
      <c r="A288" s="79" t="s">
        <v>329</v>
      </c>
      <c r="B288" s="16" t="s">
        <v>1</v>
      </c>
      <c r="C288" s="30" t="s">
        <v>582</v>
      </c>
      <c r="D288" s="18">
        <f t="shared" si="829"/>
        <v>8681532</v>
      </c>
      <c r="E288" s="18">
        <f t="shared" si="829"/>
        <v>8681532</v>
      </c>
      <c r="F288" s="18">
        <f t="shared" si="829"/>
        <v>0</v>
      </c>
      <c r="G288" s="18">
        <f t="shared" si="829"/>
        <v>0</v>
      </c>
      <c r="H288" s="18">
        <f t="shared" si="829"/>
        <v>0</v>
      </c>
      <c r="I288" s="18">
        <f t="shared" si="829"/>
        <v>0</v>
      </c>
      <c r="J288" s="18">
        <f t="shared" si="829"/>
        <v>0</v>
      </c>
      <c r="K288" s="18">
        <f t="shared" si="829"/>
        <v>0</v>
      </c>
      <c r="L288" s="18">
        <f t="shared" si="829"/>
        <v>0</v>
      </c>
      <c r="M288" s="18">
        <f t="shared" si="829"/>
        <v>0</v>
      </c>
      <c r="N288" s="18">
        <f t="shared" si="829"/>
        <v>0</v>
      </c>
      <c r="O288" s="18">
        <f t="shared" si="829"/>
        <v>0</v>
      </c>
      <c r="P288" s="18">
        <f t="shared" si="829"/>
        <v>0</v>
      </c>
      <c r="Q288" s="18">
        <f t="shared" si="829"/>
        <v>0</v>
      </c>
      <c r="R288" s="18">
        <f t="shared" si="829"/>
        <v>0</v>
      </c>
      <c r="S288" s="18">
        <f t="shared" si="829"/>
        <v>0</v>
      </c>
      <c r="T288" s="18">
        <f t="shared" si="829"/>
        <v>0</v>
      </c>
      <c r="U288" s="18">
        <f t="shared" si="829"/>
        <v>0</v>
      </c>
      <c r="V288" s="18">
        <f t="shared" si="829"/>
        <v>0</v>
      </c>
      <c r="W288" s="18">
        <f t="shared" si="829"/>
        <v>0</v>
      </c>
      <c r="X288" s="18">
        <f t="shared" si="829"/>
        <v>0</v>
      </c>
      <c r="Y288" s="18">
        <f t="shared" si="829"/>
        <v>0</v>
      </c>
      <c r="Z288" s="18">
        <f t="shared" si="829"/>
        <v>0</v>
      </c>
      <c r="AA288" s="18">
        <f t="shared" si="829"/>
        <v>0</v>
      </c>
      <c r="AB288" s="18">
        <f t="shared" si="829"/>
        <v>0</v>
      </c>
      <c r="AC288" s="18">
        <f t="shared" si="829"/>
        <v>0</v>
      </c>
      <c r="AD288" s="18">
        <f t="shared" si="829"/>
        <v>0</v>
      </c>
      <c r="AE288" s="18">
        <f t="shared" si="829"/>
        <v>0</v>
      </c>
      <c r="AF288" s="18">
        <f t="shared" si="829"/>
        <v>0</v>
      </c>
      <c r="AG288" s="18">
        <f t="shared" si="829"/>
        <v>0</v>
      </c>
      <c r="AH288" s="18">
        <f t="shared" si="829"/>
        <v>0</v>
      </c>
      <c r="AI288" s="18">
        <f t="shared" si="829"/>
        <v>0</v>
      </c>
      <c r="AJ288" s="18">
        <f t="shared" si="829"/>
        <v>0</v>
      </c>
      <c r="AK288" s="18">
        <f t="shared" si="829"/>
        <v>0</v>
      </c>
      <c r="AL288" s="18">
        <f t="shared" si="829"/>
        <v>0</v>
      </c>
      <c r="AM288" s="18">
        <f t="shared" si="829"/>
        <v>0</v>
      </c>
      <c r="AN288" s="18">
        <f t="shared" si="829"/>
        <v>0</v>
      </c>
      <c r="AO288" s="18">
        <f t="shared" si="829"/>
        <v>0</v>
      </c>
      <c r="AP288" s="18"/>
      <c r="AQ288" s="18">
        <f t="shared" si="829"/>
        <v>0</v>
      </c>
      <c r="AR288" s="18">
        <f t="shared" si="829"/>
        <v>0</v>
      </c>
      <c r="AS288" s="18">
        <f t="shared" si="829"/>
        <v>0</v>
      </c>
      <c r="AT288" s="18">
        <f t="shared" si="829"/>
        <v>0</v>
      </c>
      <c r="AU288" s="18">
        <f t="shared" si="829"/>
        <v>0</v>
      </c>
      <c r="AV288" s="18">
        <f t="shared" si="829"/>
        <v>0</v>
      </c>
      <c r="AW288" s="18">
        <f t="shared" si="829"/>
        <v>0</v>
      </c>
      <c r="AX288" s="18">
        <f t="shared" si="829"/>
        <v>0</v>
      </c>
      <c r="AY288" s="18"/>
      <c r="AZ288" s="18">
        <f t="shared" si="829"/>
        <v>0</v>
      </c>
      <c r="BA288" s="18">
        <f t="shared" si="829"/>
        <v>8681532</v>
      </c>
      <c r="BB288" s="18">
        <f t="shared" si="829"/>
        <v>0</v>
      </c>
      <c r="BC288" s="18">
        <f t="shared" si="829"/>
        <v>0</v>
      </c>
      <c r="BD288" s="18">
        <f t="shared" si="829"/>
        <v>0</v>
      </c>
      <c r="BE288" s="18">
        <f t="shared" si="829"/>
        <v>0</v>
      </c>
      <c r="BF288" s="18">
        <f t="shared" si="829"/>
        <v>0</v>
      </c>
      <c r="BG288" s="18">
        <f t="shared" si="829"/>
        <v>0</v>
      </c>
      <c r="BH288" s="18">
        <f t="shared" si="829"/>
        <v>0</v>
      </c>
      <c r="BI288" s="18">
        <f t="shared" si="829"/>
        <v>8681532</v>
      </c>
      <c r="BJ288" s="18">
        <f t="shared" si="829"/>
        <v>0</v>
      </c>
      <c r="BK288" s="18">
        <f t="shared" si="829"/>
        <v>0</v>
      </c>
      <c r="BL288" s="18">
        <f t="shared" si="829"/>
        <v>0</v>
      </c>
      <c r="BM288" s="18">
        <f t="shared" si="829"/>
        <v>0</v>
      </c>
      <c r="BN288" s="18">
        <f t="shared" si="829"/>
        <v>0</v>
      </c>
      <c r="BO288" s="18">
        <f t="shared" si="829"/>
        <v>0</v>
      </c>
      <c r="BP288" s="18">
        <f t="shared" si="829"/>
        <v>0</v>
      </c>
      <c r="BQ288" s="18">
        <f t="shared" si="829"/>
        <v>0</v>
      </c>
      <c r="BR288" s="18">
        <f t="shared" si="830"/>
        <v>0</v>
      </c>
      <c r="BS288" s="18">
        <f t="shared" si="830"/>
        <v>0</v>
      </c>
      <c r="BT288" s="18">
        <f t="shared" si="830"/>
        <v>0</v>
      </c>
      <c r="BU288" s="18">
        <f t="shared" si="830"/>
        <v>0</v>
      </c>
      <c r="BV288" s="18">
        <f t="shared" si="830"/>
        <v>0</v>
      </c>
      <c r="BW288" s="18">
        <f t="shared" si="830"/>
        <v>0</v>
      </c>
      <c r="BX288" s="18">
        <f t="shared" si="830"/>
        <v>0</v>
      </c>
      <c r="BY288" s="18">
        <f t="shared" si="830"/>
        <v>0</v>
      </c>
      <c r="BZ288" s="18">
        <f t="shared" si="830"/>
        <v>0</v>
      </c>
      <c r="CA288" s="18">
        <f t="shared" si="830"/>
        <v>0</v>
      </c>
      <c r="CB288" s="18">
        <f t="shared" si="830"/>
        <v>0</v>
      </c>
      <c r="CC288" s="18">
        <f t="shared" si="830"/>
        <v>0</v>
      </c>
      <c r="CD288" s="18">
        <f t="shared" si="830"/>
        <v>0</v>
      </c>
      <c r="CE288" s="18">
        <f t="shared" si="830"/>
        <v>0</v>
      </c>
      <c r="CF288" s="18">
        <f t="shared" si="830"/>
        <v>0</v>
      </c>
      <c r="CG288" s="18">
        <f t="shared" si="830"/>
        <v>0</v>
      </c>
      <c r="CH288" s="18">
        <f t="shared" si="830"/>
        <v>0</v>
      </c>
      <c r="CI288" s="18">
        <f t="shared" si="830"/>
        <v>0</v>
      </c>
      <c r="CJ288" s="18">
        <f t="shared" si="830"/>
        <v>0</v>
      </c>
      <c r="CK288" s="18">
        <f t="shared" si="830"/>
        <v>0</v>
      </c>
      <c r="CL288" s="18">
        <f t="shared" si="830"/>
        <v>0</v>
      </c>
      <c r="CM288" s="18">
        <f t="shared" si="830"/>
        <v>0</v>
      </c>
      <c r="CN288" s="18">
        <f t="shared" si="830"/>
        <v>0</v>
      </c>
      <c r="CO288" s="18"/>
      <c r="CP288" s="18"/>
      <c r="CQ288" s="18"/>
      <c r="CR288" s="18"/>
      <c r="CS288" s="18">
        <f t="shared" si="830"/>
        <v>0</v>
      </c>
      <c r="CT288" s="18"/>
      <c r="CU288" s="18"/>
      <c r="CV288" s="18"/>
      <c r="CW288" s="18">
        <f t="shared" si="830"/>
        <v>0</v>
      </c>
      <c r="CX288" s="18">
        <f t="shared" si="830"/>
        <v>0</v>
      </c>
      <c r="CY288" s="18">
        <f t="shared" si="830"/>
        <v>0</v>
      </c>
      <c r="CZ288" s="46">
        <f t="shared" si="830"/>
        <v>0</v>
      </c>
      <c r="DA288" s="57"/>
    </row>
    <row r="289" spans="1:105" s="52" customFormat="1" ht="31.5" x14ac:dyDescent="0.25">
      <c r="A289" s="80" t="s">
        <v>1</v>
      </c>
      <c r="B289" s="21" t="s">
        <v>103</v>
      </c>
      <c r="C289" s="31" t="s">
        <v>582</v>
      </c>
      <c r="D289" s="18">
        <f>SUM(E289+BZ289+CW289)</f>
        <v>8681532</v>
      </c>
      <c r="E289" s="19">
        <f>SUM(F289+BA289)</f>
        <v>8681532</v>
      </c>
      <c r="F289" s="19">
        <f>SUM(G289+H289+I289+P289+S289+T289+U289+AD289)</f>
        <v>0</v>
      </c>
      <c r="G289" s="19">
        <v>0</v>
      </c>
      <c r="H289" s="19">
        <v>0</v>
      </c>
      <c r="I289" s="19">
        <f t="shared" ref="I289" si="832">SUM(J289:O289)</f>
        <v>0</v>
      </c>
      <c r="J289" s="19">
        <v>0</v>
      </c>
      <c r="K289" s="19">
        <v>0</v>
      </c>
      <c r="L289" s="19">
        <v>0</v>
      </c>
      <c r="M289" s="19">
        <v>0</v>
      </c>
      <c r="N289" s="19">
        <v>0</v>
      </c>
      <c r="O289" s="19">
        <v>0</v>
      </c>
      <c r="P289" s="19">
        <f t="shared" ref="P289" si="833">SUM(Q289:R289)</f>
        <v>0</v>
      </c>
      <c r="Q289" s="19">
        <v>0</v>
      </c>
      <c r="R289" s="19">
        <v>0</v>
      </c>
      <c r="S289" s="19">
        <v>0</v>
      </c>
      <c r="T289" s="19">
        <v>0</v>
      </c>
      <c r="U289" s="19">
        <f t="shared" ref="U289" si="834">SUM(V289:AC289)</f>
        <v>0</v>
      </c>
      <c r="V289" s="19">
        <v>0</v>
      </c>
      <c r="W289" s="19">
        <v>0</v>
      </c>
      <c r="X289" s="19">
        <v>0</v>
      </c>
      <c r="Y289" s="19">
        <v>0</v>
      </c>
      <c r="Z289" s="19">
        <v>0</v>
      </c>
      <c r="AA289" s="19">
        <v>0</v>
      </c>
      <c r="AB289" s="19">
        <v>0</v>
      </c>
      <c r="AC289" s="19">
        <v>0</v>
      </c>
      <c r="AD289" s="19">
        <f>SUM(AE289:AZ289)</f>
        <v>0</v>
      </c>
      <c r="AE289" s="19">
        <v>0</v>
      </c>
      <c r="AF289" s="19">
        <v>0</v>
      </c>
      <c r="AG289" s="19">
        <v>0</v>
      </c>
      <c r="AH289" s="19">
        <v>0</v>
      </c>
      <c r="AI289" s="19">
        <v>0</v>
      </c>
      <c r="AJ289" s="19">
        <v>0</v>
      </c>
      <c r="AK289" s="19">
        <v>0</v>
      </c>
      <c r="AL289" s="19">
        <v>0</v>
      </c>
      <c r="AM289" s="19">
        <v>0</v>
      </c>
      <c r="AN289" s="19">
        <v>0</v>
      </c>
      <c r="AO289" s="19">
        <v>0</v>
      </c>
      <c r="AP289" s="19"/>
      <c r="AQ289" s="19">
        <v>0</v>
      </c>
      <c r="AR289" s="19">
        <v>0</v>
      </c>
      <c r="AS289" s="19">
        <v>0</v>
      </c>
      <c r="AT289" s="19">
        <v>0</v>
      </c>
      <c r="AU289" s="19">
        <v>0</v>
      </c>
      <c r="AV289" s="19">
        <v>0</v>
      </c>
      <c r="AW289" s="19">
        <v>0</v>
      </c>
      <c r="AX289" s="19">
        <v>0</v>
      </c>
      <c r="AY289" s="19"/>
      <c r="AZ289" s="19">
        <v>0</v>
      </c>
      <c r="BA289" s="19">
        <f>SUM(BB289+BF289+BI289+BK289+BN289)</f>
        <v>8681532</v>
      </c>
      <c r="BB289" s="19">
        <f>SUM(BC289:BE289)</f>
        <v>0</v>
      </c>
      <c r="BC289" s="19">
        <v>0</v>
      </c>
      <c r="BD289" s="19">
        <v>0</v>
      </c>
      <c r="BE289" s="19">
        <v>0</v>
      </c>
      <c r="BF289" s="19">
        <f>SUM(BH289:BH289)</f>
        <v>0</v>
      </c>
      <c r="BG289" s="19">
        <v>0</v>
      </c>
      <c r="BH289" s="19">
        <v>0</v>
      </c>
      <c r="BI289" s="23">
        <v>8681532</v>
      </c>
      <c r="BJ289" s="19">
        <v>0</v>
      </c>
      <c r="BK289" s="19">
        <f t="shared" ref="BK289" si="835">SUM(BL289)</f>
        <v>0</v>
      </c>
      <c r="BL289" s="19">
        <v>0</v>
      </c>
      <c r="BM289" s="19">
        <v>0</v>
      </c>
      <c r="BN289" s="19">
        <f>SUM(BO289:BY289)</f>
        <v>0</v>
      </c>
      <c r="BO289" s="19">
        <v>0</v>
      </c>
      <c r="BP289" s="19">
        <v>0</v>
      </c>
      <c r="BQ289" s="19">
        <v>0</v>
      </c>
      <c r="BR289" s="19">
        <v>0</v>
      </c>
      <c r="BS289" s="19">
        <v>0</v>
      </c>
      <c r="BT289" s="19">
        <v>0</v>
      </c>
      <c r="BU289" s="19">
        <v>0</v>
      </c>
      <c r="BV289" s="19">
        <v>0</v>
      </c>
      <c r="BW289" s="19">
        <v>0</v>
      </c>
      <c r="BX289" s="19">
        <v>0</v>
      </c>
      <c r="BY289" s="19">
        <v>0</v>
      </c>
      <c r="BZ289" s="19">
        <f>SUM(CA289+CS289)</f>
        <v>0</v>
      </c>
      <c r="CA289" s="19">
        <f>SUM(CB289+CE289+CK289)</f>
        <v>0</v>
      </c>
      <c r="CB289" s="19">
        <f t="shared" ref="CB289" si="836">SUM(CC289:CD289)</f>
        <v>0</v>
      </c>
      <c r="CC289" s="19">
        <v>0</v>
      </c>
      <c r="CD289" s="19">
        <v>0</v>
      </c>
      <c r="CE289" s="19">
        <f>SUM(CF289:CJ289)</f>
        <v>0</v>
      </c>
      <c r="CF289" s="19">
        <v>0</v>
      </c>
      <c r="CG289" s="19">
        <v>0</v>
      </c>
      <c r="CH289" s="19">
        <v>0</v>
      </c>
      <c r="CI289" s="19">
        <v>0</v>
      </c>
      <c r="CJ289" s="19">
        <v>0</v>
      </c>
      <c r="CK289" s="19">
        <f>SUM(CL289:CP289)</f>
        <v>0</v>
      </c>
      <c r="CL289" s="19">
        <v>0</v>
      </c>
      <c r="CM289" s="19">
        <v>0</v>
      </c>
      <c r="CN289" s="19">
        <v>0</v>
      </c>
      <c r="CO289" s="19"/>
      <c r="CP289" s="19"/>
      <c r="CQ289" s="19"/>
      <c r="CR289" s="19"/>
      <c r="CS289" s="19"/>
      <c r="CT289" s="19"/>
      <c r="CU289" s="19"/>
      <c r="CV289" s="19"/>
      <c r="CW289" s="19">
        <f t="shared" ref="CW289" si="837">SUM(CX289)</f>
        <v>0</v>
      </c>
      <c r="CX289" s="19">
        <f t="shared" ref="CX289" si="838">SUM(CY289:CZ289)</f>
        <v>0</v>
      </c>
      <c r="CY289" s="19">
        <v>0</v>
      </c>
      <c r="CZ289" s="20">
        <v>0</v>
      </c>
    </row>
    <row r="290" spans="1:105" s="57" customFormat="1" ht="31.5" x14ac:dyDescent="0.25">
      <c r="A290" s="81" t="s">
        <v>330</v>
      </c>
      <c r="B290" s="25" t="s">
        <v>1</v>
      </c>
      <c r="C290" s="26" t="s">
        <v>331</v>
      </c>
      <c r="D290" s="27">
        <f>SUM(D291)</f>
        <v>88476917</v>
      </c>
      <c r="E290" s="28">
        <f t="shared" ref="E290:BT291" si="839">SUM(E291)</f>
        <v>0</v>
      </c>
      <c r="F290" s="28">
        <f t="shared" si="839"/>
        <v>0</v>
      </c>
      <c r="G290" s="28">
        <f t="shared" si="839"/>
        <v>0</v>
      </c>
      <c r="H290" s="28">
        <f t="shared" si="839"/>
        <v>0</v>
      </c>
      <c r="I290" s="28">
        <f t="shared" si="839"/>
        <v>0</v>
      </c>
      <c r="J290" s="28">
        <f t="shared" si="839"/>
        <v>0</v>
      </c>
      <c r="K290" s="28">
        <f t="shared" si="839"/>
        <v>0</v>
      </c>
      <c r="L290" s="28">
        <f t="shared" si="839"/>
        <v>0</v>
      </c>
      <c r="M290" s="28">
        <f t="shared" si="839"/>
        <v>0</v>
      </c>
      <c r="N290" s="28">
        <f t="shared" si="839"/>
        <v>0</v>
      </c>
      <c r="O290" s="28">
        <f t="shared" si="839"/>
        <v>0</v>
      </c>
      <c r="P290" s="28">
        <f t="shared" si="839"/>
        <v>0</v>
      </c>
      <c r="Q290" s="28">
        <f t="shared" si="839"/>
        <v>0</v>
      </c>
      <c r="R290" s="28">
        <f t="shared" si="839"/>
        <v>0</v>
      </c>
      <c r="S290" s="28">
        <f t="shared" si="839"/>
        <v>0</v>
      </c>
      <c r="T290" s="28">
        <f t="shared" si="839"/>
        <v>0</v>
      </c>
      <c r="U290" s="28">
        <f t="shared" si="839"/>
        <v>0</v>
      </c>
      <c r="V290" s="28">
        <f t="shared" si="839"/>
        <v>0</v>
      </c>
      <c r="W290" s="28">
        <f t="shared" si="839"/>
        <v>0</v>
      </c>
      <c r="X290" s="28">
        <f t="shared" si="839"/>
        <v>0</v>
      </c>
      <c r="Y290" s="28">
        <f t="shared" si="839"/>
        <v>0</v>
      </c>
      <c r="Z290" s="28">
        <f t="shared" si="839"/>
        <v>0</v>
      </c>
      <c r="AA290" s="28">
        <f t="shared" si="839"/>
        <v>0</v>
      </c>
      <c r="AB290" s="28">
        <f t="shared" si="839"/>
        <v>0</v>
      </c>
      <c r="AC290" s="28">
        <f t="shared" si="839"/>
        <v>0</v>
      </c>
      <c r="AD290" s="28">
        <f t="shared" si="839"/>
        <v>0</v>
      </c>
      <c r="AE290" s="28">
        <f t="shared" si="839"/>
        <v>0</v>
      </c>
      <c r="AF290" s="28">
        <f t="shared" si="839"/>
        <v>0</v>
      </c>
      <c r="AG290" s="28">
        <f t="shared" si="839"/>
        <v>0</v>
      </c>
      <c r="AH290" s="28">
        <f t="shared" si="839"/>
        <v>0</v>
      </c>
      <c r="AI290" s="28">
        <f t="shared" si="839"/>
        <v>0</v>
      </c>
      <c r="AJ290" s="28">
        <f t="shared" si="839"/>
        <v>0</v>
      </c>
      <c r="AK290" s="28">
        <f t="shared" si="839"/>
        <v>0</v>
      </c>
      <c r="AL290" s="28">
        <f t="shared" si="839"/>
        <v>0</v>
      </c>
      <c r="AM290" s="28">
        <f t="shared" si="839"/>
        <v>0</v>
      </c>
      <c r="AN290" s="28">
        <f t="shared" si="839"/>
        <v>0</v>
      </c>
      <c r="AO290" s="28">
        <f t="shared" si="839"/>
        <v>0</v>
      </c>
      <c r="AP290" s="28"/>
      <c r="AQ290" s="28">
        <f t="shared" si="839"/>
        <v>0</v>
      </c>
      <c r="AR290" s="28">
        <f t="shared" si="839"/>
        <v>0</v>
      </c>
      <c r="AS290" s="28">
        <f t="shared" si="839"/>
        <v>0</v>
      </c>
      <c r="AT290" s="28">
        <f t="shared" si="839"/>
        <v>0</v>
      </c>
      <c r="AU290" s="28">
        <f t="shared" si="839"/>
        <v>0</v>
      </c>
      <c r="AV290" s="28">
        <f t="shared" si="839"/>
        <v>0</v>
      </c>
      <c r="AW290" s="28">
        <f t="shared" si="839"/>
        <v>0</v>
      </c>
      <c r="AX290" s="28">
        <f t="shared" si="839"/>
        <v>0</v>
      </c>
      <c r="AY290" s="28"/>
      <c r="AZ290" s="28">
        <f t="shared" si="839"/>
        <v>0</v>
      </c>
      <c r="BA290" s="28">
        <f t="shared" si="839"/>
        <v>0</v>
      </c>
      <c r="BB290" s="28">
        <f t="shared" si="839"/>
        <v>0</v>
      </c>
      <c r="BC290" s="28">
        <f t="shared" si="839"/>
        <v>0</v>
      </c>
      <c r="BD290" s="28">
        <f t="shared" si="839"/>
        <v>0</v>
      </c>
      <c r="BE290" s="28">
        <f t="shared" si="839"/>
        <v>0</v>
      </c>
      <c r="BF290" s="28">
        <f t="shared" si="839"/>
        <v>0</v>
      </c>
      <c r="BG290" s="28">
        <f t="shared" si="839"/>
        <v>0</v>
      </c>
      <c r="BH290" s="28">
        <f t="shared" si="839"/>
        <v>0</v>
      </c>
      <c r="BI290" s="28">
        <f t="shared" si="839"/>
        <v>0</v>
      </c>
      <c r="BJ290" s="28">
        <f t="shared" si="839"/>
        <v>0</v>
      </c>
      <c r="BK290" s="28">
        <f t="shared" si="839"/>
        <v>0</v>
      </c>
      <c r="BL290" s="28">
        <f t="shared" si="839"/>
        <v>0</v>
      </c>
      <c r="BM290" s="28">
        <f t="shared" si="839"/>
        <v>0</v>
      </c>
      <c r="BN290" s="28">
        <f t="shared" si="839"/>
        <v>0</v>
      </c>
      <c r="BO290" s="28">
        <f t="shared" si="839"/>
        <v>0</v>
      </c>
      <c r="BP290" s="28">
        <f t="shared" si="839"/>
        <v>0</v>
      </c>
      <c r="BQ290" s="28">
        <f t="shared" si="839"/>
        <v>0</v>
      </c>
      <c r="BR290" s="28">
        <f t="shared" si="839"/>
        <v>0</v>
      </c>
      <c r="BS290" s="28">
        <f t="shared" si="839"/>
        <v>0</v>
      </c>
      <c r="BT290" s="28">
        <f t="shared" si="839"/>
        <v>0</v>
      </c>
      <c r="BU290" s="28">
        <f t="shared" ref="BU290:CZ291" si="840">SUM(BU291)</f>
        <v>0</v>
      </c>
      <c r="BV290" s="28">
        <f t="shared" si="840"/>
        <v>0</v>
      </c>
      <c r="BW290" s="28">
        <f t="shared" si="840"/>
        <v>0</v>
      </c>
      <c r="BX290" s="28">
        <f t="shared" si="840"/>
        <v>0</v>
      </c>
      <c r="BY290" s="28">
        <f t="shared" si="840"/>
        <v>0</v>
      </c>
      <c r="BZ290" s="28">
        <f t="shared" si="840"/>
        <v>0</v>
      </c>
      <c r="CA290" s="28">
        <f t="shared" si="840"/>
        <v>0</v>
      </c>
      <c r="CB290" s="28">
        <f t="shared" si="840"/>
        <v>0</v>
      </c>
      <c r="CC290" s="28">
        <f t="shared" si="840"/>
        <v>0</v>
      </c>
      <c r="CD290" s="28">
        <f t="shared" si="840"/>
        <v>0</v>
      </c>
      <c r="CE290" s="28">
        <f t="shared" si="840"/>
        <v>0</v>
      </c>
      <c r="CF290" s="28">
        <f t="shared" si="840"/>
        <v>0</v>
      </c>
      <c r="CG290" s="28">
        <f t="shared" si="840"/>
        <v>0</v>
      </c>
      <c r="CH290" s="28">
        <f t="shared" si="840"/>
        <v>0</v>
      </c>
      <c r="CI290" s="28">
        <f t="shared" si="840"/>
        <v>0</v>
      </c>
      <c r="CJ290" s="28">
        <f t="shared" si="840"/>
        <v>0</v>
      </c>
      <c r="CK290" s="28">
        <f t="shared" si="840"/>
        <v>0</v>
      </c>
      <c r="CL290" s="28">
        <f t="shared" si="840"/>
        <v>0</v>
      </c>
      <c r="CM290" s="28">
        <f t="shared" si="840"/>
        <v>0</v>
      </c>
      <c r="CN290" s="28">
        <f t="shared" si="840"/>
        <v>0</v>
      </c>
      <c r="CO290" s="28"/>
      <c r="CP290" s="28"/>
      <c r="CQ290" s="28"/>
      <c r="CR290" s="28"/>
      <c r="CS290" s="28">
        <f t="shared" si="840"/>
        <v>0</v>
      </c>
      <c r="CT290" s="28"/>
      <c r="CU290" s="28"/>
      <c r="CV290" s="28"/>
      <c r="CW290" s="28">
        <f t="shared" si="840"/>
        <v>88476917</v>
      </c>
      <c r="CX290" s="28">
        <f t="shared" si="840"/>
        <v>88476917</v>
      </c>
      <c r="CY290" s="28">
        <f t="shared" si="840"/>
        <v>0</v>
      </c>
      <c r="CZ290" s="29">
        <f t="shared" si="840"/>
        <v>88476917</v>
      </c>
      <c r="DA290" s="52"/>
    </row>
    <row r="291" spans="1:105" s="52" customFormat="1" ht="31.5" x14ac:dyDescent="0.25">
      <c r="A291" s="79" t="s">
        <v>332</v>
      </c>
      <c r="B291" s="16" t="s">
        <v>1</v>
      </c>
      <c r="C291" s="17" t="s">
        <v>333</v>
      </c>
      <c r="D291" s="18">
        <f>SUM(D292)</f>
        <v>88476917</v>
      </c>
      <c r="E291" s="18">
        <f t="shared" si="839"/>
        <v>0</v>
      </c>
      <c r="F291" s="18">
        <f t="shared" si="839"/>
        <v>0</v>
      </c>
      <c r="G291" s="18">
        <f t="shared" si="839"/>
        <v>0</v>
      </c>
      <c r="H291" s="18">
        <f t="shared" si="839"/>
        <v>0</v>
      </c>
      <c r="I291" s="18">
        <f t="shared" si="839"/>
        <v>0</v>
      </c>
      <c r="J291" s="18">
        <f t="shared" si="839"/>
        <v>0</v>
      </c>
      <c r="K291" s="18">
        <f t="shared" si="839"/>
        <v>0</v>
      </c>
      <c r="L291" s="18">
        <f t="shared" si="839"/>
        <v>0</v>
      </c>
      <c r="M291" s="18">
        <f t="shared" si="839"/>
        <v>0</v>
      </c>
      <c r="N291" s="18">
        <f t="shared" si="839"/>
        <v>0</v>
      </c>
      <c r="O291" s="18">
        <f t="shared" si="839"/>
        <v>0</v>
      </c>
      <c r="P291" s="18">
        <f t="shared" si="839"/>
        <v>0</v>
      </c>
      <c r="Q291" s="18">
        <f t="shared" si="839"/>
        <v>0</v>
      </c>
      <c r="R291" s="18">
        <f t="shared" si="839"/>
        <v>0</v>
      </c>
      <c r="S291" s="18">
        <f t="shared" si="839"/>
        <v>0</v>
      </c>
      <c r="T291" s="18">
        <f t="shared" si="839"/>
        <v>0</v>
      </c>
      <c r="U291" s="18">
        <f t="shared" si="839"/>
        <v>0</v>
      </c>
      <c r="V291" s="18">
        <f t="shared" si="839"/>
        <v>0</v>
      </c>
      <c r="W291" s="18">
        <f t="shared" si="839"/>
        <v>0</v>
      </c>
      <c r="X291" s="18">
        <f t="shared" si="839"/>
        <v>0</v>
      </c>
      <c r="Y291" s="18">
        <f t="shared" si="839"/>
        <v>0</v>
      </c>
      <c r="Z291" s="18">
        <f t="shared" si="839"/>
        <v>0</v>
      </c>
      <c r="AA291" s="18">
        <f t="shared" si="839"/>
        <v>0</v>
      </c>
      <c r="AB291" s="18">
        <f t="shared" si="839"/>
        <v>0</v>
      </c>
      <c r="AC291" s="18">
        <f t="shared" si="839"/>
        <v>0</v>
      </c>
      <c r="AD291" s="18">
        <f t="shared" si="839"/>
        <v>0</v>
      </c>
      <c r="AE291" s="18">
        <f t="shared" si="839"/>
        <v>0</v>
      </c>
      <c r="AF291" s="18">
        <f t="shared" si="839"/>
        <v>0</v>
      </c>
      <c r="AG291" s="18">
        <f t="shared" si="839"/>
        <v>0</v>
      </c>
      <c r="AH291" s="18">
        <f t="shared" si="839"/>
        <v>0</v>
      </c>
      <c r="AI291" s="18">
        <f t="shared" si="839"/>
        <v>0</v>
      </c>
      <c r="AJ291" s="18">
        <f t="shared" si="839"/>
        <v>0</v>
      </c>
      <c r="AK291" s="18">
        <f t="shared" si="839"/>
        <v>0</v>
      </c>
      <c r="AL291" s="18">
        <f t="shared" si="839"/>
        <v>0</v>
      </c>
      <c r="AM291" s="18">
        <f t="shared" si="839"/>
        <v>0</v>
      </c>
      <c r="AN291" s="18">
        <f t="shared" si="839"/>
        <v>0</v>
      </c>
      <c r="AO291" s="18">
        <f t="shared" si="839"/>
        <v>0</v>
      </c>
      <c r="AP291" s="18"/>
      <c r="AQ291" s="18">
        <f t="shared" si="839"/>
        <v>0</v>
      </c>
      <c r="AR291" s="18">
        <f t="shared" si="839"/>
        <v>0</v>
      </c>
      <c r="AS291" s="18">
        <f t="shared" si="839"/>
        <v>0</v>
      </c>
      <c r="AT291" s="18">
        <f t="shared" si="839"/>
        <v>0</v>
      </c>
      <c r="AU291" s="18">
        <f t="shared" si="839"/>
        <v>0</v>
      </c>
      <c r="AV291" s="18">
        <f t="shared" si="839"/>
        <v>0</v>
      </c>
      <c r="AW291" s="18">
        <f t="shared" si="839"/>
        <v>0</v>
      </c>
      <c r="AX291" s="18">
        <f t="shared" si="839"/>
        <v>0</v>
      </c>
      <c r="AY291" s="18"/>
      <c r="AZ291" s="18">
        <f t="shared" si="839"/>
        <v>0</v>
      </c>
      <c r="BA291" s="18">
        <f t="shared" si="839"/>
        <v>0</v>
      </c>
      <c r="BB291" s="18">
        <f t="shared" si="839"/>
        <v>0</v>
      </c>
      <c r="BC291" s="18">
        <f t="shared" si="839"/>
        <v>0</v>
      </c>
      <c r="BD291" s="18">
        <f t="shared" si="839"/>
        <v>0</v>
      </c>
      <c r="BE291" s="18">
        <f t="shared" si="839"/>
        <v>0</v>
      </c>
      <c r="BF291" s="18">
        <f t="shared" si="839"/>
        <v>0</v>
      </c>
      <c r="BG291" s="18">
        <f t="shared" si="839"/>
        <v>0</v>
      </c>
      <c r="BH291" s="18">
        <f t="shared" si="839"/>
        <v>0</v>
      </c>
      <c r="BI291" s="18">
        <f t="shared" si="839"/>
        <v>0</v>
      </c>
      <c r="BJ291" s="18">
        <f t="shared" si="839"/>
        <v>0</v>
      </c>
      <c r="BK291" s="18">
        <f t="shared" si="839"/>
        <v>0</v>
      </c>
      <c r="BL291" s="18">
        <f t="shared" si="839"/>
        <v>0</v>
      </c>
      <c r="BM291" s="18">
        <f t="shared" si="839"/>
        <v>0</v>
      </c>
      <c r="BN291" s="18">
        <f t="shared" si="839"/>
        <v>0</v>
      </c>
      <c r="BO291" s="18">
        <f t="shared" si="839"/>
        <v>0</v>
      </c>
      <c r="BP291" s="18">
        <f t="shared" si="839"/>
        <v>0</v>
      </c>
      <c r="BQ291" s="18">
        <f t="shared" si="839"/>
        <v>0</v>
      </c>
      <c r="BR291" s="18">
        <f t="shared" si="839"/>
        <v>0</v>
      </c>
      <c r="BS291" s="18">
        <f t="shared" si="839"/>
        <v>0</v>
      </c>
      <c r="BT291" s="18">
        <f t="shared" si="839"/>
        <v>0</v>
      </c>
      <c r="BU291" s="18">
        <f t="shared" si="840"/>
        <v>0</v>
      </c>
      <c r="BV291" s="18">
        <f t="shared" si="840"/>
        <v>0</v>
      </c>
      <c r="BW291" s="18">
        <f t="shared" si="840"/>
        <v>0</v>
      </c>
      <c r="BX291" s="18">
        <f t="shared" si="840"/>
        <v>0</v>
      </c>
      <c r="BY291" s="18">
        <f t="shared" si="840"/>
        <v>0</v>
      </c>
      <c r="BZ291" s="18">
        <f t="shared" si="840"/>
        <v>0</v>
      </c>
      <c r="CA291" s="18">
        <f t="shared" si="840"/>
        <v>0</v>
      </c>
      <c r="CB291" s="18">
        <f t="shared" si="840"/>
        <v>0</v>
      </c>
      <c r="CC291" s="18">
        <f t="shared" si="840"/>
        <v>0</v>
      </c>
      <c r="CD291" s="18">
        <f t="shared" si="840"/>
        <v>0</v>
      </c>
      <c r="CE291" s="18">
        <f t="shared" si="840"/>
        <v>0</v>
      </c>
      <c r="CF291" s="18">
        <f t="shared" si="840"/>
        <v>0</v>
      </c>
      <c r="CG291" s="18">
        <f t="shared" si="840"/>
        <v>0</v>
      </c>
      <c r="CH291" s="18">
        <f t="shared" si="840"/>
        <v>0</v>
      </c>
      <c r="CI291" s="18">
        <f t="shared" si="840"/>
        <v>0</v>
      </c>
      <c r="CJ291" s="18">
        <f t="shared" si="840"/>
        <v>0</v>
      </c>
      <c r="CK291" s="18">
        <f t="shared" si="840"/>
        <v>0</v>
      </c>
      <c r="CL291" s="18">
        <f t="shared" si="840"/>
        <v>0</v>
      </c>
      <c r="CM291" s="18">
        <f t="shared" si="840"/>
        <v>0</v>
      </c>
      <c r="CN291" s="18">
        <f t="shared" si="840"/>
        <v>0</v>
      </c>
      <c r="CO291" s="18"/>
      <c r="CP291" s="18"/>
      <c r="CQ291" s="18"/>
      <c r="CR291" s="18"/>
      <c r="CS291" s="18">
        <f t="shared" si="840"/>
        <v>0</v>
      </c>
      <c r="CT291" s="18"/>
      <c r="CU291" s="18"/>
      <c r="CV291" s="18"/>
      <c r="CW291" s="18">
        <f t="shared" si="840"/>
        <v>88476917</v>
      </c>
      <c r="CX291" s="18">
        <f t="shared" si="840"/>
        <v>88476917</v>
      </c>
      <c r="CY291" s="18">
        <f t="shared" si="840"/>
        <v>0</v>
      </c>
      <c r="CZ291" s="46">
        <f t="shared" si="840"/>
        <v>88476917</v>
      </c>
      <c r="DA291" s="57"/>
    </row>
    <row r="292" spans="1:105" s="57" customFormat="1" ht="31.5" x14ac:dyDescent="0.25">
      <c r="A292" s="80" t="s">
        <v>1</v>
      </c>
      <c r="B292" s="21" t="s">
        <v>103</v>
      </c>
      <c r="C292" s="22" t="s">
        <v>333</v>
      </c>
      <c r="D292" s="18">
        <f>SUM(E292+BZ292+CW292)</f>
        <v>88476917</v>
      </c>
      <c r="E292" s="19">
        <f>SUM(F292+BA292)</f>
        <v>0</v>
      </c>
      <c r="F292" s="19">
        <f>SUM(G292+H292+I292+P292+S292+T292+U292+AD292)</f>
        <v>0</v>
      </c>
      <c r="G292" s="19">
        <v>0</v>
      </c>
      <c r="H292" s="19">
        <v>0</v>
      </c>
      <c r="I292" s="19">
        <f t="shared" si="671"/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f t="shared" si="672"/>
        <v>0</v>
      </c>
      <c r="Q292" s="19">
        <v>0</v>
      </c>
      <c r="R292" s="19">
        <v>0</v>
      </c>
      <c r="S292" s="19">
        <v>0</v>
      </c>
      <c r="T292" s="19">
        <v>0</v>
      </c>
      <c r="U292" s="19">
        <f t="shared" ref="U292" si="841">SUM(V292:AC292)</f>
        <v>0</v>
      </c>
      <c r="V292" s="19">
        <v>0</v>
      </c>
      <c r="W292" s="19">
        <v>0</v>
      </c>
      <c r="X292" s="19">
        <v>0</v>
      </c>
      <c r="Y292" s="19">
        <v>0</v>
      </c>
      <c r="Z292" s="19">
        <v>0</v>
      </c>
      <c r="AA292" s="19">
        <v>0</v>
      </c>
      <c r="AB292" s="19">
        <v>0</v>
      </c>
      <c r="AC292" s="19">
        <v>0</v>
      </c>
      <c r="AD292" s="19">
        <f>SUM(AE292:AZ292)</f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0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/>
      <c r="AQ292" s="19">
        <v>0</v>
      </c>
      <c r="AR292" s="19">
        <v>0</v>
      </c>
      <c r="AS292" s="19">
        <v>0</v>
      </c>
      <c r="AT292" s="19">
        <v>0</v>
      </c>
      <c r="AU292" s="19">
        <v>0</v>
      </c>
      <c r="AV292" s="19">
        <v>0</v>
      </c>
      <c r="AW292" s="19">
        <v>0</v>
      </c>
      <c r="AX292" s="19">
        <v>0</v>
      </c>
      <c r="AY292" s="19"/>
      <c r="AZ292" s="19">
        <v>0</v>
      </c>
      <c r="BA292" s="19">
        <f>SUM(BB292+BF292+BI292+BK292+BN292)</f>
        <v>0</v>
      </c>
      <c r="BB292" s="19">
        <f>SUM(BC292:BE292)</f>
        <v>0</v>
      </c>
      <c r="BC292" s="19">
        <v>0</v>
      </c>
      <c r="BD292" s="19">
        <v>0</v>
      </c>
      <c r="BE292" s="19">
        <v>0</v>
      </c>
      <c r="BF292" s="19">
        <f>SUM(BH292:BH292)</f>
        <v>0</v>
      </c>
      <c r="BG292" s="19">
        <v>0</v>
      </c>
      <c r="BH292" s="19">
        <v>0</v>
      </c>
      <c r="BI292" s="19">
        <v>0</v>
      </c>
      <c r="BJ292" s="19">
        <v>0</v>
      </c>
      <c r="BK292" s="19">
        <f t="shared" si="674"/>
        <v>0</v>
      </c>
      <c r="BL292" s="19">
        <v>0</v>
      </c>
      <c r="BM292" s="19">
        <v>0</v>
      </c>
      <c r="BN292" s="19">
        <f>SUM(BO292:BY292)</f>
        <v>0</v>
      </c>
      <c r="BO292" s="19">
        <v>0</v>
      </c>
      <c r="BP292" s="19">
        <v>0</v>
      </c>
      <c r="BQ292" s="19">
        <v>0</v>
      </c>
      <c r="BR292" s="19">
        <v>0</v>
      </c>
      <c r="BS292" s="19">
        <v>0</v>
      </c>
      <c r="BT292" s="19">
        <v>0</v>
      </c>
      <c r="BU292" s="19">
        <v>0</v>
      </c>
      <c r="BV292" s="19">
        <v>0</v>
      </c>
      <c r="BW292" s="19">
        <v>0</v>
      </c>
      <c r="BX292" s="19">
        <v>0</v>
      </c>
      <c r="BY292" s="19">
        <v>0</v>
      </c>
      <c r="BZ292" s="19">
        <f>SUM(CA292+CS292)</f>
        <v>0</v>
      </c>
      <c r="CA292" s="19">
        <f>SUM(CB292+CE292+CK292)</f>
        <v>0</v>
      </c>
      <c r="CB292" s="19">
        <f t="shared" si="675"/>
        <v>0</v>
      </c>
      <c r="CC292" s="19">
        <v>0</v>
      </c>
      <c r="CD292" s="19">
        <v>0</v>
      </c>
      <c r="CE292" s="19">
        <f>SUM(CF292:CJ292)</f>
        <v>0</v>
      </c>
      <c r="CF292" s="19">
        <v>0</v>
      </c>
      <c r="CG292" s="19">
        <v>0</v>
      </c>
      <c r="CH292" s="19">
        <v>0</v>
      </c>
      <c r="CI292" s="19">
        <v>0</v>
      </c>
      <c r="CJ292" s="19">
        <v>0</v>
      </c>
      <c r="CK292" s="19">
        <f>SUM(CL292:CP292)</f>
        <v>0</v>
      </c>
      <c r="CL292" s="19">
        <v>0</v>
      </c>
      <c r="CM292" s="19">
        <v>0</v>
      </c>
      <c r="CN292" s="19">
        <v>0</v>
      </c>
      <c r="CO292" s="19"/>
      <c r="CP292" s="19"/>
      <c r="CQ292" s="19"/>
      <c r="CR292" s="19"/>
      <c r="CS292" s="19">
        <v>0</v>
      </c>
      <c r="CT292" s="19"/>
      <c r="CU292" s="19"/>
      <c r="CV292" s="19"/>
      <c r="CW292" s="19">
        <f t="shared" si="676"/>
        <v>88476917</v>
      </c>
      <c r="CX292" s="19">
        <f t="shared" si="677"/>
        <v>88476917</v>
      </c>
      <c r="CY292" s="19">
        <v>0</v>
      </c>
      <c r="CZ292" s="20">
        <v>88476917</v>
      </c>
      <c r="DA292" s="52"/>
    </row>
    <row r="293" spans="1:105" s="52" customFormat="1" ht="15.75" x14ac:dyDescent="0.25">
      <c r="A293" s="81" t="s">
        <v>334</v>
      </c>
      <c r="B293" s="25" t="s">
        <v>1</v>
      </c>
      <c r="C293" s="26" t="s">
        <v>335</v>
      </c>
      <c r="D293" s="27">
        <f t="shared" ref="D293:AO293" si="842">SUM(D308+D319+D310+D313+D315+D317+D321+D294)</f>
        <v>764349772</v>
      </c>
      <c r="E293" s="28">
        <f t="shared" si="842"/>
        <v>474051189</v>
      </c>
      <c r="F293" s="28">
        <f t="shared" si="842"/>
        <v>72414364</v>
      </c>
      <c r="G293" s="28">
        <f t="shared" si="842"/>
        <v>0</v>
      </c>
      <c r="H293" s="28">
        <f t="shared" si="842"/>
        <v>0</v>
      </c>
      <c r="I293" s="28">
        <f t="shared" si="842"/>
        <v>500000</v>
      </c>
      <c r="J293" s="28">
        <f t="shared" si="842"/>
        <v>0</v>
      </c>
      <c r="K293" s="28">
        <f t="shared" si="842"/>
        <v>0</v>
      </c>
      <c r="L293" s="28">
        <f t="shared" si="842"/>
        <v>0</v>
      </c>
      <c r="M293" s="28">
        <f t="shared" si="842"/>
        <v>0</v>
      </c>
      <c r="N293" s="28">
        <f t="shared" si="842"/>
        <v>0</v>
      </c>
      <c r="O293" s="28">
        <f t="shared" si="842"/>
        <v>500000</v>
      </c>
      <c r="P293" s="28">
        <f t="shared" si="842"/>
        <v>0</v>
      </c>
      <c r="Q293" s="28">
        <f t="shared" si="842"/>
        <v>0</v>
      </c>
      <c r="R293" s="28">
        <f t="shared" si="842"/>
        <v>0</v>
      </c>
      <c r="S293" s="28">
        <f t="shared" si="842"/>
        <v>0</v>
      </c>
      <c r="T293" s="28">
        <f t="shared" si="842"/>
        <v>0</v>
      </c>
      <c r="U293" s="28">
        <f t="shared" si="842"/>
        <v>0</v>
      </c>
      <c r="V293" s="28">
        <f t="shared" si="842"/>
        <v>0</v>
      </c>
      <c r="W293" s="28">
        <f t="shared" si="842"/>
        <v>0</v>
      </c>
      <c r="X293" s="28">
        <f t="shared" si="842"/>
        <v>0</v>
      </c>
      <c r="Y293" s="28">
        <f t="shared" si="842"/>
        <v>0</v>
      </c>
      <c r="Z293" s="28">
        <f t="shared" si="842"/>
        <v>0</v>
      </c>
      <c r="AA293" s="28">
        <f t="shared" si="842"/>
        <v>0</v>
      </c>
      <c r="AB293" s="28">
        <f t="shared" si="842"/>
        <v>0</v>
      </c>
      <c r="AC293" s="28">
        <f t="shared" si="842"/>
        <v>0</v>
      </c>
      <c r="AD293" s="28">
        <f t="shared" si="842"/>
        <v>71914364</v>
      </c>
      <c r="AE293" s="28">
        <f t="shared" si="842"/>
        <v>0</v>
      </c>
      <c r="AF293" s="28">
        <f t="shared" si="842"/>
        <v>0</v>
      </c>
      <c r="AG293" s="28">
        <f t="shared" si="842"/>
        <v>0</v>
      </c>
      <c r="AH293" s="28">
        <f t="shared" si="842"/>
        <v>0</v>
      </c>
      <c r="AI293" s="28">
        <f t="shared" si="842"/>
        <v>0</v>
      </c>
      <c r="AJ293" s="28">
        <f t="shared" si="842"/>
        <v>0</v>
      </c>
      <c r="AK293" s="28">
        <f t="shared" si="842"/>
        <v>0</v>
      </c>
      <c r="AL293" s="28">
        <f t="shared" si="842"/>
        <v>0</v>
      </c>
      <c r="AM293" s="28">
        <f t="shared" si="842"/>
        <v>0</v>
      </c>
      <c r="AN293" s="28">
        <f t="shared" si="842"/>
        <v>0</v>
      </c>
      <c r="AO293" s="28">
        <f t="shared" si="842"/>
        <v>0</v>
      </c>
      <c r="AP293" s="28"/>
      <c r="AQ293" s="28">
        <f t="shared" ref="AQ293:AX293" si="843">SUM(AQ308+AQ319+AQ310+AQ313+AQ315+AQ317+AQ321+AQ294)</f>
        <v>0</v>
      </c>
      <c r="AR293" s="28">
        <f t="shared" si="843"/>
        <v>0</v>
      </c>
      <c r="AS293" s="28">
        <f t="shared" si="843"/>
        <v>0</v>
      </c>
      <c r="AT293" s="28">
        <f t="shared" si="843"/>
        <v>0</v>
      </c>
      <c r="AU293" s="28">
        <f t="shared" si="843"/>
        <v>0</v>
      </c>
      <c r="AV293" s="28">
        <f t="shared" si="843"/>
        <v>0</v>
      </c>
      <c r="AW293" s="28">
        <f t="shared" si="843"/>
        <v>0</v>
      </c>
      <c r="AX293" s="28">
        <f t="shared" si="843"/>
        <v>0</v>
      </c>
      <c r="AY293" s="28"/>
      <c r="AZ293" s="28">
        <f t="shared" ref="AZ293:CP293" si="844">SUM(AZ308+AZ319+AZ310+AZ313+AZ315+AZ317+AZ321+AZ294)</f>
        <v>71914364</v>
      </c>
      <c r="BA293" s="28">
        <f t="shared" si="844"/>
        <v>401636825</v>
      </c>
      <c r="BB293" s="28">
        <f t="shared" si="844"/>
        <v>32005000</v>
      </c>
      <c r="BC293" s="28">
        <f t="shared" si="844"/>
        <v>32005000</v>
      </c>
      <c r="BD293" s="28">
        <f t="shared" si="844"/>
        <v>0</v>
      </c>
      <c r="BE293" s="28">
        <f t="shared" si="844"/>
        <v>0</v>
      </c>
      <c r="BF293" s="28">
        <f t="shared" si="844"/>
        <v>28061460</v>
      </c>
      <c r="BG293" s="28">
        <f t="shared" si="844"/>
        <v>18783700</v>
      </c>
      <c r="BH293" s="28">
        <f t="shared" si="844"/>
        <v>9277760</v>
      </c>
      <c r="BI293" s="28">
        <f t="shared" si="844"/>
        <v>281511960</v>
      </c>
      <c r="BJ293" s="28">
        <f t="shared" si="844"/>
        <v>0</v>
      </c>
      <c r="BK293" s="28">
        <f t="shared" si="844"/>
        <v>0</v>
      </c>
      <c r="BL293" s="28">
        <f t="shared" si="844"/>
        <v>0</v>
      </c>
      <c r="BM293" s="28">
        <f t="shared" si="844"/>
        <v>0</v>
      </c>
      <c r="BN293" s="28">
        <f t="shared" si="844"/>
        <v>60058405</v>
      </c>
      <c r="BO293" s="28">
        <f t="shared" si="844"/>
        <v>0</v>
      </c>
      <c r="BP293" s="28">
        <f t="shared" si="844"/>
        <v>0</v>
      </c>
      <c r="BQ293" s="28">
        <f t="shared" si="844"/>
        <v>0</v>
      </c>
      <c r="BR293" s="28">
        <f t="shared" si="844"/>
        <v>0</v>
      </c>
      <c r="BS293" s="28">
        <f t="shared" si="844"/>
        <v>0</v>
      </c>
      <c r="BT293" s="28">
        <f t="shared" si="844"/>
        <v>0</v>
      </c>
      <c r="BU293" s="28">
        <f t="shared" si="844"/>
        <v>0</v>
      </c>
      <c r="BV293" s="28">
        <f t="shared" si="844"/>
        <v>0</v>
      </c>
      <c r="BW293" s="28">
        <f t="shared" si="844"/>
        <v>0</v>
      </c>
      <c r="BX293" s="28">
        <f t="shared" si="844"/>
        <v>0</v>
      </c>
      <c r="BY293" s="28">
        <f t="shared" si="844"/>
        <v>60058405</v>
      </c>
      <c r="BZ293" s="28">
        <f t="shared" si="844"/>
        <v>290298583</v>
      </c>
      <c r="CA293" s="28">
        <f t="shared" si="844"/>
        <v>279441749</v>
      </c>
      <c r="CB293" s="28">
        <f t="shared" si="844"/>
        <v>9948096</v>
      </c>
      <c r="CC293" s="28">
        <f t="shared" si="844"/>
        <v>0</v>
      </c>
      <c r="CD293" s="28">
        <f t="shared" si="844"/>
        <v>9948096</v>
      </c>
      <c r="CE293" s="28">
        <f t="shared" si="844"/>
        <v>164330398</v>
      </c>
      <c r="CF293" s="28">
        <f t="shared" si="844"/>
        <v>0</v>
      </c>
      <c r="CG293" s="28">
        <f t="shared" si="844"/>
        <v>136655574</v>
      </c>
      <c r="CH293" s="28">
        <f t="shared" si="844"/>
        <v>13077074</v>
      </c>
      <c r="CI293" s="28">
        <f t="shared" si="844"/>
        <v>12695250</v>
      </c>
      <c r="CJ293" s="28">
        <f t="shared" si="844"/>
        <v>1902500</v>
      </c>
      <c r="CK293" s="28">
        <f t="shared" si="844"/>
        <v>105163255</v>
      </c>
      <c r="CL293" s="28">
        <f t="shared" si="844"/>
        <v>0</v>
      </c>
      <c r="CM293" s="28">
        <f t="shared" si="844"/>
        <v>91319345</v>
      </c>
      <c r="CN293" s="28">
        <f t="shared" si="844"/>
        <v>11843910</v>
      </c>
      <c r="CO293" s="28">
        <f t="shared" si="844"/>
        <v>0</v>
      </c>
      <c r="CP293" s="28">
        <f t="shared" si="844"/>
        <v>2000000</v>
      </c>
      <c r="CQ293" s="28"/>
      <c r="CR293" s="28"/>
      <c r="CS293" s="28">
        <f>SUM(CS308+CS319+CS310+CS313+CS315+CS317+CS321+CS294)</f>
        <v>10856834</v>
      </c>
      <c r="CT293" s="28">
        <f t="shared" ref="CT293:CV293" si="845">SUM(CT308+CT319+CT310+CT313+CT315+CT317+CT321+CT294)</f>
        <v>0</v>
      </c>
      <c r="CU293" s="28">
        <f t="shared" si="845"/>
        <v>0</v>
      </c>
      <c r="CV293" s="28">
        <f t="shared" si="845"/>
        <v>0</v>
      </c>
      <c r="CW293" s="28">
        <f>SUM(CW308+CW319+CW310+CW313+CW315+CW317+CW321+CW294)</f>
        <v>0</v>
      </c>
      <c r="CX293" s="28">
        <f>SUM(CX308+CX319+CX310+CX313+CX315+CX317+CX321+CX294)</f>
        <v>0</v>
      </c>
      <c r="CY293" s="28">
        <f>SUM(CY308+CY319+CY310+CY313+CY315+CY317+CY321+CY294)</f>
        <v>0</v>
      </c>
      <c r="CZ293" s="29">
        <f>SUM(CZ308+CZ319+CZ310+CZ313+CZ315+CZ317+CZ321+CZ294)</f>
        <v>0</v>
      </c>
    </row>
    <row r="294" spans="1:105" s="52" customFormat="1" ht="15.75" x14ac:dyDescent="0.25">
      <c r="A294" s="79" t="s">
        <v>336</v>
      </c>
      <c r="B294" s="16" t="s">
        <v>1</v>
      </c>
      <c r="C294" s="30" t="s">
        <v>337</v>
      </c>
      <c r="D294" s="18">
        <f t="shared" ref="D294:AO294" si="846">SUM(D295:D307)</f>
        <v>261940183</v>
      </c>
      <c r="E294" s="18">
        <f t="shared" si="846"/>
        <v>261940183</v>
      </c>
      <c r="F294" s="18">
        <f t="shared" si="846"/>
        <v>6540732</v>
      </c>
      <c r="G294" s="18">
        <f t="shared" si="846"/>
        <v>0</v>
      </c>
      <c r="H294" s="18">
        <f t="shared" si="846"/>
        <v>0</v>
      </c>
      <c r="I294" s="18">
        <f t="shared" si="846"/>
        <v>0</v>
      </c>
      <c r="J294" s="18">
        <f t="shared" si="846"/>
        <v>0</v>
      </c>
      <c r="K294" s="18">
        <f t="shared" si="846"/>
        <v>0</v>
      </c>
      <c r="L294" s="18">
        <f t="shared" si="846"/>
        <v>0</v>
      </c>
      <c r="M294" s="18">
        <f t="shared" si="846"/>
        <v>0</v>
      </c>
      <c r="N294" s="18">
        <f t="shared" si="846"/>
        <v>0</v>
      </c>
      <c r="O294" s="18">
        <f t="shared" si="846"/>
        <v>0</v>
      </c>
      <c r="P294" s="18">
        <f t="shared" si="846"/>
        <v>0</v>
      </c>
      <c r="Q294" s="18">
        <f t="shared" si="846"/>
        <v>0</v>
      </c>
      <c r="R294" s="18">
        <f t="shared" si="846"/>
        <v>0</v>
      </c>
      <c r="S294" s="18">
        <f t="shared" si="846"/>
        <v>0</v>
      </c>
      <c r="T294" s="18">
        <f t="shared" si="846"/>
        <v>0</v>
      </c>
      <c r="U294" s="18">
        <f t="shared" si="846"/>
        <v>0</v>
      </c>
      <c r="V294" s="18">
        <f t="shared" si="846"/>
        <v>0</v>
      </c>
      <c r="W294" s="18">
        <f t="shared" si="846"/>
        <v>0</v>
      </c>
      <c r="X294" s="18">
        <f t="shared" si="846"/>
        <v>0</v>
      </c>
      <c r="Y294" s="18">
        <f t="shared" si="846"/>
        <v>0</v>
      </c>
      <c r="Z294" s="18">
        <f t="shared" si="846"/>
        <v>0</v>
      </c>
      <c r="AA294" s="18">
        <f t="shared" si="846"/>
        <v>0</v>
      </c>
      <c r="AB294" s="18">
        <f t="shared" si="846"/>
        <v>0</v>
      </c>
      <c r="AC294" s="18">
        <f t="shared" si="846"/>
        <v>0</v>
      </c>
      <c r="AD294" s="18">
        <f t="shared" si="846"/>
        <v>6540732</v>
      </c>
      <c r="AE294" s="18">
        <f t="shared" si="846"/>
        <v>0</v>
      </c>
      <c r="AF294" s="18">
        <f t="shared" si="846"/>
        <v>0</v>
      </c>
      <c r="AG294" s="18">
        <f t="shared" si="846"/>
        <v>0</v>
      </c>
      <c r="AH294" s="18">
        <f t="shared" si="846"/>
        <v>0</v>
      </c>
      <c r="AI294" s="18">
        <f t="shared" si="846"/>
        <v>0</v>
      </c>
      <c r="AJ294" s="18">
        <f t="shared" si="846"/>
        <v>0</v>
      </c>
      <c r="AK294" s="18">
        <f t="shared" si="846"/>
        <v>0</v>
      </c>
      <c r="AL294" s="18">
        <f t="shared" si="846"/>
        <v>0</v>
      </c>
      <c r="AM294" s="18">
        <f t="shared" si="846"/>
        <v>0</v>
      </c>
      <c r="AN294" s="18">
        <f t="shared" si="846"/>
        <v>0</v>
      </c>
      <c r="AO294" s="18">
        <f t="shared" si="846"/>
        <v>0</v>
      </c>
      <c r="AP294" s="18"/>
      <c r="AQ294" s="18">
        <f t="shared" ref="AQ294:BV294" si="847">SUM(AQ295:AQ307)</f>
        <v>0</v>
      </c>
      <c r="AR294" s="18">
        <f t="shared" si="847"/>
        <v>0</v>
      </c>
      <c r="AS294" s="18">
        <f t="shared" si="847"/>
        <v>0</v>
      </c>
      <c r="AT294" s="18">
        <f t="shared" si="847"/>
        <v>0</v>
      </c>
      <c r="AU294" s="18">
        <f t="shared" si="847"/>
        <v>0</v>
      </c>
      <c r="AV294" s="18">
        <f t="shared" si="847"/>
        <v>0</v>
      </c>
      <c r="AW294" s="18">
        <f t="shared" si="847"/>
        <v>0</v>
      </c>
      <c r="AX294" s="18">
        <f t="shared" si="847"/>
        <v>0</v>
      </c>
      <c r="AY294" s="18">
        <f t="shared" si="847"/>
        <v>0</v>
      </c>
      <c r="AZ294" s="18">
        <f t="shared" si="847"/>
        <v>6540732</v>
      </c>
      <c r="BA294" s="18">
        <f t="shared" si="847"/>
        <v>255399451</v>
      </c>
      <c r="BB294" s="18">
        <f t="shared" si="847"/>
        <v>0</v>
      </c>
      <c r="BC294" s="18">
        <f t="shared" si="847"/>
        <v>0</v>
      </c>
      <c r="BD294" s="18">
        <f t="shared" si="847"/>
        <v>0</v>
      </c>
      <c r="BE294" s="18">
        <f t="shared" si="847"/>
        <v>0</v>
      </c>
      <c r="BF294" s="18">
        <f t="shared" si="847"/>
        <v>18783700</v>
      </c>
      <c r="BG294" s="18">
        <f t="shared" si="847"/>
        <v>18783700</v>
      </c>
      <c r="BH294" s="18">
        <f t="shared" si="847"/>
        <v>0</v>
      </c>
      <c r="BI294" s="18">
        <f t="shared" si="847"/>
        <v>236615751</v>
      </c>
      <c r="BJ294" s="18">
        <f t="shared" si="847"/>
        <v>0</v>
      </c>
      <c r="BK294" s="18">
        <f t="shared" si="847"/>
        <v>0</v>
      </c>
      <c r="BL294" s="18">
        <f t="shared" si="847"/>
        <v>0</v>
      </c>
      <c r="BM294" s="18">
        <f t="shared" si="847"/>
        <v>0</v>
      </c>
      <c r="BN294" s="18">
        <f t="shared" si="847"/>
        <v>0</v>
      </c>
      <c r="BO294" s="18">
        <f t="shared" si="847"/>
        <v>0</v>
      </c>
      <c r="BP294" s="18">
        <f t="shared" si="847"/>
        <v>0</v>
      </c>
      <c r="BQ294" s="18">
        <f t="shared" si="847"/>
        <v>0</v>
      </c>
      <c r="BR294" s="18">
        <f t="shared" si="847"/>
        <v>0</v>
      </c>
      <c r="BS294" s="18">
        <f t="shared" si="847"/>
        <v>0</v>
      </c>
      <c r="BT294" s="18">
        <f t="shared" si="847"/>
        <v>0</v>
      </c>
      <c r="BU294" s="18">
        <f t="shared" si="847"/>
        <v>0</v>
      </c>
      <c r="BV294" s="18">
        <f t="shared" si="847"/>
        <v>0</v>
      </c>
      <c r="BW294" s="18">
        <f t="shared" ref="BW294:CP294" si="848">SUM(BW295:BW307)</f>
        <v>0</v>
      </c>
      <c r="BX294" s="18">
        <f t="shared" si="848"/>
        <v>0</v>
      </c>
      <c r="BY294" s="18">
        <f t="shared" si="848"/>
        <v>0</v>
      </c>
      <c r="BZ294" s="18">
        <f t="shared" si="848"/>
        <v>0</v>
      </c>
      <c r="CA294" s="18">
        <f t="shared" si="848"/>
        <v>0</v>
      </c>
      <c r="CB294" s="18">
        <f t="shared" si="848"/>
        <v>0</v>
      </c>
      <c r="CC294" s="18">
        <f t="shared" si="848"/>
        <v>0</v>
      </c>
      <c r="CD294" s="18">
        <f t="shared" si="848"/>
        <v>0</v>
      </c>
      <c r="CE294" s="18">
        <f t="shared" si="848"/>
        <v>0</v>
      </c>
      <c r="CF294" s="18">
        <f t="shared" si="848"/>
        <v>0</v>
      </c>
      <c r="CG294" s="18">
        <f t="shared" si="848"/>
        <v>0</v>
      </c>
      <c r="CH294" s="18">
        <f t="shared" si="848"/>
        <v>0</v>
      </c>
      <c r="CI294" s="18">
        <f t="shared" si="848"/>
        <v>0</v>
      </c>
      <c r="CJ294" s="18">
        <f t="shared" si="848"/>
        <v>0</v>
      </c>
      <c r="CK294" s="18">
        <f t="shared" si="848"/>
        <v>0</v>
      </c>
      <c r="CL294" s="18">
        <f t="shared" si="848"/>
        <v>0</v>
      </c>
      <c r="CM294" s="18">
        <f t="shared" si="848"/>
        <v>0</v>
      </c>
      <c r="CN294" s="18">
        <f t="shared" si="848"/>
        <v>0</v>
      </c>
      <c r="CO294" s="18">
        <f t="shared" si="848"/>
        <v>0</v>
      </c>
      <c r="CP294" s="18">
        <f t="shared" si="848"/>
        <v>0</v>
      </c>
      <c r="CQ294" s="18"/>
      <c r="CR294" s="18"/>
      <c r="CS294" s="18">
        <f>SUM(CS295:CS307)</f>
        <v>0</v>
      </c>
      <c r="CT294" s="18"/>
      <c r="CU294" s="18"/>
      <c r="CV294" s="18"/>
      <c r="CW294" s="18">
        <f>SUM(CW295:CW307)</f>
        <v>0</v>
      </c>
      <c r="CX294" s="18">
        <f>SUM(CX295:CX307)</f>
        <v>0</v>
      </c>
      <c r="CY294" s="18">
        <f>SUM(CY295:CY307)</f>
        <v>0</v>
      </c>
      <c r="CZ294" s="46">
        <f>SUM(CZ295:CZ307)</f>
        <v>0</v>
      </c>
      <c r="DA294" s="57"/>
    </row>
    <row r="295" spans="1:105" s="57" customFormat="1" ht="31.5" x14ac:dyDescent="0.25">
      <c r="A295" s="84"/>
      <c r="B295" s="42" t="s">
        <v>338</v>
      </c>
      <c r="C295" s="43" t="s">
        <v>512</v>
      </c>
      <c r="D295" s="38">
        <f t="shared" ref="D295:D307" si="849">SUM(E295+BZ295+CW295)</f>
        <v>6540732</v>
      </c>
      <c r="E295" s="39">
        <f t="shared" ref="E295:E307" si="850">SUM(F295+BA295)</f>
        <v>6540732</v>
      </c>
      <c r="F295" s="39">
        <f t="shared" ref="F295:F307" si="851">SUM(G295+H295+I295+P295+S295+T295+U295+AD295)</f>
        <v>6540732</v>
      </c>
      <c r="G295" s="39">
        <v>0</v>
      </c>
      <c r="H295" s="39">
        <v>0</v>
      </c>
      <c r="I295" s="39">
        <f t="shared" ref="I295" si="852">SUM(J295:O295)</f>
        <v>0</v>
      </c>
      <c r="J295" s="39">
        <v>0</v>
      </c>
      <c r="K295" s="39">
        <v>0</v>
      </c>
      <c r="L295" s="39">
        <v>0</v>
      </c>
      <c r="M295" s="39">
        <v>0</v>
      </c>
      <c r="N295" s="39">
        <v>0</v>
      </c>
      <c r="O295" s="39">
        <v>0</v>
      </c>
      <c r="P295" s="39">
        <f t="shared" ref="P295:P304" si="853">SUM(Q295:R295)</f>
        <v>0</v>
      </c>
      <c r="Q295" s="39">
        <v>0</v>
      </c>
      <c r="R295" s="39">
        <v>0</v>
      </c>
      <c r="S295" s="39">
        <v>0</v>
      </c>
      <c r="T295" s="39">
        <v>0</v>
      </c>
      <c r="U295" s="39">
        <f t="shared" ref="U295:U304" si="854">SUM(V295:AC295)</f>
        <v>0</v>
      </c>
      <c r="V295" s="39">
        <v>0</v>
      </c>
      <c r="W295" s="39">
        <v>0</v>
      </c>
      <c r="X295" s="39">
        <v>0</v>
      </c>
      <c r="Y295" s="39">
        <v>0</v>
      </c>
      <c r="Z295" s="39">
        <v>0</v>
      </c>
      <c r="AA295" s="39">
        <v>0</v>
      </c>
      <c r="AB295" s="39">
        <v>0</v>
      </c>
      <c r="AC295" s="39">
        <v>0</v>
      </c>
      <c r="AD295" s="39">
        <f>SUM(AE295:AZ295)</f>
        <v>6540732</v>
      </c>
      <c r="AE295" s="39">
        <v>0</v>
      </c>
      <c r="AF295" s="39">
        <v>0</v>
      </c>
      <c r="AG295" s="39">
        <v>0</v>
      </c>
      <c r="AH295" s="39">
        <v>0</v>
      </c>
      <c r="AI295" s="39">
        <v>0</v>
      </c>
      <c r="AJ295" s="39">
        <v>0</v>
      </c>
      <c r="AK295" s="39">
        <v>0</v>
      </c>
      <c r="AL295" s="39">
        <v>0</v>
      </c>
      <c r="AM295" s="39">
        <v>0</v>
      </c>
      <c r="AN295" s="39">
        <v>0</v>
      </c>
      <c r="AO295" s="39">
        <v>0</v>
      </c>
      <c r="AP295" s="39"/>
      <c r="AQ295" s="39">
        <v>0</v>
      </c>
      <c r="AR295" s="39">
        <v>0</v>
      </c>
      <c r="AS295" s="39">
        <v>0</v>
      </c>
      <c r="AT295" s="39">
        <v>0</v>
      </c>
      <c r="AU295" s="39">
        <v>0</v>
      </c>
      <c r="AV295" s="39">
        <v>0</v>
      </c>
      <c r="AW295" s="39">
        <v>0</v>
      </c>
      <c r="AX295" s="39">
        <v>0</v>
      </c>
      <c r="AY295" s="39">
        <v>0</v>
      </c>
      <c r="AZ295" s="35">
        <v>6540732</v>
      </c>
      <c r="BA295" s="39">
        <f>SUM(BB295+BF295+BI295+BK295+BN295)</f>
        <v>0</v>
      </c>
      <c r="BB295" s="39">
        <f t="shared" ref="BB295:BB306" si="855">SUM(BC295:BE295)</f>
        <v>0</v>
      </c>
      <c r="BC295" s="39">
        <v>0</v>
      </c>
      <c r="BD295" s="39">
        <v>0</v>
      </c>
      <c r="BE295" s="39">
        <v>0</v>
      </c>
      <c r="BF295" s="39">
        <f>SUM(BG295:BH295)</f>
        <v>0</v>
      </c>
      <c r="BG295" s="39"/>
      <c r="BH295" s="39">
        <v>0</v>
      </c>
      <c r="BI295" s="35">
        <v>0</v>
      </c>
      <c r="BJ295" s="39">
        <v>0</v>
      </c>
      <c r="BK295" s="39">
        <f t="shared" ref="BK295:BK304" si="856">SUM(BL295)</f>
        <v>0</v>
      </c>
      <c r="BL295" s="39">
        <v>0</v>
      </c>
      <c r="BM295" s="39">
        <v>0</v>
      </c>
      <c r="BN295" s="39">
        <f t="shared" ref="BN295:BN306" si="857">SUM(BO295:BY295)</f>
        <v>0</v>
      </c>
      <c r="BO295" s="39">
        <v>0</v>
      </c>
      <c r="BP295" s="39">
        <v>0</v>
      </c>
      <c r="BQ295" s="39">
        <v>0</v>
      </c>
      <c r="BR295" s="39">
        <v>0</v>
      </c>
      <c r="BS295" s="39">
        <v>0</v>
      </c>
      <c r="BT295" s="39">
        <v>0</v>
      </c>
      <c r="BU295" s="39">
        <v>0</v>
      </c>
      <c r="BV295" s="39">
        <v>0</v>
      </c>
      <c r="BW295" s="39">
        <v>0</v>
      </c>
      <c r="BX295" s="39">
        <v>0</v>
      </c>
      <c r="BY295" s="39">
        <v>0</v>
      </c>
      <c r="BZ295" s="39">
        <f t="shared" ref="BZ295:BZ322" si="858">SUM(CA295+CS295)</f>
        <v>0</v>
      </c>
      <c r="CA295" s="39">
        <f>SUM(CB295+CE295+CK295)</f>
        <v>0</v>
      </c>
      <c r="CB295" s="39">
        <f t="shared" ref="CB295" si="859">SUM(CC295:CD295)</f>
        <v>0</v>
      </c>
      <c r="CC295" s="39">
        <v>0</v>
      </c>
      <c r="CD295" s="39">
        <v>0</v>
      </c>
      <c r="CE295" s="19">
        <f>SUM(CF295:CJ295)</f>
        <v>0</v>
      </c>
      <c r="CF295" s="39">
        <v>0</v>
      </c>
      <c r="CG295" s="39">
        <v>0</v>
      </c>
      <c r="CH295" s="39">
        <v>0</v>
      </c>
      <c r="CI295" s="39">
        <v>0</v>
      </c>
      <c r="CJ295" s="39">
        <v>0</v>
      </c>
      <c r="CK295" s="39">
        <f t="shared" ref="CK295:CK306" si="860">SUM(CL295:CP295)</f>
        <v>0</v>
      </c>
      <c r="CL295" s="39">
        <v>0</v>
      </c>
      <c r="CM295" s="39">
        <v>0</v>
      </c>
      <c r="CN295" s="39">
        <v>0</v>
      </c>
      <c r="CO295" s="39"/>
      <c r="CP295" s="39"/>
      <c r="CQ295" s="39"/>
      <c r="CR295" s="39"/>
      <c r="CS295" s="39">
        <v>0</v>
      </c>
      <c r="CT295" s="39"/>
      <c r="CU295" s="39"/>
      <c r="CV295" s="39"/>
      <c r="CW295" s="39">
        <f t="shared" ref="CW295" si="861">SUM(CX295)</f>
        <v>0</v>
      </c>
      <c r="CX295" s="39">
        <f t="shared" ref="CX295:CX304" si="862">SUM(CY295:CZ295)</f>
        <v>0</v>
      </c>
      <c r="CY295" s="39">
        <v>0</v>
      </c>
      <c r="CZ295" s="41">
        <v>0</v>
      </c>
      <c r="DA295" s="52"/>
    </row>
    <row r="296" spans="1:105" s="57" customFormat="1" ht="13.9" customHeight="1" x14ac:dyDescent="0.25">
      <c r="A296" s="84"/>
      <c r="B296" s="42" t="s">
        <v>338</v>
      </c>
      <c r="C296" s="43" t="s">
        <v>605</v>
      </c>
      <c r="D296" s="38">
        <f t="shared" si="849"/>
        <v>0</v>
      </c>
      <c r="E296" s="39">
        <f t="shared" si="850"/>
        <v>0</v>
      </c>
      <c r="F296" s="39">
        <f t="shared" si="851"/>
        <v>0</v>
      </c>
      <c r="G296" s="39">
        <v>0</v>
      </c>
      <c r="H296" s="39">
        <v>0</v>
      </c>
      <c r="I296" s="39">
        <f t="shared" ref="I296" si="863">SUM(J296:O296)</f>
        <v>0</v>
      </c>
      <c r="J296" s="39">
        <v>0</v>
      </c>
      <c r="K296" s="39">
        <v>0</v>
      </c>
      <c r="L296" s="39">
        <v>0</v>
      </c>
      <c r="M296" s="39">
        <v>0</v>
      </c>
      <c r="N296" s="39">
        <v>0</v>
      </c>
      <c r="O296" s="39">
        <v>0</v>
      </c>
      <c r="P296" s="39">
        <f t="shared" ref="P296" si="864">SUM(Q296:R296)</f>
        <v>0</v>
      </c>
      <c r="Q296" s="39">
        <v>0</v>
      </c>
      <c r="R296" s="39">
        <v>0</v>
      </c>
      <c r="S296" s="39">
        <v>0</v>
      </c>
      <c r="T296" s="39">
        <v>0</v>
      </c>
      <c r="U296" s="39">
        <f t="shared" ref="U296" si="865">SUM(V296:AC296)</f>
        <v>0</v>
      </c>
      <c r="V296" s="39">
        <v>0</v>
      </c>
      <c r="W296" s="39">
        <v>0</v>
      </c>
      <c r="X296" s="39">
        <v>0</v>
      </c>
      <c r="Y296" s="39">
        <v>0</v>
      </c>
      <c r="Z296" s="39">
        <v>0</v>
      </c>
      <c r="AA296" s="39">
        <v>0</v>
      </c>
      <c r="AB296" s="39">
        <v>0</v>
      </c>
      <c r="AC296" s="39">
        <v>0</v>
      </c>
      <c r="AD296" s="39">
        <f>SUM(AE296:AZ296)</f>
        <v>0</v>
      </c>
      <c r="AE296" s="39">
        <v>0</v>
      </c>
      <c r="AF296" s="39">
        <v>0</v>
      </c>
      <c r="AG296" s="39">
        <v>0</v>
      </c>
      <c r="AH296" s="39">
        <v>0</v>
      </c>
      <c r="AI296" s="39">
        <v>0</v>
      </c>
      <c r="AJ296" s="39">
        <v>0</v>
      </c>
      <c r="AK296" s="39">
        <v>0</v>
      </c>
      <c r="AL296" s="39">
        <v>0</v>
      </c>
      <c r="AM296" s="39">
        <v>0</v>
      </c>
      <c r="AN296" s="39">
        <v>0</v>
      </c>
      <c r="AO296" s="39">
        <v>0</v>
      </c>
      <c r="AP296" s="39"/>
      <c r="AQ296" s="39">
        <v>0</v>
      </c>
      <c r="AR296" s="39">
        <v>0</v>
      </c>
      <c r="AS296" s="39">
        <v>0</v>
      </c>
      <c r="AT296" s="39">
        <v>0</v>
      </c>
      <c r="AU296" s="39">
        <v>0</v>
      </c>
      <c r="AV296" s="39">
        <v>0</v>
      </c>
      <c r="AW296" s="39">
        <v>0</v>
      </c>
      <c r="AX296" s="39">
        <v>0</v>
      </c>
      <c r="AY296" s="39">
        <v>0</v>
      </c>
      <c r="AZ296" s="35">
        <f>0+77242497+36200000+101469-113543966</f>
        <v>0</v>
      </c>
      <c r="BA296" s="39">
        <f>SUM(BB296+BF296+BI296+BK296+BN296)</f>
        <v>0</v>
      </c>
      <c r="BB296" s="39">
        <f t="shared" ref="BB296" si="866">SUM(BC296:BE296)</f>
        <v>0</v>
      </c>
      <c r="BC296" s="39">
        <v>0</v>
      </c>
      <c r="BD296" s="39">
        <v>0</v>
      </c>
      <c r="BE296" s="39">
        <v>0</v>
      </c>
      <c r="BF296" s="39">
        <f>SUM(BG296:BH296)</f>
        <v>0</v>
      </c>
      <c r="BG296" s="39"/>
      <c r="BH296" s="39">
        <v>0</v>
      </c>
      <c r="BI296" s="35">
        <v>0</v>
      </c>
      <c r="BJ296" s="39">
        <v>0</v>
      </c>
      <c r="BK296" s="39">
        <f t="shared" ref="BK296" si="867">SUM(BL296)</f>
        <v>0</v>
      </c>
      <c r="BL296" s="39">
        <v>0</v>
      </c>
      <c r="BM296" s="39">
        <v>0</v>
      </c>
      <c r="BN296" s="39">
        <f t="shared" ref="BN296" si="868">SUM(BO296:BY296)</f>
        <v>0</v>
      </c>
      <c r="BO296" s="39">
        <v>0</v>
      </c>
      <c r="BP296" s="39">
        <v>0</v>
      </c>
      <c r="BQ296" s="39">
        <v>0</v>
      </c>
      <c r="BR296" s="39">
        <v>0</v>
      </c>
      <c r="BS296" s="39">
        <v>0</v>
      </c>
      <c r="BT296" s="39">
        <v>0</v>
      </c>
      <c r="BU296" s="39">
        <v>0</v>
      </c>
      <c r="BV296" s="39">
        <v>0</v>
      </c>
      <c r="BW296" s="39">
        <v>0</v>
      </c>
      <c r="BX296" s="39">
        <v>0</v>
      </c>
      <c r="BY296" s="39">
        <v>0</v>
      </c>
      <c r="BZ296" s="39">
        <f t="shared" ref="BZ296" si="869">SUM(CA296+CS296)</f>
        <v>0</v>
      </c>
      <c r="CA296" s="39">
        <f>SUM(CB296+CE296+CK296)</f>
        <v>0</v>
      </c>
      <c r="CB296" s="39">
        <f t="shared" ref="CB296" si="870">SUM(CC296:CD296)</f>
        <v>0</v>
      </c>
      <c r="CC296" s="39">
        <v>0</v>
      </c>
      <c r="CD296" s="39">
        <v>0</v>
      </c>
      <c r="CE296" s="19">
        <f>SUM(CF296:CJ296)</f>
        <v>0</v>
      </c>
      <c r="CF296" s="39">
        <v>0</v>
      </c>
      <c r="CG296" s="39">
        <v>0</v>
      </c>
      <c r="CH296" s="39">
        <v>0</v>
      </c>
      <c r="CI296" s="39">
        <v>0</v>
      </c>
      <c r="CJ296" s="39">
        <v>0</v>
      </c>
      <c r="CK296" s="39">
        <f t="shared" ref="CK296" si="871">SUM(CL296:CP296)</f>
        <v>0</v>
      </c>
      <c r="CL296" s="39">
        <v>0</v>
      </c>
      <c r="CM296" s="39">
        <v>0</v>
      </c>
      <c r="CN296" s="39">
        <v>0</v>
      </c>
      <c r="CO296" s="39"/>
      <c r="CP296" s="39"/>
      <c r="CQ296" s="39"/>
      <c r="CR296" s="39"/>
      <c r="CS296" s="39">
        <v>0</v>
      </c>
      <c r="CT296" s="39"/>
      <c r="CU296" s="39"/>
      <c r="CV296" s="39"/>
      <c r="CW296" s="39">
        <f t="shared" ref="CW296" si="872">SUM(CX296)</f>
        <v>0</v>
      </c>
      <c r="CX296" s="39">
        <f t="shared" ref="CX296" si="873">SUM(CY296:CZ296)</f>
        <v>0</v>
      </c>
      <c r="CY296" s="39">
        <v>0</v>
      </c>
      <c r="CZ296" s="41">
        <v>0</v>
      </c>
      <c r="DA296" s="52"/>
    </row>
    <row r="297" spans="1:105" s="57" customFormat="1" ht="13.9" customHeight="1" x14ac:dyDescent="0.25">
      <c r="A297" s="84"/>
      <c r="B297" s="42" t="s">
        <v>338</v>
      </c>
      <c r="C297" s="43" t="s">
        <v>637</v>
      </c>
      <c r="D297" s="38">
        <f t="shared" si="849"/>
        <v>1500000</v>
      </c>
      <c r="E297" s="39">
        <f t="shared" si="850"/>
        <v>1500000</v>
      </c>
      <c r="F297" s="39">
        <f t="shared" si="851"/>
        <v>0</v>
      </c>
      <c r="G297" s="39">
        <v>0</v>
      </c>
      <c r="H297" s="39">
        <v>0</v>
      </c>
      <c r="I297" s="39">
        <f t="shared" ref="I297:I299" si="874">SUM(J297:O297)</f>
        <v>0</v>
      </c>
      <c r="J297" s="39">
        <v>0</v>
      </c>
      <c r="K297" s="39">
        <v>0</v>
      </c>
      <c r="L297" s="39">
        <v>0</v>
      </c>
      <c r="M297" s="39">
        <v>0</v>
      </c>
      <c r="N297" s="39">
        <v>0</v>
      </c>
      <c r="O297" s="39">
        <v>0</v>
      </c>
      <c r="P297" s="39">
        <f t="shared" ref="P297:P299" si="875">SUM(Q297:R297)</f>
        <v>0</v>
      </c>
      <c r="Q297" s="39">
        <v>0</v>
      </c>
      <c r="R297" s="39">
        <v>0</v>
      </c>
      <c r="S297" s="39">
        <v>0</v>
      </c>
      <c r="T297" s="39">
        <v>0</v>
      </c>
      <c r="U297" s="39">
        <f t="shared" ref="U297:U299" si="876">SUM(V297:AC297)</f>
        <v>0</v>
      </c>
      <c r="V297" s="39">
        <v>0</v>
      </c>
      <c r="W297" s="39">
        <v>0</v>
      </c>
      <c r="X297" s="39">
        <v>0</v>
      </c>
      <c r="Y297" s="39">
        <v>0</v>
      </c>
      <c r="Z297" s="39">
        <v>0</v>
      </c>
      <c r="AA297" s="39">
        <v>0</v>
      </c>
      <c r="AB297" s="39">
        <v>0</v>
      </c>
      <c r="AC297" s="39">
        <v>0</v>
      </c>
      <c r="AD297" s="39">
        <f t="shared" ref="AD297:AD299" si="877">SUM(AE297:AZ297)</f>
        <v>0</v>
      </c>
      <c r="AE297" s="39">
        <v>0</v>
      </c>
      <c r="AF297" s="39">
        <v>0</v>
      </c>
      <c r="AG297" s="39">
        <v>0</v>
      </c>
      <c r="AH297" s="39">
        <v>0</v>
      </c>
      <c r="AI297" s="39">
        <v>0</v>
      </c>
      <c r="AJ297" s="39">
        <v>0</v>
      </c>
      <c r="AK297" s="39">
        <v>0</v>
      </c>
      <c r="AL297" s="39">
        <v>0</v>
      </c>
      <c r="AM297" s="39">
        <v>0</v>
      </c>
      <c r="AN297" s="39">
        <v>0</v>
      </c>
      <c r="AO297" s="39">
        <v>0</v>
      </c>
      <c r="AP297" s="39"/>
      <c r="AQ297" s="39">
        <v>0</v>
      </c>
      <c r="AR297" s="39">
        <v>0</v>
      </c>
      <c r="AS297" s="39">
        <v>0</v>
      </c>
      <c r="AT297" s="39">
        <v>0</v>
      </c>
      <c r="AU297" s="39">
        <v>0</v>
      </c>
      <c r="AV297" s="39">
        <v>0</v>
      </c>
      <c r="AW297" s="39">
        <v>0</v>
      </c>
      <c r="AX297" s="39">
        <v>0</v>
      </c>
      <c r="AY297" s="39">
        <v>0</v>
      </c>
      <c r="AZ297" s="35"/>
      <c r="BA297" s="39">
        <f t="shared" ref="BA297:BA299" si="878">SUM(BB297+BF297+BI297+BK297+BN297)</f>
        <v>1500000</v>
      </c>
      <c r="BB297" s="39">
        <f t="shared" ref="BB297:BB299" si="879">SUM(BC297:BE297)</f>
        <v>0</v>
      </c>
      <c r="BC297" s="39">
        <v>0</v>
      </c>
      <c r="BD297" s="39">
        <v>0</v>
      </c>
      <c r="BE297" s="39">
        <v>0</v>
      </c>
      <c r="BF297" s="39">
        <f t="shared" ref="BF297:BF299" si="880">SUM(BG297:BH297)</f>
        <v>0</v>
      </c>
      <c r="BG297" s="39"/>
      <c r="BH297" s="39">
        <v>0</v>
      </c>
      <c r="BI297" s="35">
        <f>0+1500000</f>
        <v>1500000</v>
      </c>
      <c r="BJ297" s="39">
        <v>0</v>
      </c>
      <c r="BK297" s="39">
        <f t="shared" ref="BK297:BK299" si="881">SUM(BL297)</f>
        <v>0</v>
      </c>
      <c r="BL297" s="39">
        <v>0</v>
      </c>
      <c r="BM297" s="39">
        <v>0</v>
      </c>
      <c r="BN297" s="39">
        <f t="shared" ref="BN297:BN299" si="882">SUM(BO297:BY297)</f>
        <v>0</v>
      </c>
      <c r="BO297" s="39">
        <v>0</v>
      </c>
      <c r="BP297" s="39">
        <v>0</v>
      </c>
      <c r="BQ297" s="39">
        <v>0</v>
      </c>
      <c r="BR297" s="39">
        <v>0</v>
      </c>
      <c r="BS297" s="39">
        <v>0</v>
      </c>
      <c r="BT297" s="39">
        <v>0</v>
      </c>
      <c r="BU297" s="39">
        <v>0</v>
      </c>
      <c r="BV297" s="39">
        <v>0</v>
      </c>
      <c r="BW297" s="39">
        <v>0</v>
      </c>
      <c r="BX297" s="39">
        <v>0</v>
      </c>
      <c r="BY297" s="39">
        <v>0</v>
      </c>
      <c r="BZ297" s="39">
        <f t="shared" ref="BZ297:BZ299" si="883">SUM(CA297+CS297)</f>
        <v>0</v>
      </c>
      <c r="CA297" s="39">
        <f t="shared" ref="CA297:CA299" si="884">SUM(CB297+CE297+CK297)</f>
        <v>0</v>
      </c>
      <c r="CB297" s="39">
        <f t="shared" ref="CB297:CB299" si="885">SUM(CC297:CD297)</f>
        <v>0</v>
      </c>
      <c r="CC297" s="39">
        <v>0</v>
      </c>
      <c r="CD297" s="39">
        <v>0</v>
      </c>
      <c r="CE297" s="19">
        <f t="shared" ref="CE297:CE299" si="886">SUM(CF297:CJ297)</f>
        <v>0</v>
      </c>
      <c r="CF297" s="39">
        <v>0</v>
      </c>
      <c r="CG297" s="39">
        <v>0</v>
      </c>
      <c r="CH297" s="39">
        <v>0</v>
      </c>
      <c r="CI297" s="39">
        <v>0</v>
      </c>
      <c r="CJ297" s="39">
        <v>0</v>
      </c>
      <c r="CK297" s="39">
        <f t="shared" ref="CK297:CK299" si="887">SUM(CL297:CP297)</f>
        <v>0</v>
      </c>
      <c r="CL297" s="39">
        <v>0</v>
      </c>
      <c r="CM297" s="39">
        <v>0</v>
      </c>
      <c r="CN297" s="39">
        <v>0</v>
      </c>
      <c r="CO297" s="39"/>
      <c r="CP297" s="39"/>
      <c r="CQ297" s="39"/>
      <c r="CR297" s="39"/>
      <c r="CS297" s="39">
        <v>0</v>
      </c>
      <c r="CT297" s="39"/>
      <c r="CU297" s="39"/>
      <c r="CV297" s="39"/>
      <c r="CW297" s="39">
        <f t="shared" ref="CW297:CW299" si="888">SUM(CX297)</f>
        <v>0</v>
      </c>
      <c r="CX297" s="39">
        <f t="shared" ref="CX297:CX299" si="889">SUM(CY297:CZ297)</f>
        <v>0</v>
      </c>
      <c r="CY297" s="39">
        <v>0</v>
      </c>
      <c r="CZ297" s="41">
        <v>0</v>
      </c>
      <c r="DA297" s="52"/>
    </row>
    <row r="298" spans="1:105" s="57" customFormat="1" ht="13.9" customHeight="1" x14ac:dyDescent="0.25">
      <c r="A298" s="84"/>
      <c r="B298" s="42" t="s">
        <v>338</v>
      </c>
      <c r="C298" s="43" t="s">
        <v>638</v>
      </c>
      <c r="D298" s="38">
        <f t="shared" si="849"/>
        <v>46637</v>
      </c>
      <c r="E298" s="39">
        <f t="shared" si="850"/>
        <v>46637</v>
      </c>
      <c r="F298" s="39">
        <f t="shared" si="851"/>
        <v>0</v>
      </c>
      <c r="G298" s="39">
        <v>0</v>
      </c>
      <c r="H298" s="39">
        <v>0</v>
      </c>
      <c r="I298" s="39">
        <f t="shared" si="874"/>
        <v>0</v>
      </c>
      <c r="J298" s="39">
        <v>0</v>
      </c>
      <c r="K298" s="39">
        <v>0</v>
      </c>
      <c r="L298" s="39">
        <v>0</v>
      </c>
      <c r="M298" s="39">
        <v>0</v>
      </c>
      <c r="N298" s="39">
        <v>0</v>
      </c>
      <c r="O298" s="39">
        <v>0</v>
      </c>
      <c r="P298" s="39">
        <f t="shared" si="875"/>
        <v>0</v>
      </c>
      <c r="Q298" s="39">
        <v>0</v>
      </c>
      <c r="R298" s="39">
        <v>0</v>
      </c>
      <c r="S298" s="39">
        <v>0</v>
      </c>
      <c r="T298" s="39">
        <v>0</v>
      </c>
      <c r="U298" s="39">
        <f t="shared" si="876"/>
        <v>0</v>
      </c>
      <c r="V298" s="39">
        <v>0</v>
      </c>
      <c r="W298" s="39">
        <v>0</v>
      </c>
      <c r="X298" s="39">
        <v>0</v>
      </c>
      <c r="Y298" s="39">
        <v>0</v>
      </c>
      <c r="Z298" s="39">
        <v>0</v>
      </c>
      <c r="AA298" s="39">
        <v>0</v>
      </c>
      <c r="AB298" s="39">
        <v>0</v>
      </c>
      <c r="AC298" s="39">
        <v>0</v>
      </c>
      <c r="AD298" s="39">
        <f t="shared" si="877"/>
        <v>0</v>
      </c>
      <c r="AE298" s="39">
        <v>0</v>
      </c>
      <c r="AF298" s="39">
        <v>0</v>
      </c>
      <c r="AG298" s="39">
        <v>0</v>
      </c>
      <c r="AH298" s="39">
        <v>0</v>
      </c>
      <c r="AI298" s="39">
        <v>0</v>
      </c>
      <c r="AJ298" s="39">
        <v>0</v>
      </c>
      <c r="AK298" s="39">
        <v>0</v>
      </c>
      <c r="AL298" s="39">
        <v>0</v>
      </c>
      <c r="AM298" s="39">
        <v>0</v>
      </c>
      <c r="AN298" s="39">
        <v>0</v>
      </c>
      <c r="AO298" s="39">
        <v>0</v>
      </c>
      <c r="AP298" s="39"/>
      <c r="AQ298" s="39">
        <v>0</v>
      </c>
      <c r="AR298" s="39">
        <v>0</v>
      </c>
      <c r="AS298" s="39">
        <v>0</v>
      </c>
      <c r="AT298" s="39">
        <v>0</v>
      </c>
      <c r="AU298" s="39">
        <v>0</v>
      </c>
      <c r="AV298" s="39">
        <v>0</v>
      </c>
      <c r="AW298" s="39">
        <v>0</v>
      </c>
      <c r="AX298" s="39">
        <v>0</v>
      </c>
      <c r="AY298" s="39">
        <v>0</v>
      </c>
      <c r="AZ298" s="35"/>
      <c r="BA298" s="39">
        <f t="shared" si="878"/>
        <v>46637</v>
      </c>
      <c r="BB298" s="39">
        <f t="shared" si="879"/>
        <v>0</v>
      </c>
      <c r="BC298" s="39">
        <v>0</v>
      </c>
      <c r="BD298" s="39">
        <v>0</v>
      </c>
      <c r="BE298" s="39">
        <v>0</v>
      </c>
      <c r="BF298" s="39">
        <f t="shared" si="880"/>
        <v>0</v>
      </c>
      <c r="BG298" s="39"/>
      <c r="BH298" s="39">
        <v>0</v>
      </c>
      <c r="BI298" s="35">
        <f>0+46637</f>
        <v>46637</v>
      </c>
      <c r="BJ298" s="39">
        <v>0</v>
      </c>
      <c r="BK298" s="39">
        <f t="shared" si="881"/>
        <v>0</v>
      </c>
      <c r="BL298" s="39">
        <v>0</v>
      </c>
      <c r="BM298" s="39">
        <v>0</v>
      </c>
      <c r="BN298" s="39">
        <f t="shared" si="882"/>
        <v>0</v>
      </c>
      <c r="BO298" s="39">
        <v>0</v>
      </c>
      <c r="BP298" s="39">
        <v>0</v>
      </c>
      <c r="BQ298" s="39">
        <v>0</v>
      </c>
      <c r="BR298" s="39">
        <v>0</v>
      </c>
      <c r="BS298" s="39">
        <v>0</v>
      </c>
      <c r="BT298" s="39">
        <v>0</v>
      </c>
      <c r="BU298" s="39">
        <v>0</v>
      </c>
      <c r="BV298" s="39">
        <v>0</v>
      </c>
      <c r="BW298" s="39">
        <v>0</v>
      </c>
      <c r="BX298" s="39">
        <v>0</v>
      </c>
      <c r="BY298" s="39">
        <v>0</v>
      </c>
      <c r="BZ298" s="39">
        <f t="shared" si="883"/>
        <v>0</v>
      </c>
      <c r="CA298" s="39">
        <f t="shared" si="884"/>
        <v>0</v>
      </c>
      <c r="CB298" s="39">
        <f t="shared" si="885"/>
        <v>0</v>
      </c>
      <c r="CC298" s="39">
        <v>0</v>
      </c>
      <c r="CD298" s="39">
        <v>0</v>
      </c>
      <c r="CE298" s="19">
        <f t="shared" si="886"/>
        <v>0</v>
      </c>
      <c r="CF298" s="39">
        <v>0</v>
      </c>
      <c r="CG298" s="39">
        <v>0</v>
      </c>
      <c r="CH298" s="39">
        <v>0</v>
      </c>
      <c r="CI298" s="39">
        <v>0</v>
      </c>
      <c r="CJ298" s="39">
        <v>0</v>
      </c>
      <c r="CK298" s="39">
        <f t="shared" si="887"/>
        <v>0</v>
      </c>
      <c r="CL298" s="39">
        <v>0</v>
      </c>
      <c r="CM298" s="39">
        <v>0</v>
      </c>
      <c r="CN298" s="39">
        <v>0</v>
      </c>
      <c r="CO298" s="39"/>
      <c r="CP298" s="39"/>
      <c r="CQ298" s="39"/>
      <c r="CR298" s="39"/>
      <c r="CS298" s="39">
        <v>0</v>
      </c>
      <c r="CT298" s="39"/>
      <c r="CU298" s="39"/>
      <c r="CV298" s="39"/>
      <c r="CW298" s="39">
        <f t="shared" si="888"/>
        <v>0</v>
      </c>
      <c r="CX298" s="39">
        <f t="shared" si="889"/>
        <v>0</v>
      </c>
      <c r="CY298" s="39">
        <v>0</v>
      </c>
      <c r="CZ298" s="41">
        <v>0</v>
      </c>
      <c r="DA298" s="52"/>
    </row>
    <row r="299" spans="1:105" s="57" customFormat="1" ht="27.75" customHeight="1" x14ac:dyDescent="0.25">
      <c r="A299" s="84"/>
      <c r="B299" s="42" t="s">
        <v>338</v>
      </c>
      <c r="C299" s="43" t="s">
        <v>640</v>
      </c>
      <c r="D299" s="38">
        <f t="shared" si="849"/>
        <v>200784</v>
      </c>
      <c r="E299" s="39">
        <f t="shared" si="850"/>
        <v>200784</v>
      </c>
      <c r="F299" s="39">
        <f t="shared" si="851"/>
        <v>0</v>
      </c>
      <c r="G299" s="39">
        <v>0</v>
      </c>
      <c r="H299" s="39">
        <v>0</v>
      </c>
      <c r="I299" s="39">
        <f t="shared" si="874"/>
        <v>0</v>
      </c>
      <c r="J299" s="39">
        <v>0</v>
      </c>
      <c r="K299" s="39">
        <v>0</v>
      </c>
      <c r="L299" s="39">
        <v>0</v>
      </c>
      <c r="M299" s="39">
        <v>0</v>
      </c>
      <c r="N299" s="39">
        <v>0</v>
      </c>
      <c r="O299" s="39">
        <v>0</v>
      </c>
      <c r="P299" s="39">
        <f t="shared" si="875"/>
        <v>0</v>
      </c>
      <c r="Q299" s="39">
        <v>0</v>
      </c>
      <c r="R299" s="39">
        <v>0</v>
      </c>
      <c r="S299" s="39">
        <v>0</v>
      </c>
      <c r="T299" s="39">
        <v>0</v>
      </c>
      <c r="U299" s="39">
        <f t="shared" si="876"/>
        <v>0</v>
      </c>
      <c r="V299" s="39">
        <v>0</v>
      </c>
      <c r="W299" s="39">
        <v>0</v>
      </c>
      <c r="X299" s="39">
        <v>0</v>
      </c>
      <c r="Y299" s="39">
        <v>0</v>
      </c>
      <c r="Z299" s="39">
        <v>0</v>
      </c>
      <c r="AA299" s="39">
        <v>0</v>
      </c>
      <c r="AB299" s="39">
        <v>0</v>
      </c>
      <c r="AC299" s="39">
        <v>0</v>
      </c>
      <c r="AD299" s="39">
        <f t="shared" si="877"/>
        <v>0</v>
      </c>
      <c r="AE299" s="39">
        <v>0</v>
      </c>
      <c r="AF299" s="39">
        <v>0</v>
      </c>
      <c r="AG299" s="39">
        <v>0</v>
      </c>
      <c r="AH299" s="39">
        <v>0</v>
      </c>
      <c r="AI299" s="39">
        <v>0</v>
      </c>
      <c r="AJ299" s="39">
        <v>0</v>
      </c>
      <c r="AK299" s="39">
        <v>0</v>
      </c>
      <c r="AL299" s="39">
        <v>0</v>
      </c>
      <c r="AM299" s="39">
        <v>0</v>
      </c>
      <c r="AN299" s="39">
        <v>0</v>
      </c>
      <c r="AO299" s="39">
        <v>0</v>
      </c>
      <c r="AP299" s="39"/>
      <c r="AQ299" s="39">
        <v>0</v>
      </c>
      <c r="AR299" s="39">
        <v>0</v>
      </c>
      <c r="AS299" s="39">
        <v>0</v>
      </c>
      <c r="AT299" s="39">
        <v>0</v>
      </c>
      <c r="AU299" s="39">
        <v>0</v>
      </c>
      <c r="AV299" s="39">
        <v>0</v>
      </c>
      <c r="AW299" s="39">
        <v>0</v>
      </c>
      <c r="AX299" s="39">
        <v>0</v>
      </c>
      <c r="AY299" s="39">
        <v>0</v>
      </c>
      <c r="AZ299" s="35"/>
      <c r="BA299" s="39">
        <f t="shared" si="878"/>
        <v>200784</v>
      </c>
      <c r="BB299" s="39">
        <f t="shared" si="879"/>
        <v>0</v>
      </c>
      <c r="BC299" s="39">
        <v>0</v>
      </c>
      <c r="BD299" s="39">
        <v>0</v>
      </c>
      <c r="BE299" s="39">
        <v>0</v>
      </c>
      <c r="BF299" s="39">
        <f t="shared" si="880"/>
        <v>0</v>
      </c>
      <c r="BG299" s="39"/>
      <c r="BH299" s="39">
        <v>0</v>
      </c>
      <c r="BI299" s="35">
        <f>0+200784</f>
        <v>200784</v>
      </c>
      <c r="BJ299" s="39">
        <v>0</v>
      </c>
      <c r="BK299" s="39">
        <f t="shared" si="881"/>
        <v>0</v>
      </c>
      <c r="BL299" s="39">
        <v>0</v>
      </c>
      <c r="BM299" s="39">
        <v>0</v>
      </c>
      <c r="BN299" s="39">
        <f t="shared" si="882"/>
        <v>0</v>
      </c>
      <c r="BO299" s="39">
        <v>0</v>
      </c>
      <c r="BP299" s="39">
        <v>0</v>
      </c>
      <c r="BQ299" s="39">
        <v>0</v>
      </c>
      <c r="BR299" s="39">
        <v>0</v>
      </c>
      <c r="BS299" s="39">
        <v>0</v>
      </c>
      <c r="BT299" s="39">
        <v>0</v>
      </c>
      <c r="BU299" s="39">
        <v>0</v>
      </c>
      <c r="BV299" s="39">
        <v>0</v>
      </c>
      <c r="BW299" s="39">
        <v>0</v>
      </c>
      <c r="BX299" s="39">
        <v>0</v>
      </c>
      <c r="BY299" s="39">
        <v>0</v>
      </c>
      <c r="BZ299" s="39">
        <f t="shared" si="883"/>
        <v>0</v>
      </c>
      <c r="CA299" s="39">
        <f t="shared" si="884"/>
        <v>0</v>
      </c>
      <c r="CB299" s="39">
        <f t="shared" si="885"/>
        <v>0</v>
      </c>
      <c r="CC299" s="39">
        <v>0</v>
      </c>
      <c r="CD299" s="39">
        <v>0</v>
      </c>
      <c r="CE299" s="19">
        <f t="shared" si="886"/>
        <v>0</v>
      </c>
      <c r="CF299" s="39">
        <v>0</v>
      </c>
      <c r="CG299" s="39">
        <v>0</v>
      </c>
      <c r="CH299" s="39">
        <v>0</v>
      </c>
      <c r="CI299" s="39">
        <v>0</v>
      </c>
      <c r="CJ299" s="39">
        <v>0</v>
      </c>
      <c r="CK299" s="39">
        <f t="shared" si="887"/>
        <v>0</v>
      </c>
      <c r="CL299" s="39">
        <v>0</v>
      </c>
      <c r="CM299" s="39">
        <v>0</v>
      </c>
      <c r="CN299" s="39">
        <v>0</v>
      </c>
      <c r="CO299" s="39"/>
      <c r="CP299" s="39"/>
      <c r="CQ299" s="39"/>
      <c r="CR299" s="39"/>
      <c r="CS299" s="39">
        <v>0</v>
      </c>
      <c r="CT299" s="39"/>
      <c r="CU299" s="39"/>
      <c r="CV299" s="39"/>
      <c r="CW299" s="39">
        <f t="shared" si="888"/>
        <v>0</v>
      </c>
      <c r="CX299" s="39">
        <f t="shared" si="889"/>
        <v>0</v>
      </c>
      <c r="CY299" s="39">
        <v>0</v>
      </c>
      <c r="CZ299" s="41">
        <v>0</v>
      </c>
      <c r="DA299" s="52"/>
    </row>
    <row r="300" spans="1:105" s="52" customFormat="1" ht="31.5" x14ac:dyDescent="0.25">
      <c r="A300" s="82" t="s">
        <v>1</v>
      </c>
      <c r="B300" s="42" t="s">
        <v>338</v>
      </c>
      <c r="C300" s="43" t="s">
        <v>602</v>
      </c>
      <c r="D300" s="38">
        <f t="shared" si="849"/>
        <v>9000000</v>
      </c>
      <c r="E300" s="39">
        <f t="shared" si="850"/>
        <v>9000000</v>
      </c>
      <c r="F300" s="39">
        <f t="shared" si="851"/>
        <v>0</v>
      </c>
      <c r="G300" s="39">
        <v>0</v>
      </c>
      <c r="H300" s="39">
        <v>0</v>
      </c>
      <c r="I300" s="39">
        <f t="shared" ref="I300" si="890">SUM(J300:O300)</f>
        <v>0</v>
      </c>
      <c r="J300" s="39">
        <v>0</v>
      </c>
      <c r="K300" s="39">
        <v>0</v>
      </c>
      <c r="L300" s="39">
        <v>0</v>
      </c>
      <c r="M300" s="39">
        <v>0</v>
      </c>
      <c r="N300" s="39">
        <v>0</v>
      </c>
      <c r="O300" s="39">
        <v>0</v>
      </c>
      <c r="P300" s="39">
        <f t="shared" si="853"/>
        <v>0</v>
      </c>
      <c r="Q300" s="39">
        <v>0</v>
      </c>
      <c r="R300" s="39">
        <v>0</v>
      </c>
      <c r="S300" s="39">
        <v>0</v>
      </c>
      <c r="T300" s="39">
        <v>0</v>
      </c>
      <c r="U300" s="39">
        <f t="shared" si="854"/>
        <v>0</v>
      </c>
      <c r="V300" s="39">
        <v>0</v>
      </c>
      <c r="W300" s="39">
        <v>0</v>
      </c>
      <c r="X300" s="39">
        <v>0</v>
      </c>
      <c r="Y300" s="39">
        <v>0</v>
      </c>
      <c r="Z300" s="39">
        <v>0</v>
      </c>
      <c r="AA300" s="39">
        <v>0</v>
      </c>
      <c r="AB300" s="39">
        <v>0</v>
      </c>
      <c r="AC300" s="39">
        <v>0</v>
      </c>
      <c r="AD300" s="39">
        <f t="shared" ref="AD300:AD304" si="891">SUM(AE300:AZ300)</f>
        <v>0</v>
      </c>
      <c r="AE300" s="39">
        <v>0</v>
      </c>
      <c r="AF300" s="39">
        <v>0</v>
      </c>
      <c r="AG300" s="39">
        <v>0</v>
      </c>
      <c r="AH300" s="39">
        <v>0</v>
      </c>
      <c r="AI300" s="39">
        <v>0</v>
      </c>
      <c r="AJ300" s="39">
        <v>0</v>
      </c>
      <c r="AK300" s="39">
        <v>0</v>
      </c>
      <c r="AL300" s="39">
        <v>0</v>
      </c>
      <c r="AM300" s="39">
        <v>0</v>
      </c>
      <c r="AN300" s="39">
        <v>0</v>
      </c>
      <c r="AO300" s="39">
        <v>0</v>
      </c>
      <c r="AP300" s="39"/>
      <c r="AQ300" s="39">
        <v>0</v>
      </c>
      <c r="AR300" s="39">
        <v>0</v>
      </c>
      <c r="AS300" s="39">
        <v>0</v>
      </c>
      <c r="AT300" s="39">
        <v>0</v>
      </c>
      <c r="AU300" s="39">
        <v>0</v>
      </c>
      <c r="AV300" s="39">
        <v>0</v>
      </c>
      <c r="AW300" s="39">
        <v>0</v>
      </c>
      <c r="AX300" s="39">
        <v>0</v>
      </c>
      <c r="AY300" s="39">
        <v>0</v>
      </c>
      <c r="AZ300" s="39">
        <v>0</v>
      </c>
      <c r="BA300" s="39">
        <f t="shared" ref="BA300:BA304" si="892">SUM(BB300+BF300+BI300+BK300+BN300)</f>
        <v>9000000</v>
      </c>
      <c r="BB300" s="39">
        <f t="shared" ref="BB300" si="893">SUM(BC300:BE300)</f>
        <v>0</v>
      </c>
      <c r="BC300" s="39">
        <v>0</v>
      </c>
      <c r="BD300" s="39">
        <v>0</v>
      </c>
      <c r="BE300" s="39">
        <v>0</v>
      </c>
      <c r="BF300" s="39">
        <f t="shared" ref="BF300:BF304" si="894">SUM(BG300:BH300)</f>
        <v>0</v>
      </c>
      <c r="BG300" s="35"/>
      <c r="BH300" s="39">
        <v>0</v>
      </c>
      <c r="BI300" s="35">
        <v>9000000</v>
      </c>
      <c r="BJ300" s="39">
        <v>0</v>
      </c>
      <c r="BK300" s="39">
        <f t="shared" si="856"/>
        <v>0</v>
      </c>
      <c r="BL300" s="39">
        <v>0</v>
      </c>
      <c r="BM300" s="39">
        <v>0</v>
      </c>
      <c r="BN300" s="39">
        <f t="shared" ref="BN300" si="895">SUM(BO300:BY300)</f>
        <v>0</v>
      </c>
      <c r="BO300" s="39">
        <v>0</v>
      </c>
      <c r="BP300" s="39">
        <v>0</v>
      </c>
      <c r="BQ300" s="39">
        <v>0</v>
      </c>
      <c r="BR300" s="39">
        <v>0</v>
      </c>
      <c r="BS300" s="39">
        <v>0</v>
      </c>
      <c r="BT300" s="39">
        <v>0</v>
      </c>
      <c r="BU300" s="39">
        <v>0</v>
      </c>
      <c r="BV300" s="39">
        <v>0</v>
      </c>
      <c r="BW300" s="39">
        <v>0</v>
      </c>
      <c r="BX300" s="39">
        <v>0</v>
      </c>
      <c r="BY300" s="39">
        <v>0</v>
      </c>
      <c r="BZ300" s="39">
        <f t="shared" ref="BZ300:BZ304" si="896">SUM(CA300+CS300)</f>
        <v>0</v>
      </c>
      <c r="CA300" s="39">
        <f t="shared" ref="CA300:CA304" si="897">SUM(CB300+CE300+CK300)</f>
        <v>0</v>
      </c>
      <c r="CB300" s="39">
        <f t="shared" ref="CB300" si="898">SUM(CC300:CD300)</f>
        <v>0</v>
      </c>
      <c r="CC300" s="39">
        <v>0</v>
      </c>
      <c r="CD300" s="39">
        <v>0</v>
      </c>
      <c r="CE300" s="19">
        <f t="shared" ref="CE300:CE304" si="899">SUM(CF300:CJ300)</f>
        <v>0</v>
      </c>
      <c r="CF300" s="39">
        <v>0</v>
      </c>
      <c r="CG300" s="39">
        <v>0</v>
      </c>
      <c r="CH300" s="39">
        <v>0</v>
      </c>
      <c r="CI300" s="39">
        <v>0</v>
      </c>
      <c r="CJ300" s="39">
        <v>0</v>
      </c>
      <c r="CK300" s="39">
        <f t="shared" ref="CK300" si="900">SUM(CL300:CP300)</f>
        <v>0</v>
      </c>
      <c r="CL300" s="39">
        <v>0</v>
      </c>
      <c r="CM300" s="39">
        <v>0</v>
      </c>
      <c r="CN300" s="39">
        <v>0</v>
      </c>
      <c r="CO300" s="39"/>
      <c r="CP300" s="39"/>
      <c r="CQ300" s="39"/>
      <c r="CR300" s="39"/>
      <c r="CS300" s="39">
        <v>0</v>
      </c>
      <c r="CT300" s="39"/>
      <c r="CU300" s="39"/>
      <c r="CV300" s="39"/>
      <c r="CW300" s="39">
        <f t="shared" ref="CW300" si="901">SUM(CX300)</f>
        <v>0</v>
      </c>
      <c r="CX300" s="39">
        <f t="shared" si="862"/>
        <v>0</v>
      </c>
      <c r="CY300" s="39">
        <v>0</v>
      </c>
      <c r="CZ300" s="41">
        <v>0</v>
      </c>
    </row>
    <row r="301" spans="1:105" s="52" customFormat="1" ht="15.75" x14ac:dyDescent="0.25">
      <c r="A301" s="82" t="s">
        <v>1</v>
      </c>
      <c r="B301" s="42" t="s">
        <v>338</v>
      </c>
      <c r="C301" s="43" t="s">
        <v>629</v>
      </c>
      <c r="D301" s="38">
        <f t="shared" si="849"/>
        <v>683614</v>
      </c>
      <c r="E301" s="39">
        <f t="shared" si="850"/>
        <v>683614</v>
      </c>
      <c r="F301" s="39">
        <f t="shared" si="851"/>
        <v>0</v>
      </c>
      <c r="G301" s="39">
        <v>0</v>
      </c>
      <c r="H301" s="39">
        <v>0</v>
      </c>
      <c r="I301" s="39">
        <f t="shared" ref="I301:I304" si="902">SUM(J301:O301)</f>
        <v>0</v>
      </c>
      <c r="J301" s="39">
        <v>0</v>
      </c>
      <c r="K301" s="39">
        <v>0</v>
      </c>
      <c r="L301" s="39">
        <v>0</v>
      </c>
      <c r="M301" s="39">
        <v>0</v>
      </c>
      <c r="N301" s="39">
        <v>0</v>
      </c>
      <c r="O301" s="39">
        <v>0</v>
      </c>
      <c r="P301" s="39">
        <f t="shared" si="853"/>
        <v>0</v>
      </c>
      <c r="Q301" s="39">
        <v>0</v>
      </c>
      <c r="R301" s="39">
        <v>0</v>
      </c>
      <c r="S301" s="39">
        <v>0</v>
      </c>
      <c r="T301" s="39">
        <v>0</v>
      </c>
      <c r="U301" s="39">
        <f t="shared" si="854"/>
        <v>0</v>
      </c>
      <c r="V301" s="39">
        <v>0</v>
      </c>
      <c r="W301" s="39">
        <v>0</v>
      </c>
      <c r="X301" s="39">
        <v>0</v>
      </c>
      <c r="Y301" s="39">
        <v>0</v>
      </c>
      <c r="Z301" s="39">
        <v>0</v>
      </c>
      <c r="AA301" s="39">
        <v>0</v>
      </c>
      <c r="AB301" s="39">
        <v>0</v>
      </c>
      <c r="AC301" s="39">
        <v>0</v>
      </c>
      <c r="AD301" s="39">
        <f t="shared" si="891"/>
        <v>0</v>
      </c>
      <c r="AE301" s="39">
        <v>0</v>
      </c>
      <c r="AF301" s="39">
        <v>0</v>
      </c>
      <c r="AG301" s="39">
        <v>0</v>
      </c>
      <c r="AH301" s="39">
        <v>0</v>
      </c>
      <c r="AI301" s="39">
        <v>0</v>
      </c>
      <c r="AJ301" s="39">
        <v>0</v>
      </c>
      <c r="AK301" s="39">
        <v>0</v>
      </c>
      <c r="AL301" s="39">
        <v>0</v>
      </c>
      <c r="AM301" s="39">
        <v>0</v>
      </c>
      <c r="AN301" s="39">
        <v>0</v>
      </c>
      <c r="AO301" s="39">
        <v>0</v>
      </c>
      <c r="AP301" s="39"/>
      <c r="AQ301" s="39">
        <v>0</v>
      </c>
      <c r="AR301" s="39">
        <v>0</v>
      </c>
      <c r="AS301" s="39">
        <v>0</v>
      </c>
      <c r="AT301" s="39">
        <v>0</v>
      </c>
      <c r="AU301" s="39">
        <v>0</v>
      </c>
      <c r="AV301" s="39">
        <v>0</v>
      </c>
      <c r="AW301" s="39">
        <v>0</v>
      </c>
      <c r="AX301" s="39">
        <v>0</v>
      </c>
      <c r="AY301" s="39">
        <v>0</v>
      </c>
      <c r="AZ301" s="39">
        <v>0</v>
      </c>
      <c r="BA301" s="39">
        <f t="shared" si="892"/>
        <v>683614</v>
      </c>
      <c r="BB301" s="39">
        <f t="shared" ref="BB301:BB304" si="903">SUM(BC301:BE301)</f>
        <v>0</v>
      </c>
      <c r="BC301" s="39">
        <v>0</v>
      </c>
      <c r="BD301" s="39">
        <v>0</v>
      </c>
      <c r="BE301" s="39">
        <v>0</v>
      </c>
      <c r="BF301" s="39">
        <f t="shared" si="894"/>
        <v>0</v>
      </c>
      <c r="BG301" s="35"/>
      <c r="BH301" s="39">
        <v>0</v>
      </c>
      <c r="BI301" s="35">
        <f>0+683614</f>
        <v>683614</v>
      </c>
      <c r="BJ301" s="39">
        <v>0</v>
      </c>
      <c r="BK301" s="39">
        <f t="shared" si="856"/>
        <v>0</v>
      </c>
      <c r="BL301" s="39">
        <v>0</v>
      </c>
      <c r="BM301" s="39">
        <v>0</v>
      </c>
      <c r="BN301" s="39">
        <f t="shared" ref="BN301:BN304" si="904">SUM(BO301:BY301)</f>
        <v>0</v>
      </c>
      <c r="BO301" s="39">
        <v>0</v>
      </c>
      <c r="BP301" s="39">
        <v>0</v>
      </c>
      <c r="BQ301" s="39">
        <v>0</v>
      </c>
      <c r="BR301" s="39">
        <v>0</v>
      </c>
      <c r="BS301" s="39">
        <v>0</v>
      </c>
      <c r="BT301" s="39">
        <v>0</v>
      </c>
      <c r="BU301" s="39">
        <v>0</v>
      </c>
      <c r="BV301" s="39">
        <v>0</v>
      </c>
      <c r="BW301" s="39">
        <v>0</v>
      </c>
      <c r="BX301" s="39">
        <v>0</v>
      </c>
      <c r="BY301" s="39">
        <v>0</v>
      </c>
      <c r="BZ301" s="39">
        <f t="shared" si="896"/>
        <v>0</v>
      </c>
      <c r="CA301" s="39">
        <f t="shared" si="897"/>
        <v>0</v>
      </c>
      <c r="CB301" s="39">
        <f t="shared" ref="CB301:CB304" si="905">SUM(CC301:CD301)</f>
        <v>0</v>
      </c>
      <c r="CC301" s="39">
        <v>0</v>
      </c>
      <c r="CD301" s="39">
        <v>0</v>
      </c>
      <c r="CE301" s="19">
        <f t="shared" si="899"/>
        <v>0</v>
      </c>
      <c r="CF301" s="39">
        <v>0</v>
      </c>
      <c r="CG301" s="39">
        <v>0</v>
      </c>
      <c r="CH301" s="39">
        <v>0</v>
      </c>
      <c r="CI301" s="39">
        <v>0</v>
      </c>
      <c r="CJ301" s="39">
        <v>0</v>
      </c>
      <c r="CK301" s="39">
        <f t="shared" ref="CK301:CK304" si="906">SUM(CL301:CP301)</f>
        <v>0</v>
      </c>
      <c r="CL301" s="39">
        <v>0</v>
      </c>
      <c r="CM301" s="39">
        <v>0</v>
      </c>
      <c r="CN301" s="39">
        <v>0</v>
      </c>
      <c r="CO301" s="39"/>
      <c r="CP301" s="39"/>
      <c r="CQ301" s="39"/>
      <c r="CR301" s="39"/>
      <c r="CS301" s="39">
        <v>0</v>
      </c>
      <c r="CT301" s="39"/>
      <c r="CU301" s="39"/>
      <c r="CV301" s="39"/>
      <c r="CW301" s="39">
        <f t="shared" ref="CW301:CW304" si="907">SUM(CX301)</f>
        <v>0</v>
      </c>
      <c r="CX301" s="39">
        <f t="shared" si="862"/>
        <v>0</v>
      </c>
      <c r="CY301" s="39">
        <v>0</v>
      </c>
      <c r="CZ301" s="41">
        <v>0</v>
      </c>
    </row>
    <row r="302" spans="1:105" s="52" customFormat="1" ht="47.25" x14ac:dyDescent="0.25">
      <c r="A302" s="82" t="s">
        <v>1</v>
      </c>
      <c r="B302" s="42" t="s">
        <v>338</v>
      </c>
      <c r="C302" s="43" t="s">
        <v>641</v>
      </c>
      <c r="D302" s="38">
        <f t="shared" si="849"/>
        <v>309913</v>
      </c>
      <c r="E302" s="39">
        <f t="shared" si="850"/>
        <v>309913</v>
      </c>
      <c r="F302" s="39">
        <f t="shared" si="851"/>
        <v>0</v>
      </c>
      <c r="G302" s="39">
        <v>0</v>
      </c>
      <c r="H302" s="39">
        <v>0</v>
      </c>
      <c r="I302" s="39">
        <f t="shared" si="902"/>
        <v>0</v>
      </c>
      <c r="J302" s="39">
        <v>0</v>
      </c>
      <c r="K302" s="39">
        <v>0</v>
      </c>
      <c r="L302" s="39">
        <v>0</v>
      </c>
      <c r="M302" s="39">
        <v>0</v>
      </c>
      <c r="N302" s="39">
        <v>0</v>
      </c>
      <c r="O302" s="39">
        <v>0</v>
      </c>
      <c r="P302" s="39">
        <f t="shared" si="853"/>
        <v>0</v>
      </c>
      <c r="Q302" s="39">
        <v>0</v>
      </c>
      <c r="R302" s="39">
        <v>0</v>
      </c>
      <c r="S302" s="39">
        <v>0</v>
      </c>
      <c r="T302" s="39">
        <v>0</v>
      </c>
      <c r="U302" s="39">
        <f t="shared" si="854"/>
        <v>0</v>
      </c>
      <c r="V302" s="39">
        <v>0</v>
      </c>
      <c r="W302" s="39">
        <v>0</v>
      </c>
      <c r="X302" s="39">
        <v>0</v>
      </c>
      <c r="Y302" s="39">
        <v>0</v>
      </c>
      <c r="Z302" s="39">
        <v>0</v>
      </c>
      <c r="AA302" s="39">
        <v>0</v>
      </c>
      <c r="AB302" s="39">
        <v>0</v>
      </c>
      <c r="AC302" s="39">
        <v>0</v>
      </c>
      <c r="AD302" s="39">
        <f t="shared" si="891"/>
        <v>0</v>
      </c>
      <c r="AE302" s="39">
        <v>0</v>
      </c>
      <c r="AF302" s="39">
        <v>0</v>
      </c>
      <c r="AG302" s="39">
        <v>0</v>
      </c>
      <c r="AH302" s="39">
        <v>0</v>
      </c>
      <c r="AI302" s="39">
        <v>0</v>
      </c>
      <c r="AJ302" s="39">
        <v>0</v>
      </c>
      <c r="AK302" s="39">
        <v>0</v>
      </c>
      <c r="AL302" s="39">
        <v>0</v>
      </c>
      <c r="AM302" s="39">
        <v>0</v>
      </c>
      <c r="AN302" s="39">
        <v>0</v>
      </c>
      <c r="AO302" s="39">
        <v>0</v>
      </c>
      <c r="AP302" s="39"/>
      <c r="AQ302" s="39">
        <v>0</v>
      </c>
      <c r="AR302" s="39">
        <v>0</v>
      </c>
      <c r="AS302" s="39">
        <v>0</v>
      </c>
      <c r="AT302" s="39">
        <v>0</v>
      </c>
      <c r="AU302" s="39">
        <v>0</v>
      </c>
      <c r="AV302" s="39">
        <v>0</v>
      </c>
      <c r="AW302" s="39">
        <v>0</v>
      </c>
      <c r="AX302" s="39">
        <v>0</v>
      </c>
      <c r="AY302" s="39">
        <v>0</v>
      </c>
      <c r="AZ302" s="39">
        <v>0</v>
      </c>
      <c r="BA302" s="39">
        <f t="shared" si="892"/>
        <v>309913</v>
      </c>
      <c r="BB302" s="39">
        <f t="shared" si="903"/>
        <v>0</v>
      </c>
      <c r="BC302" s="39">
        <v>0</v>
      </c>
      <c r="BD302" s="39">
        <v>0</v>
      </c>
      <c r="BE302" s="39">
        <v>0</v>
      </c>
      <c r="BF302" s="39">
        <f t="shared" si="894"/>
        <v>0</v>
      </c>
      <c r="BG302" s="35"/>
      <c r="BH302" s="39">
        <v>0</v>
      </c>
      <c r="BI302" s="35">
        <f>0+309913</f>
        <v>309913</v>
      </c>
      <c r="BJ302" s="39">
        <v>0</v>
      </c>
      <c r="BK302" s="39">
        <f t="shared" si="856"/>
        <v>0</v>
      </c>
      <c r="BL302" s="39">
        <v>0</v>
      </c>
      <c r="BM302" s="39">
        <v>0</v>
      </c>
      <c r="BN302" s="39">
        <f t="shared" si="904"/>
        <v>0</v>
      </c>
      <c r="BO302" s="39">
        <v>0</v>
      </c>
      <c r="BP302" s="39">
        <v>0</v>
      </c>
      <c r="BQ302" s="39">
        <v>0</v>
      </c>
      <c r="BR302" s="39">
        <v>0</v>
      </c>
      <c r="BS302" s="39">
        <v>0</v>
      </c>
      <c r="BT302" s="39">
        <v>0</v>
      </c>
      <c r="BU302" s="39">
        <v>0</v>
      </c>
      <c r="BV302" s="39">
        <v>0</v>
      </c>
      <c r="BW302" s="39">
        <v>0</v>
      </c>
      <c r="BX302" s="39">
        <v>0</v>
      </c>
      <c r="BY302" s="39">
        <v>0</v>
      </c>
      <c r="BZ302" s="39">
        <f t="shared" si="896"/>
        <v>0</v>
      </c>
      <c r="CA302" s="39">
        <f t="shared" si="897"/>
        <v>0</v>
      </c>
      <c r="CB302" s="39">
        <f t="shared" si="905"/>
        <v>0</v>
      </c>
      <c r="CC302" s="39">
        <v>0</v>
      </c>
      <c r="CD302" s="39">
        <v>0</v>
      </c>
      <c r="CE302" s="19">
        <f t="shared" si="899"/>
        <v>0</v>
      </c>
      <c r="CF302" s="39">
        <v>0</v>
      </c>
      <c r="CG302" s="39">
        <v>0</v>
      </c>
      <c r="CH302" s="39">
        <v>0</v>
      </c>
      <c r="CI302" s="39">
        <v>0</v>
      </c>
      <c r="CJ302" s="39">
        <v>0</v>
      </c>
      <c r="CK302" s="39">
        <f t="shared" si="906"/>
        <v>0</v>
      </c>
      <c r="CL302" s="39">
        <v>0</v>
      </c>
      <c r="CM302" s="39">
        <v>0</v>
      </c>
      <c r="CN302" s="39">
        <v>0</v>
      </c>
      <c r="CO302" s="39"/>
      <c r="CP302" s="39"/>
      <c r="CQ302" s="39"/>
      <c r="CR302" s="39"/>
      <c r="CS302" s="39">
        <v>0</v>
      </c>
      <c r="CT302" s="39"/>
      <c r="CU302" s="39"/>
      <c r="CV302" s="39"/>
      <c r="CW302" s="39">
        <f t="shared" si="907"/>
        <v>0</v>
      </c>
      <c r="CX302" s="39">
        <f t="shared" si="862"/>
        <v>0</v>
      </c>
      <c r="CY302" s="39">
        <v>0</v>
      </c>
      <c r="CZ302" s="41">
        <v>0</v>
      </c>
    </row>
    <row r="303" spans="1:105" s="52" customFormat="1" ht="31.5" x14ac:dyDescent="0.25">
      <c r="A303" s="82" t="s">
        <v>1</v>
      </c>
      <c r="B303" s="42" t="s">
        <v>338</v>
      </c>
      <c r="C303" s="43" t="s">
        <v>630</v>
      </c>
      <c r="D303" s="38">
        <f t="shared" si="849"/>
        <v>76123</v>
      </c>
      <c r="E303" s="39">
        <f t="shared" si="850"/>
        <v>76123</v>
      </c>
      <c r="F303" s="39">
        <f t="shared" si="851"/>
        <v>0</v>
      </c>
      <c r="G303" s="39">
        <v>0</v>
      </c>
      <c r="H303" s="39">
        <v>0</v>
      </c>
      <c r="I303" s="39">
        <f t="shared" si="902"/>
        <v>0</v>
      </c>
      <c r="J303" s="39">
        <v>0</v>
      </c>
      <c r="K303" s="39">
        <v>0</v>
      </c>
      <c r="L303" s="39">
        <v>0</v>
      </c>
      <c r="M303" s="39">
        <v>0</v>
      </c>
      <c r="N303" s="39">
        <v>0</v>
      </c>
      <c r="O303" s="39">
        <v>0</v>
      </c>
      <c r="P303" s="39">
        <f t="shared" si="853"/>
        <v>0</v>
      </c>
      <c r="Q303" s="39">
        <v>0</v>
      </c>
      <c r="R303" s="39">
        <v>0</v>
      </c>
      <c r="S303" s="39">
        <v>0</v>
      </c>
      <c r="T303" s="39">
        <v>0</v>
      </c>
      <c r="U303" s="39">
        <f t="shared" si="854"/>
        <v>0</v>
      </c>
      <c r="V303" s="39">
        <v>0</v>
      </c>
      <c r="W303" s="39">
        <v>0</v>
      </c>
      <c r="X303" s="39">
        <v>0</v>
      </c>
      <c r="Y303" s="39">
        <v>0</v>
      </c>
      <c r="Z303" s="39">
        <v>0</v>
      </c>
      <c r="AA303" s="39">
        <v>0</v>
      </c>
      <c r="AB303" s="39">
        <v>0</v>
      </c>
      <c r="AC303" s="39">
        <v>0</v>
      </c>
      <c r="AD303" s="39">
        <f t="shared" si="891"/>
        <v>0</v>
      </c>
      <c r="AE303" s="39">
        <v>0</v>
      </c>
      <c r="AF303" s="39">
        <v>0</v>
      </c>
      <c r="AG303" s="39">
        <v>0</v>
      </c>
      <c r="AH303" s="39">
        <v>0</v>
      </c>
      <c r="AI303" s="39">
        <v>0</v>
      </c>
      <c r="AJ303" s="39">
        <v>0</v>
      </c>
      <c r="AK303" s="39">
        <v>0</v>
      </c>
      <c r="AL303" s="39">
        <v>0</v>
      </c>
      <c r="AM303" s="39">
        <v>0</v>
      </c>
      <c r="AN303" s="39">
        <v>0</v>
      </c>
      <c r="AO303" s="39">
        <v>0</v>
      </c>
      <c r="AP303" s="39"/>
      <c r="AQ303" s="39">
        <v>0</v>
      </c>
      <c r="AR303" s="39">
        <v>0</v>
      </c>
      <c r="AS303" s="39">
        <v>0</v>
      </c>
      <c r="AT303" s="39">
        <v>0</v>
      </c>
      <c r="AU303" s="39">
        <v>0</v>
      </c>
      <c r="AV303" s="39">
        <v>0</v>
      </c>
      <c r="AW303" s="39">
        <v>0</v>
      </c>
      <c r="AX303" s="39">
        <v>0</v>
      </c>
      <c r="AY303" s="39">
        <v>0</v>
      </c>
      <c r="AZ303" s="39">
        <v>0</v>
      </c>
      <c r="BA303" s="39">
        <f t="shared" si="892"/>
        <v>76123</v>
      </c>
      <c r="BB303" s="39">
        <f t="shared" si="903"/>
        <v>0</v>
      </c>
      <c r="BC303" s="39">
        <v>0</v>
      </c>
      <c r="BD303" s="39">
        <v>0</v>
      </c>
      <c r="BE303" s="39">
        <v>0</v>
      </c>
      <c r="BF303" s="39">
        <f t="shared" si="894"/>
        <v>0</v>
      </c>
      <c r="BG303" s="35"/>
      <c r="BH303" s="39">
        <v>0</v>
      </c>
      <c r="BI303" s="35">
        <f>0+76123</f>
        <v>76123</v>
      </c>
      <c r="BJ303" s="39">
        <v>0</v>
      </c>
      <c r="BK303" s="39">
        <f t="shared" si="856"/>
        <v>0</v>
      </c>
      <c r="BL303" s="39">
        <v>0</v>
      </c>
      <c r="BM303" s="39">
        <v>0</v>
      </c>
      <c r="BN303" s="39">
        <f t="shared" si="904"/>
        <v>0</v>
      </c>
      <c r="BO303" s="39">
        <v>0</v>
      </c>
      <c r="BP303" s="39">
        <v>0</v>
      </c>
      <c r="BQ303" s="39">
        <v>0</v>
      </c>
      <c r="BR303" s="39">
        <v>0</v>
      </c>
      <c r="BS303" s="39">
        <v>0</v>
      </c>
      <c r="BT303" s="39">
        <v>0</v>
      </c>
      <c r="BU303" s="39">
        <v>0</v>
      </c>
      <c r="BV303" s="39">
        <v>0</v>
      </c>
      <c r="BW303" s="39">
        <v>0</v>
      </c>
      <c r="BX303" s="39">
        <v>0</v>
      </c>
      <c r="BY303" s="39">
        <v>0</v>
      </c>
      <c r="BZ303" s="39">
        <f t="shared" si="896"/>
        <v>0</v>
      </c>
      <c r="CA303" s="39">
        <f t="shared" si="897"/>
        <v>0</v>
      </c>
      <c r="CB303" s="39">
        <f t="shared" si="905"/>
        <v>0</v>
      </c>
      <c r="CC303" s="39">
        <v>0</v>
      </c>
      <c r="CD303" s="39">
        <v>0</v>
      </c>
      <c r="CE303" s="19">
        <f t="shared" si="899"/>
        <v>0</v>
      </c>
      <c r="CF303" s="39">
        <v>0</v>
      </c>
      <c r="CG303" s="39">
        <v>0</v>
      </c>
      <c r="CH303" s="39">
        <v>0</v>
      </c>
      <c r="CI303" s="39">
        <v>0</v>
      </c>
      <c r="CJ303" s="39">
        <v>0</v>
      </c>
      <c r="CK303" s="39">
        <f t="shared" si="906"/>
        <v>0</v>
      </c>
      <c r="CL303" s="39">
        <v>0</v>
      </c>
      <c r="CM303" s="39">
        <v>0</v>
      </c>
      <c r="CN303" s="39">
        <v>0</v>
      </c>
      <c r="CO303" s="39"/>
      <c r="CP303" s="39"/>
      <c r="CQ303" s="39"/>
      <c r="CR303" s="39"/>
      <c r="CS303" s="39">
        <v>0</v>
      </c>
      <c r="CT303" s="39"/>
      <c r="CU303" s="39"/>
      <c r="CV303" s="39"/>
      <c r="CW303" s="39">
        <f t="shared" si="907"/>
        <v>0</v>
      </c>
      <c r="CX303" s="39">
        <f t="shared" si="862"/>
        <v>0</v>
      </c>
      <c r="CY303" s="39">
        <v>0</v>
      </c>
      <c r="CZ303" s="41">
        <v>0</v>
      </c>
    </row>
    <row r="304" spans="1:105" s="52" customFormat="1" ht="31.5" x14ac:dyDescent="0.25">
      <c r="A304" s="82" t="s">
        <v>1</v>
      </c>
      <c r="B304" s="42" t="s">
        <v>338</v>
      </c>
      <c r="C304" s="43" t="s">
        <v>639</v>
      </c>
      <c r="D304" s="38">
        <f t="shared" si="849"/>
        <v>490960</v>
      </c>
      <c r="E304" s="39">
        <f t="shared" si="850"/>
        <v>490960</v>
      </c>
      <c r="F304" s="39">
        <f t="shared" si="851"/>
        <v>0</v>
      </c>
      <c r="G304" s="39">
        <v>0</v>
      </c>
      <c r="H304" s="39">
        <v>0</v>
      </c>
      <c r="I304" s="39">
        <f t="shared" si="902"/>
        <v>0</v>
      </c>
      <c r="J304" s="39">
        <v>0</v>
      </c>
      <c r="K304" s="39">
        <v>0</v>
      </c>
      <c r="L304" s="39">
        <v>0</v>
      </c>
      <c r="M304" s="39">
        <v>0</v>
      </c>
      <c r="N304" s="39">
        <v>0</v>
      </c>
      <c r="O304" s="39">
        <v>0</v>
      </c>
      <c r="P304" s="39">
        <f t="shared" si="853"/>
        <v>0</v>
      </c>
      <c r="Q304" s="39">
        <v>0</v>
      </c>
      <c r="R304" s="39">
        <v>0</v>
      </c>
      <c r="S304" s="39">
        <v>0</v>
      </c>
      <c r="T304" s="39">
        <v>0</v>
      </c>
      <c r="U304" s="39">
        <f t="shared" si="854"/>
        <v>0</v>
      </c>
      <c r="V304" s="39">
        <v>0</v>
      </c>
      <c r="W304" s="39">
        <v>0</v>
      </c>
      <c r="X304" s="39">
        <v>0</v>
      </c>
      <c r="Y304" s="39">
        <v>0</v>
      </c>
      <c r="Z304" s="39">
        <v>0</v>
      </c>
      <c r="AA304" s="39">
        <v>0</v>
      </c>
      <c r="AB304" s="39">
        <v>0</v>
      </c>
      <c r="AC304" s="39">
        <v>0</v>
      </c>
      <c r="AD304" s="39">
        <f t="shared" si="891"/>
        <v>0</v>
      </c>
      <c r="AE304" s="39">
        <v>0</v>
      </c>
      <c r="AF304" s="39">
        <v>0</v>
      </c>
      <c r="AG304" s="39">
        <v>0</v>
      </c>
      <c r="AH304" s="39">
        <v>0</v>
      </c>
      <c r="AI304" s="39">
        <v>0</v>
      </c>
      <c r="AJ304" s="39">
        <v>0</v>
      </c>
      <c r="AK304" s="39">
        <v>0</v>
      </c>
      <c r="AL304" s="39">
        <v>0</v>
      </c>
      <c r="AM304" s="39">
        <v>0</v>
      </c>
      <c r="AN304" s="39">
        <v>0</v>
      </c>
      <c r="AO304" s="39">
        <v>0</v>
      </c>
      <c r="AP304" s="39"/>
      <c r="AQ304" s="39">
        <v>0</v>
      </c>
      <c r="AR304" s="39">
        <v>0</v>
      </c>
      <c r="AS304" s="39">
        <v>0</v>
      </c>
      <c r="AT304" s="39">
        <v>0</v>
      </c>
      <c r="AU304" s="39">
        <v>0</v>
      </c>
      <c r="AV304" s="39">
        <v>0</v>
      </c>
      <c r="AW304" s="39">
        <v>0</v>
      </c>
      <c r="AX304" s="39">
        <v>0</v>
      </c>
      <c r="AY304" s="39">
        <v>0</v>
      </c>
      <c r="AZ304" s="39">
        <v>0</v>
      </c>
      <c r="BA304" s="39">
        <f t="shared" si="892"/>
        <v>490960</v>
      </c>
      <c r="BB304" s="39">
        <f t="shared" si="903"/>
        <v>0</v>
      </c>
      <c r="BC304" s="39">
        <v>0</v>
      </c>
      <c r="BD304" s="39">
        <v>0</v>
      </c>
      <c r="BE304" s="39">
        <v>0</v>
      </c>
      <c r="BF304" s="39">
        <f t="shared" si="894"/>
        <v>0</v>
      </c>
      <c r="BG304" s="35"/>
      <c r="BH304" s="39">
        <v>0</v>
      </c>
      <c r="BI304" s="35">
        <f>0+490960</f>
        <v>490960</v>
      </c>
      <c r="BJ304" s="39">
        <v>0</v>
      </c>
      <c r="BK304" s="39">
        <f t="shared" si="856"/>
        <v>0</v>
      </c>
      <c r="BL304" s="39">
        <v>0</v>
      </c>
      <c r="BM304" s="39">
        <v>0</v>
      </c>
      <c r="BN304" s="39">
        <f t="shared" si="904"/>
        <v>0</v>
      </c>
      <c r="BO304" s="39">
        <v>0</v>
      </c>
      <c r="BP304" s="39">
        <v>0</v>
      </c>
      <c r="BQ304" s="39">
        <v>0</v>
      </c>
      <c r="BR304" s="39">
        <v>0</v>
      </c>
      <c r="BS304" s="39">
        <v>0</v>
      </c>
      <c r="BT304" s="39">
        <v>0</v>
      </c>
      <c r="BU304" s="39">
        <v>0</v>
      </c>
      <c r="BV304" s="39">
        <v>0</v>
      </c>
      <c r="BW304" s="39">
        <v>0</v>
      </c>
      <c r="BX304" s="39">
        <v>0</v>
      </c>
      <c r="BY304" s="39">
        <v>0</v>
      </c>
      <c r="BZ304" s="39">
        <f t="shared" si="896"/>
        <v>0</v>
      </c>
      <c r="CA304" s="39">
        <f t="shared" si="897"/>
        <v>0</v>
      </c>
      <c r="CB304" s="39">
        <f t="shared" si="905"/>
        <v>0</v>
      </c>
      <c r="CC304" s="39">
        <v>0</v>
      </c>
      <c r="CD304" s="39">
        <v>0</v>
      </c>
      <c r="CE304" s="19">
        <f t="shared" si="899"/>
        <v>0</v>
      </c>
      <c r="CF304" s="39">
        <v>0</v>
      </c>
      <c r="CG304" s="39">
        <v>0</v>
      </c>
      <c r="CH304" s="39">
        <v>0</v>
      </c>
      <c r="CI304" s="39">
        <v>0</v>
      </c>
      <c r="CJ304" s="39">
        <v>0</v>
      </c>
      <c r="CK304" s="39">
        <f t="shared" si="906"/>
        <v>0</v>
      </c>
      <c r="CL304" s="39">
        <v>0</v>
      </c>
      <c r="CM304" s="39">
        <v>0</v>
      </c>
      <c r="CN304" s="39">
        <v>0</v>
      </c>
      <c r="CO304" s="39"/>
      <c r="CP304" s="39"/>
      <c r="CQ304" s="39"/>
      <c r="CR304" s="39"/>
      <c r="CS304" s="39">
        <v>0</v>
      </c>
      <c r="CT304" s="39"/>
      <c r="CU304" s="39"/>
      <c r="CV304" s="39"/>
      <c r="CW304" s="39">
        <f t="shared" si="907"/>
        <v>0</v>
      </c>
      <c r="CX304" s="39">
        <f t="shared" si="862"/>
        <v>0</v>
      </c>
      <c r="CY304" s="39">
        <v>0</v>
      </c>
      <c r="CZ304" s="41">
        <v>0</v>
      </c>
    </row>
    <row r="305" spans="1:105" s="52" customFormat="1" ht="15.75" x14ac:dyDescent="0.25">
      <c r="A305" s="82" t="s">
        <v>1</v>
      </c>
      <c r="B305" s="42" t="s">
        <v>338</v>
      </c>
      <c r="C305" s="43" t="s">
        <v>339</v>
      </c>
      <c r="D305" s="38">
        <f t="shared" si="849"/>
        <v>1659400</v>
      </c>
      <c r="E305" s="39">
        <f t="shared" si="850"/>
        <v>1659400</v>
      </c>
      <c r="F305" s="39">
        <f t="shared" si="851"/>
        <v>0</v>
      </c>
      <c r="G305" s="39">
        <v>0</v>
      </c>
      <c r="H305" s="39">
        <v>0</v>
      </c>
      <c r="I305" s="39">
        <f t="shared" ref="I305" si="908">SUM(J305:O305)</f>
        <v>0</v>
      </c>
      <c r="J305" s="39">
        <v>0</v>
      </c>
      <c r="K305" s="39">
        <v>0</v>
      </c>
      <c r="L305" s="39">
        <v>0</v>
      </c>
      <c r="M305" s="39">
        <v>0</v>
      </c>
      <c r="N305" s="39">
        <v>0</v>
      </c>
      <c r="O305" s="39">
        <v>0</v>
      </c>
      <c r="P305" s="39">
        <f t="shared" ref="P305" si="909">SUM(Q305:R305)</f>
        <v>0</v>
      </c>
      <c r="Q305" s="39">
        <v>0</v>
      </c>
      <c r="R305" s="39">
        <v>0</v>
      </c>
      <c r="S305" s="39">
        <v>0</v>
      </c>
      <c r="T305" s="39">
        <v>0</v>
      </c>
      <c r="U305" s="39">
        <f t="shared" ref="U305" si="910">SUM(V305:AC305)</f>
        <v>0</v>
      </c>
      <c r="V305" s="39">
        <v>0</v>
      </c>
      <c r="W305" s="39">
        <v>0</v>
      </c>
      <c r="X305" s="39">
        <v>0</v>
      </c>
      <c r="Y305" s="39">
        <v>0</v>
      </c>
      <c r="Z305" s="39">
        <v>0</v>
      </c>
      <c r="AA305" s="39">
        <v>0</v>
      </c>
      <c r="AB305" s="39">
        <v>0</v>
      </c>
      <c r="AC305" s="39">
        <v>0</v>
      </c>
      <c r="AD305" s="39">
        <f>SUM(AE305:AZ305)</f>
        <v>0</v>
      </c>
      <c r="AE305" s="39">
        <v>0</v>
      </c>
      <c r="AF305" s="39">
        <v>0</v>
      </c>
      <c r="AG305" s="39">
        <v>0</v>
      </c>
      <c r="AH305" s="39">
        <v>0</v>
      </c>
      <c r="AI305" s="39">
        <v>0</v>
      </c>
      <c r="AJ305" s="39">
        <v>0</v>
      </c>
      <c r="AK305" s="39">
        <v>0</v>
      </c>
      <c r="AL305" s="39">
        <v>0</v>
      </c>
      <c r="AM305" s="39">
        <v>0</v>
      </c>
      <c r="AN305" s="39">
        <v>0</v>
      </c>
      <c r="AO305" s="39">
        <v>0</v>
      </c>
      <c r="AP305" s="39"/>
      <c r="AQ305" s="39">
        <v>0</v>
      </c>
      <c r="AR305" s="39">
        <v>0</v>
      </c>
      <c r="AS305" s="39">
        <v>0</v>
      </c>
      <c r="AT305" s="39">
        <v>0</v>
      </c>
      <c r="AU305" s="39">
        <v>0</v>
      </c>
      <c r="AV305" s="39">
        <v>0</v>
      </c>
      <c r="AW305" s="39">
        <v>0</v>
      </c>
      <c r="AX305" s="39">
        <v>0</v>
      </c>
      <c r="AY305" s="39">
        <v>0</v>
      </c>
      <c r="AZ305" s="39">
        <v>0</v>
      </c>
      <c r="BA305" s="39">
        <f>SUM(BB305+BF305+BI305+BK305+BN305)</f>
        <v>1659400</v>
      </c>
      <c r="BB305" s="39">
        <f t="shared" si="855"/>
        <v>0</v>
      </c>
      <c r="BC305" s="39">
        <v>0</v>
      </c>
      <c r="BD305" s="39">
        <v>0</v>
      </c>
      <c r="BE305" s="39">
        <v>0</v>
      </c>
      <c r="BF305" s="39">
        <f>SUM(BG305:BH305)</f>
        <v>1659400</v>
      </c>
      <c r="BG305" s="35">
        <f>1509400+150000</f>
        <v>1659400</v>
      </c>
      <c r="BH305" s="39">
        <v>0</v>
      </c>
      <c r="BI305" s="35">
        <v>0</v>
      </c>
      <c r="BJ305" s="39">
        <v>0</v>
      </c>
      <c r="BK305" s="39">
        <f t="shared" ref="BK305:BK306" si="911">SUM(BL305)</f>
        <v>0</v>
      </c>
      <c r="BL305" s="39">
        <v>0</v>
      </c>
      <c r="BM305" s="39">
        <v>0</v>
      </c>
      <c r="BN305" s="39">
        <f t="shared" si="857"/>
        <v>0</v>
      </c>
      <c r="BO305" s="39">
        <v>0</v>
      </c>
      <c r="BP305" s="39">
        <v>0</v>
      </c>
      <c r="BQ305" s="39">
        <v>0</v>
      </c>
      <c r="BR305" s="39">
        <v>0</v>
      </c>
      <c r="BS305" s="39">
        <v>0</v>
      </c>
      <c r="BT305" s="39">
        <v>0</v>
      </c>
      <c r="BU305" s="39">
        <v>0</v>
      </c>
      <c r="BV305" s="39">
        <v>0</v>
      </c>
      <c r="BW305" s="39">
        <v>0</v>
      </c>
      <c r="BX305" s="39">
        <v>0</v>
      </c>
      <c r="BY305" s="39">
        <v>0</v>
      </c>
      <c r="BZ305" s="39">
        <f t="shared" si="858"/>
        <v>0</v>
      </c>
      <c r="CA305" s="39">
        <f>SUM(CB305+CE305+CK305)</f>
        <v>0</v>
      </c>
      <c r="CB305" s="39">
        <f t="shared" ref="CB305" si="912">SUM(CC305:CD305)</f>
        <v>0</v>
      </c>
      <c r="CC305" s="39">
        <v>0</v>
      </c>
      <c r="CD305" s="39">
        <v>0</v>
      </c>
      <c r="CE305" s="19">
        <f>SUM(CF305:CJ305)</f>
        <v>0</v>
      </c>
      <c r="CF305" s="39">
        <v>0</v>
      </c>
      <c r="CG305" s="39">
        <v>0</v>
      </c>
      <c r="CH305" s="39">
        <v>0</v>
      </c>
      <c r="CI305" s="39">
        <v>0</v>
      </c>
      <c r="CJ305" s="39">
        <v>0</v>
      </c>
      <c r="CK305" s="39">
        <f t="shared" si="860"/>
        <v>0</v>
      </c>
      <c r="CL305" s="39">
        <v>0</v>
      </c>
      <c r="CM305" s="39">
        <v>0</v>
      </c>
      <c r="CN305" s="39">
        <v>0</v>
      </c>
      <c r="CO305" s="39"/>
      <c r="CP305" s="39"/>
      <c r="CQ305" s="39"/>
      <c r="CR305" s="39"/>
      <c r="CS305" s="39">
        <v>0</v>
      </c>
      <c r="CT305" s="39"/>
      <c r="CU305" s="39"/>
      <c r="CV305" s="39"/>
      <c r="CW305" s="39">
        <f t="shared" ref="CW305" si="913">SUM(CX305)</f>
        <v>0</v>
      </c>
      <c r="CX305" s="39">
        <f t="shared" ref="CX305" si="914">SUM(CY305:CZ305)</f>
        <v>0</v>
      </c>
      <c r="CY305" s="39">
        <v>0</v>
      </c>
      <c r="CZ305" s="41">
        <v>0</v>
      </c>
    </row>
    <row r="306" spans="1:105" s="52" customFormat="1" ht="31.5" x14ac:dyDescent="0.25">
      <c r="A306" s="82" t="s">
        <v>1</v>
      </c>
      <c r="B306" s="42" t="s">
        <v>338</v>
      </c>
      <c r="C306" s="43" t="s">
        <v>340</v>
      </c>
      <c r="D306" s="38">
        <f t="shared" si="849"/>
        <v>224307720</v>
      </c>
      <c r="E306" s="39">
        <f t="shared" si="850"/>
        <v>224307720</v>
      </c>
      <c r="F306" s="39">
        <f t="shared" si="851"/>
        <v>0</v>
      </c>
      <c r="G306" s="39"/>
      <c r="H306" s="39"/>
      <c r="I306" s="39">
        <f t="shared" ref="I306" si="915">SUM(J306:O306)</f>
        <v>0</v>
      </c>
      <c r="J306" s="39">
        <v>0</v>
      </c>
      <c r="K306" s="39">
        <v>0</v>
      </c>
      <c r="L306" s="39">
        <v>0</v>
      </c>
      <c r="M306" s="39">
        <v>0</v>
      </c>
      <c r="N306" s="39"/>
      <c r="O306" s="39"/>
      <c r="P306" s="39">
        <f t="shared" ref="P306" si="916">SUM(Q306:R306)</f>
        <v>0</v>
      </c>
      <c r="Q306" s="39">
        <v>0</v>
      </c>
      <c r="R306" s="39"/>
      <c r="S306" s="39">
        <v>0</v>
      </c>
      <c r="T306" s="39"/>
      <c r="U306" s="39">
        <f t="shared" ref="U306" si="917">SUM(V306:AC306)</f>
        <v>0</v>
      </c>
      <c r="V306" s="39">
        <v>0</v>
      </c>
      <c r="W306" s="39"/>
      <c r="X306" s="39"/>
      <c r="Y306" s="39"/>
      <c r="Z306" s="39">
        <v>0</v>
      </c>
      <c r="AA306" s="39">
        <v>0</v>
      </c>
      <c r="AB306" s="39">
        <v>0</v>
      </c>
      <c r="AC306" s="39">
        <v>0</v>
      </c>
      <c r="AD306" s="39">
        <f>SUM(AE306:AZ306)</f>
        <v>0</v>
      </c>
      <c r="AE306" s="39">
        <v>0</v>
      </c>
      <c r="AF306" s="39">
        <v>0</v>
      </c>
      <c r="AG306" s="39">
        <v>0</v>
      </c>
      <c r="AH306" s="39">
        <v>0</v>
      </c>
      <c r="AI306" s="39">
        <v>0</v>
      </c>
      <c r="AJ306" s="39">
        <v>0</v>
      </c>
      <c r="AK306" s="39">
        <v>0</v>
      </c>
      <c r="AL306" s="39">
        <v>0</v>
      </c>
      <c r="AM306" s="39">
        <v>0</v>
      </c>
      <c r="AN306" s="39">
        <v>0</v>
      </c>
      <c r="AO306" s="39">
        <v>0</v>
      </c>
      <c r="AP306" s="39"/>
      <c r="AQ306" s="39">
        <v>0</v>
      </c>
      <c r="AR306" s="39">
        <v>0</v>
      </c>
      <c r="AS306" s="39">
        <v>0</v>
      </c>
      <c r="AT306" s="39">
        <v>0</v>
      </c>
      <c r="AU306" s="39">
        <v>0</v>
      </c>
      <c r="AV306" s="39">
        <v>0</v>
      </c>
      <c r="AW306" s="39">
        <v>0</v>
      </c>
      <c r="AX306" s="39">
        <v>0</v>
      </c>
      <c r="AY306" s="39">
        <v>0</v>
      </c>
      <c r="AZ306" s="39">
        <v>0</v>
      </c>
      <c r="BA306" s="39">
        <f>SUM(BB306+BF306+BI306+BK306+BN306)</f>
        <v>224307720</v>
      </c>
      <c r="BB306" s="39">
        <f t="shared" si="855"/>
        <v>0</v>
      </c>
      <c r="BC306" s="39">
        <v>0</v>
      </c>
      <c r="BD306" s="39">
        <v>0</v>
      </c>
      <c r="BE306" s="39">
        <v>0</v>
      </c>
      <c r="BF306" s="39">
        <f>SUM(BH306:BH306)</f>
        <v>0</v>
      </c>
      <c r="BG306" s="39">
        <v>0</v>
      </c>
      <c r="BH306" s="39">
        <v>0</v>
      </c>
      <c r="BI306" s="35">
        <f>171504659+52803061</f>
        <v>224307720</v>
      </c>
      <c r="BJ306" s="39">
        <v>0</v>
      </c>
      <c r="BK306" s="39">
        <f t="shared" si="911"/>
        <v>0</v>
      </c>
      <c r="BL306" s="39">
        <v>0</v>
      </c>
      <c r="BM306" s="39">
        <v>0</v>
      </c>
      <c r="BN306" s="39">
        <f t="shared" si="857"/>
        <v>0</v>
      </c>
      <c r="BO306" s="39">
        <v>0</v>
      </c>
      <c r="BP306" s="39">
        <v>0</v>
      </c>
      <c r="BQ306" s="39">
        <v>0</v>
      </c>
      <c r="BR306" s="39">
        <v>0</v>
      </c>
      <c r="BS306" s="39">
        <v>0</v>
      </c>
      <c r="BT306" s="39">
        <v>0</v>
      </c>
      <c r="BU306" s="39">
        <v>0</v>
      </c>
      <c r="BV306" s="39">
        <v>0</v>
      </c>
      <c r="BW306" s="39">
        <v>0</v>
      </c>
      <c r="BX306" s="39"/>
      <c r="BY306" s="39">
        <v>0</v>
      </c>
      <c r="BZ306" s="39">
        <f t="shared" si="858"/>
        <v>0</v>
      </c>
      <c r="CA306" s="39">
        <f>SUM(CB306+CE306+CK306)</f>
        <v>0</v>
      </c>
      <c r="CB306" s="39">
        <f t="shared" ref="CB306" si="918">SUM(CC306:CD306)</f>
        <v>0</v>
      </c>
      <c r="CC306" s="39">
        <v>0</v>
      </c>
      <c r="CD306" s="39"/>
      <c r="CE306" s="19">
        <f>SUM(CF306:CJ306)</f>
        <v>0</v>
      </c>
      <c r="CF306" s="39">
        <v>0</v>
      </c>
      <c r="CG306" s="39">
        <v>0</v>
      </c>
      <c r="CH306" s="39">
        <v>0</v>
      </c>
      <c r="CI306" s="39">
        <v>0</v>
      </c>
      <c r="CJ306" s="39">
        <v>0</v>
      </c>
      <c r="CK306" s="39">
        <f t="shared" si="860"/>
        <v>0</v>
      </c>
      <c r="CL306" s="39">
        <v>0</v>
      </c>
      <c r="CM306" s="39">
        <v>0</v>
      </c>
      <c r="CN306" s="39">
        <v>0</v>
      </c>
      <c r="CO306" s="39"/>
      <c r="CP306" s="39"/>
      <c r="CQ306" s="39"/>
      <c r="CR306" s="39"/>
      <c r="CS306" s="39">
        <v>0</v>
      </c>
      <c r="CT306" s="39"/>
      <c r="CU306" s="39"/>
      <c r="CV306" s="39"/>
      <c r="CW306" s="39">
        <f t="shared" ref="CW306" si="919">SUM(CX306)</f>
        <v>0</v>
      </c>
      <c r="CX306" s="39">
        <f t="shared" ref="CX306" si="920">SUM(CY306:CZ306)</f>
        <v>0</v>
      </c>
      <c r="CY306" s="39">
        <v>0</v>
      </c>
      <c r="CZ306" s="41">
        <v>0</v>
      </c>
    </row>
    <row r="307" spans="1:105" s="52" customFormat="1" ht="15.75" x14ac:dyDescent="0.25">
      <c r="A307" s="82" t="s">
        <v>1</v>
      </c>
      <c r="B307" s="42" t="s">
        <v>338</v>
      </c>
      <c r="C307" s="43" t="s">
        <v>603</v>
      </c>
      <c r="D307" s="38">
        <f t="shared" si="849"/>
        <v>17124300</v>
      </c>
      <c r="E307" s="39">
        <f t="shared" si="850"/>
        <v>17124300</v>
      </c>
      <c r="F307" s="39">
        <f t="shared" si="851"/>
        <v>0</v>
      </c>
      <c r="G307" s="39"/>
      <c r="H307" s="39"/>
      <c r="I307" s="39">
        <f t="shared" ref="I307" si="921">SUM(J307:O307)</f>
        <v>0</v>
      </c>
      <c r="J307" s="39">
        <v>0</v>
      </c>
      <c r="K307" s="39">
        <v>0</v>
      </c>
      <c r="L307" s="39">
        <v>0</v>
      </c>
      <c r="M307" s="39">
        <v>0</v>
      </c>
      <c r="N307" s="39"/>
      <c r="O307" s="39"/>
      <c r="P307" s="39">
        <f t="shared" ref="P307" si="922">SUM(Q307:R307)</f>
        <v>0</v>
      </c>
      <c r="Q307" s="39">
        <v>0</v>
      </c>
      <c r="R307" s="39"/>
      <c r="S307" s="39">
        <v>0</v>
      </c>
      <c r="T307" s="39"/>
      <c r="U307" s="39">
        <f t="shared" ref="U307" si="923">SUM(V307:AC307)</f>
        <v>0</v>
      </c>
      <c r="V307" s="39">
        <v>0</v>
      </c>
      <c r="W307" s="39"/>
      <c r="X307" s="39"/>
      <c r="Y307" s="39"/>
      <c r="Z307" s="39">
        <v>0</v>
      </c>
      <c r="AA307" s="39">
        <v>0</v>
      </c>
      <c r="AB307" s="39">
        <v>0</v>
      </c>
      <c r="AC307" s="39">
        <v>0</v>
      </c>
      <c r="AD307" s="39">
        <f>SUM(AE307:AZ307)</f>
        <v>0</v>
      </c>
      <c r="AE307" s="39">
        <v>0</v>
      </c>
      <c r="AF307" s="39">
        <v>0</v>
      </c>
      <c r="AG307" s="39">
        <v>0</v>
      </c>
      <c r="AH307" s="39">
        <v>0</v>
      </c>
      <c r="AI307" s="39">
        <v>0</v>
      </c>
      <c r="AJ307" s="39">
        <v>0</v>
      </c>
      <c r="AK307" s="39">
        <v>0</v>
      </c>
      <c r="AL307" s="39">
        <v>0</v>
      </c>
      <c r="AM307" s="39">
        <v>0</v>
      </c>
      <c r="AN307" s="39">
        <v>0</v>
      </c>
      <c r="AO307" s="39">
        <v>0</v>
      </c>
      <c r="AP307" s="39"/>
      <c r="AQ307" s="39">
        <v>0</v>
      </c>
      <c r="AR307" s="39">
        <v>0</v>
      </c>
      <c r="AS307" s="39">
        <v>0</v>
      </c>
      <c r="AT307" s="39">
        <v>0</v>
      </c>
      <c r="AU307" s="39">
        <v>0</v>
      </c>
      <c r="AV307" s="39">
        <v>0</v>
      </c>
      <c r="AW307" s="39">
        <v>0</v>
      </c>
      <c r="AX307" s="39">
        <v>0</v>
      </c>
      <c r="AY307" s="39">
        <v>0</v>
      </c>
      <c r="AZ307" s="39">
        <v>0</v>
      </c>
      <c r="BA307" s="39">
        <f>SUM(BB307+BF307+BI307+BK307+BN307)</f>
        <v>17124300</v>
      </c>
      <c r="BB307" s="39">
        <f t="shared" ref="BB307" si="924">SUM(BC307:BE307)</f>
        <v>0</v>
      </c>
      <c r="BC307" s="39">
        <v>0</v>
      </c>
      <c r="BD307" s="39">
        <v>0</v>
      </c>
      <c r="BE307" s="39">
        <v>0</v>
      </c>
      <c r="BF307" s="39">
        <f>SUM(BG307:BH307)</f>
        <v>17124300</v>
      </c>
      <c r="BG307" s="39">
        <v>17124300</v>
      </c>
      <c r="BH307" s="39">
        <v>0</v>
      </c>
      <c r="BI307" s="35"/>
      <c r="BJ307" s="39">
        <v>0</v>
      </c>
      <c r="BK307" s="39">
        <f t="shared" ref="BK307" si="925">SUM(BL307)</f>
        <v>0</v>
      </c>
      <c r="BL307" s="39">
        <v>0</v>
      </c>
      <c r="BM307" s="39">
        <v>0</v>
      </c>
      <c r="BN307" s="39">
        <f t="shared" ref="BN307" si="926">SUM(BO307:BY307)</f>
        <v>0</v>
      </c>
      <c r="BO307" s="39">
        <v>0</v>
      </c>
      <c r="BP307" s="39">
        <v>0</v>
      </c>
      <c r="BQ307" s="39">
        <v>0</v>
      </c>
      <c r="BR307" s="39">
        <v>0</v>
      </c>
      <c r="BS307" s="39">
        <v>0</v>
      </c>
      <c r="BT307" s="39">
        <v>0</v>
      </c>
      <c r="BU307" s="39">
        <v>0</v>
      </c>
      <c r="BV307" s="39">
        <v>0</v>
      </c>
      <c r="BW307" s="39">
        <v>0</v>
      </c>
      <c r="BX307" s="39"/>
      <c r="BY307" s="39">
        <v>0</v>
      </c>
      <c r="BZ307" s="39">
        <f t="shared" ref="BZ307" si="927">SUM(CA307+CS307)</f>
        <v>0</v>
      </c>
      <c r="CA307" s="39">
        <f>SUM(CB307+CE307+CK307)</f>
        <v>0</v>
      </c>
      <c r="CB307" s="39">
        <f t="shared" ref="CB307" si="928">SUM(CC307:CD307)</f>
        <v>0</v>
      </c>
      <c r="CC307" s="39">
        <v>0</v>
      </c>
      <c r="CD307" s="39"/>
      <c r="CE307" s="19">
        <f>SUM(CF307:CJ307)</f>
        <v>0</v>
      </c>
      <c r="CF307" s="39">
        <v>0</v>
      </c>
      <c r="CG307" s="39">
        <v>0</v>
      </c>
      <c r="CH307" s="39">
        <v>0</v>
      </c>
      <c r="CI307" s="39">
        <v>0</v>
      </c>
      <c r="CJ307" s="39">
        <v>0</v>
      </c>
      <c r="CK307" s="39">
        <f t="shared" ref="CK307" si="929">SUM(CL307:CP307)</f>
        <v>0</v>
      </c>
      <c r="CL307" s="39">
        <v>0</v>
      </c>
      <c r="CM307" s="39">
        <v>0</v>
      </c>
      <c r="CN307" s="39">
        <v>0</v>
      </c>
      <c r="CO307" s="39"/>
      <c r="CP307" s="39"/>
      <c r="CQ307" s="39"/>
      <c r="CR307" s="39"/>
      <c r="CS307" s="39">
        <v>0</v>
      </c>
      <c r="CT307" s="39"/>
      <c r="CU307" s="39"/>
      <c r="CV307" s="39"/>
      <c r="CW307" s="39">
        <f t="shared" ref="CW307" si="930">SUM(CX307)</f>
        <v>0</v>
      </c>
      <c r="CX307" s="39">
        <f t="shared" ref="CX307" si="931">SUM(CY307:CZ307)</f>
        <v>0</v>
      </c>
      <c r="CY307" s="39">
        <v>0</v>
      </c>
      <c r="CZ307" s="41">
        <v>0</v>
      </c>
    </row>
    <row r="308" spans="1:105" s="57" customFormat="1" ht="31.5" x14ac:dyDescent="0.25">
      <c r="A308" s="79" t="s">
        <v>341</v>
      </c>
      <c r="B308" s="16" t="s">
        <v>1</v>
      </c>
      <c r="C308" s="17" t="s">
        <v>342</v>
      </c>
      <c r="D308" s="18">
        <f t="shared" ref="D308:AH308" si="932">SUM(D309)</f>
        <v>9277760</v>
      </c>
      <c r="E308" s="18">
        <f t="shared" si="932"/>
        <v>9277760</v>
      </c>
      <c r="F308" s="18">
        <f t="shared" si="932"/>
        <v>0</v>
      </c>
      <c r="G308" s="18">
        <f t="shared" si="932"/>
        <v>0</v>
      </c>
      <c r="H308" s="18">
        <f t="shared" si="932"/>
        <v>0</v>
      </c>
      <c r="I308" s="18">
        <f t="shared" si="932"/>
        <v>0</v>
      </c>
      <c r="J308" s="18">
        <f t="shared" si="932"/>
        <v>0</v>
      </c>
      <c r="K308" s="18">
        <f t="shared" si="932"/>
        <v>0</v>
      </c>
      <c r="L308" s="18">
        <f t="shared" si="932"/>
        <v>0</v>
      </c>
      <c r="M308" s="18">
        <f t="shared" si="932"/>
        <v>0</v>
      </c>
      <c r="N308" s="18">
        <f t="shared" si="932"/>
        <v>0</v>
      </c>
      <c r="O308" s="18">
        <f t="shared" si="932"/>
        <v>0</v>
      </c>
      <c r="P308" s="18">
        <f t="shared" si="932"/>
        <v>0</v>
      </c>
      <c r="Q308" s="18">
        <f t="shared" si="932"/>
        <v>0</v>
      </c>
      <c r="R308" s="18">
        <f t="shared" si="932"/>
        <v>0</v>
      </c>
      <c r="S308" s="18">
        <f t="shared" si="932"/>
        <v>0</v>
      </c>
      <c r="T308" s="18">
        <f t="shared" si="932"/>
        <v>0</v>
      </c>
      <c r="U308" s="18">
        <f t="shared" si="932"/>
        <v>0</v>
      </c>
      <c r="V308" s="18">
        <f t="shared" si="932"/>
        <v>0</v>
      </c>
      <c r="W308" s="18">
        <f t="shared" si="932"/>
        <v>0</v>
      </c>
      <c r="X308" s="18">
        <f t="shared" si="932"/>
        <v>0</v>
      </c>
      <c r="Y308" s="18">
        <f t="shared" si="932"/>
        <v>0</v>
      </c>
      <c r="Z308" s="18">
        <f t="shared" si="932"/>
        <v>0</v>
      </c>
      <c r="AA308" s="18">
        <f t="shared" si="932"/>
        <v>0</v>
      </c>
      <c r="AB308" s="18">
        <f t="shared" si="932"/>
        <v>0</v>
      </c>
      <c r="AC308" s="18">
        <f t="shared" si="932"/>
        <v>0</v>
      </c>
      <c r="AD308" s="18">
        <f t="shared" si="932"/>
        <v>0</v>
      </c>
      <c r="AE308" s="18">
        <f t="shared" si="932"/>
        <v>0</v>
      </c>
      <c r="AF308" s="18">
        <f t="shared" si="932"/>
        <v>0</v>
      </c>
      <c r="AG308" s="18">
        <f t="shared" si="932"/>
        <v>0</v>
      </c>
      <c r="AH308" s="18">
        <f t="shared" si="932"/>
        <v>0</v>
      </c>
      <c r="AI308" s="18">
        <f t="shared" ref="AI308:CX308" si="933">SUM(AI309)</f>
        <v>0</v>
      </c>
      <c r="AJ308" s="18">
        <f t="shared" si="933"/>
        <v>0</v>
      </c>
      <c r="AK308" s="18">
        <f t="shared" si="933"/>
        <v>0</v>
      </c>
      <c r="AL308" s="18">
        <f t="shared" si="933"/>
        <v>0</v>
      </c>
      <c r="AM308" s="18">
        <f t="shared" si="933"/>
        <v>0</v>
      </c>
      <c r="AN308" s="18">
        <f t="shared" si="933"/>
        <v>0</v>
      </c>
      <c r="AO308" s="18">
        <f t="shared" si="933"/>
        <v>0</v>
      </c>
      <c r="AP308" s="18"/>
      <c r="AQ308" s="18">
        <f t="shared" si="933"/>
        <v>0</v>
      </c>
      <c r="AR308" s="18">
        <f t="shared" si="933"/>
        <v>0</v>
      </c>
      <c r="AS308" s="18">
        <f t="shared" si="933"/>
        <v>0</v>
      </c>
      <c r="AT308" s="18">
        <f t="shared" si="933"/>
        <v>0</v>
      </c>
      <c r="AU308" s="18">
        <f t="shared" si="933"/>
        <v>0</v>
      </c>
      <c r="AV308" s="18">
        <f t="shared" si="933"/>
        <v>0</v>
      </c>
      <c r="AW308" s="18">
        <f t="shared" si="933"/>
        <v>0</v>
      </c>
      <c r="AX308" s="18">
        <f t="shared" si="933"/>
        <v>0</v>
      </c>
      <c r="AY308" s="18"/>
      <c r="AZ308" s="18">
        <f t="shared" si="933"/>
        <v>0</v>
      </c>
      <c r="BA308" s="18">
        <f t="shared" si="933"/>
        <v>9277760</v>
      </c>
      <c r="BB308" s="18">
        <f t="shared" si="933"/>
        <v>0</v>
      </c>
      <c r="BC308" s="18">
        <f t="shared" si="933"/>
        <v>0</v>
      </c>
      <c r="BD308" s="18">
        <f t="shared" si="933"/>
        <v>0</v>
      </c>
      <c r="BE308" s="18">
        <f t="shared" si="933"/>
        <v>0</v>
      </c>
      <c r="BF308" s="38">
        <f>SUM(BG308:BH308)</f>
        <v>9277760</v>
      </c>
      <c r="BG308" s="18">
        <f t="shared" si="933"/>
        <v>0</v>
      </c>
      <c r="BH308" s="18">
        <f t="shared" si="933"/>
        <v>9277760</v>
      </c>
      <c r="BI308" s="18">
        <f t="shared" si="933"/>
        <v>0</v>
      </c>
      <c r="BJ308" s="18">
        <f t="shared" si="933"/>
        <v>0</v>
      </c>
      <c r="BK308" s="18">
        <f t="shared" si="933"/>
        <v>0</v>
      </c>
      <c r="BL308" s="18">
        <f t="shared" si="933"/>
        <v>0</v>
      </c>
      <c r="BM308" s="18">
        <f t="shared" si="933"/>
        <v>0</v>
      </c>
      <c r="BN308" s="18">
        <f t="shared" si="933"/>
        <v>0</v>
      </c>
      <c r="BO308" s="18">
        <f t="shared" si="933"/>
        <v>0</v>
      </c>
      <c r="BP308" s="18">
        <f t="shared" si="933"/>
        <v>0</v>
      </c>
      <c r="BQ308" s="18">
        <f t="shared" si="933"/>
        <v>0</v>
      </c>
      <c r="BR308" s="18">
        <f t="shared" si="933"/>
        <v>0</v>
      </c>
      <c r="BS308" s="18">
        <f t="shared" si="933"/>
        <v>0</v>
      </c>
      <c r="BT308" s="18">
        <f t="shared" si="933"/>
        <v>0</v>
      </c>
      <c r="BU308" s="18">
        <f t="shared" si="933"/>
        <v>0</v>
      </c>
      <c r="BV308" s="18">
        <f t="shared" si="933"/>
        <v>0</v>
      </c>
      <c r="BW308" s="18">
        <f t="shared" si="933"/>
        <v>0</v>
      </c>
      <c r="BX308" s="18">
        <f t="shared" si="933"/>
        <v>0</v>
      </c>
      <c r="BY308" s="18">
        <f t="shared" si="933"/>
        <v>0</v>
      </c>
      <c r="BZ308" s="18">
        <f t="shared" si="858"/>
        <v>0</v>
      </c>
      <c r="CA308" s="18">
        <f t="shared" si="933"/>
        <v>0</v>
      </c>
      <c r="CB308" s="18">
        <f t="shared" si="933"/>
        <v>0</v>
      </c>
      <c r="CC308" s="18">
        <f t="shared" si="933"/>
        <v>0</v>
      </c>
      <c r="CD308" s="18">
        <f t="shared" si="933"/>
        <v>0</v>
      </c>
      <c r="CE308" s="18">
        <f t="shared" si="933"/>
        <v>0</v>
      </c>
      <c r="CF308" s="18">
        <f t="shared" si="933"/>
        <v>0</v>
      </c>
      <c r="CG308" s="18">
        <f t="shared" si="933"/>
        <v>0</v>
      </c>
      <c r="CH308" s="18">
        <f t="shared" si="933"/>
        <v>0</v>
      </c>
      <c r="CI308" s="18">
        <f t="shared" si="933"/>
        <v>0</v>
      </c>
      <c r="CJ308" s="18">
        <f t="shared" si="933"/>
        <v>0</v>
      </c>
      <c r="CK308" s="18">
        <f t="shared" si="933"/>
        <v>0</v>
      </c>
      <c r="CL308" s="18">
        <f t="shared" si="933"/>
        <v>0</v>
      </c>
      <c r="CM308" s="18">
        <f t="shared" si="933"/>
        <v>0</v>
      </c>
      <c r="CN308" s="18">
        <f t="shared" si="933"/>
        <v>0</v>
      </c>
      <c r="CO308" s="18"/>
      <c r="CP308" s="18"/>
      <c r="CQ308" s="18"/>
      <c r="CR308" s="18"/>
      <c r="CS308" s="18">
        <f t="shared" si="933"/>
        <v>0</v>
      </c>
      <c r="CT308" s="18"/>
      <c r="CU308" s="18"/>
      <c r="CV308" s="18"/>
      <c r="CW308" s="18">
        <f t="shared" si="933"/>
        <v>0</v>
      </c>
      <c r="CX308" s="18">
        <f t="shared" si="933"/>
        <v>0</v>
      </c>
      <c r="CY308" s="18">
        <f t="shared" ref="CY308:CZ308" si="934">SUM(CY309)</f>
        <v>0</v>
      </c>
      <c r="CZ308" s="46">
        <f t="shared" si="934"/>
        <v>0</v>
      </c>
    </row>
    <row r="309" spans="1:105" ht="31.5" x14ac:dyDescent="0.25">
      <c r="A309" s="80" t="s">
        <v>1</v>
      </c>
      <c r="B309" s="21" t="s">
        <v>343</v>
      </c>
      <c r="C309" s="22" t="s">
        <v>342</v>
      </c>
      <c r="D309" s="18">
        <f>SUM(E309+BZ309+CW309)</f>
        <v>9277760</v>
      </c>
      <c r="E309" s="19">
        <f>SUM(F309+BA309)</f>
        <v>9277760</v>
      </c>
      <c r="F309" s="19">
        <f>SUM(G309+H309+I309+P309+S309+T309+U309+AD309)</f>
        <v>0</v>
      </c>
      <c r="G309" s="19">
        <v>0</v>
      </c>
      <c r="H309" s="19">
        <v>0</v>
      </c>
      <c r="I309" s="19">
        <f>SUM(J309:O309)</f>
        <v>0</v>
      </c>
      <c r="J309" s="19">
        <v>0</v>
      </c>
      <c r="K309" s="19">
        <v>0</v>
      </c>
      <c r="L309" s="19">
        <v>0</v>
      </c>
      <c r="M309" s="19">
        <v>0</v>
      </c>
      <c r="N309" s="19">
        <v>0</v>
      </c>
      <c r="O309" s="19">
        <v>0</v>
      </c>
      <c r="P309" s="19">
        <f>SUM(Q309:R309)</f>
        <v>0</v>
      </c>
      <c r="Q309" s="19">
        <v>0</v>
      </c>
      <c r="R309" s="19">
        <v>0</v>
      </c>
      <c r="S309" s="19">
        <v>0</v>
      </c>
      <c r="T309" s="19">
        <v>0</v>
      </c>
      <c r="U309" s="19">
        <f t="shared" ref="U309" si="935">SUM(V309:AC309)</f>
        <v>0</v>
      </c>
      <c r="V309" s="19">
        <v>0</v>
      </c>
      <c r="W309" s="19">
        <v>0</v>
      </c>
      <c r="X309" s="19">
        <v>0</v>
      </c>
      <c r="Y309" s="19">
        <v>0</v>
      </c>
      <c r="Z309" s="19">
        <v>0</v>
      </c>
      <c r="AA309" s="19">
        <v>0</v>
      </c>
      <c r="AB309" s="19">
        <v>0</v>
      </c>
      <c r="AC309" s="19">
        <v>0</v>
      </c>
      <c r="AD309" s="19">
        <f>SUM(AE309:AZ309)</f>
        <v>0</v>
      </c>
      <c r="AE309" s="19">
        <v>0</v>
      </c>
      <c r="AF309" s="19">
        <v>0</v>
      </c>
      <c r="AG309" s="19">
        <v>0</v>
      </c>
      <c r="AH309" s="19">
        <v>0</v>
      </c>
      <c r="AI309" s="19">
        <v>0</v>
      </c>
      <c r="AJ309" s="19">
        <v>0</v>
      </c>
      <c r="AK309" s="19">
        <v>0</v>
      </c>
      <c r="AL309" s="19">
        <v>0</v>
      </c>
      <c r="AM309" s="19">
        <v>0</v>
      </c>
      <c r="AN309" s="19">
        <v>0</v>
      </c>
      <c r="AO309" s="19">
        <v>0</v>
      </c>
      <c r="AP309" s="19"/>
      <c r="AQ309" s="19">
        <v>0</v>
      </c>
      <c r="AR309" s="19">
        <v>0</v>
      </c>
      <c r="AS309" s="19">
        <v>0</v>
      </c>
      <c r="AT309" s="19">
        <v>0</v>
      </c>
      <c r="AU309" s="19">
        <v>0</v>
      </c>
      <c r="AV309" s="19">
        <v>0</v>
      </c>
      <c r="AW309" s="19">
        <v>0</v>
      </c>
      <c r="AX309" s="19">
        <v>0</v>
      </c>
      <c r="AY309" s="19"/>
      <c r="AZ309" s="19">
        <v>0</v>
      </c>
      <c r="BA309" s="19">
        <f>SUM(BB309+BF309+BI309+BK309+BN309)</f>
        <v>9277760</v>
      </c>
      <c r="BB309" s="19">
        <f>SUM(BC309:BE309)</f>
        <v>0</v>
      </c>
      <c r="BC309" s="19">
        <v>0</v>
      </c>
      <c r="BD309" s="19">
        <v>0</v>
      </c>
      <c r="BE309" s="19">
        <v>0</v>
      </c>
      <c r="BF309" s="39">
        <f>SUM(BG309:BH309)</f>
        <v>9277760</v>
      </c>
      <c r="BG309" s="19">
        <v>0</v>
      </c>
      <c r="BH309" s="23">
        <f>8391647+886113</f>
        <v>9277760</v>
      </c>
      <c r="BI309" s="19">
        <v>0</v>
      </c>
      <c r="BJ309" s="19">
        <v>0</v>
      </c>
      <c r="BK309" s="19">
        <f>SUM(BL309)</f>
        <v>0</v>
      </c>
      <c r="BL309" s="19">
        <v>0</v>
      </c>
      <c r="BM309" s="19">
        <v>0</v>
      </c>
      <c r="BN309" s="19">
        <f>SUM(BO309:BY309)</f>
        <v>0</v>
      </c>
      <c r="BO309" s="19">
        <v>0</v>
      </c>
      <c r="BP309" s="19">
        <v>0</v>
      </c>
      <c r="BQ309" s="19">
        <v>0</v>
      </c>
      <c r="BR309" s="19">
        <v>0</v>
      </c>
      <c r="BS309" s="19">
        <v>0</v>
      </c>
      <c r="BT309" s="19">
        <v>0</v>
      </c>
      <c r="BU309" s="19">
        <v>0</v>
      </c>
      <c r="BV309" s="19">
        <v>0</v>
      </c>
      <c r="BW309" s="19">
        <v>0</v>
      </c>
      <c r="BX309" s="19">
        <v>0</v>
      </c>
      <c r="BY309" s="19">
        <v>0</v>
      </c>
      <c r="BZ309" s="19">
        <f t="shared" si="858"/>
        <v>0</v>
      </c>
      <c r="CA309" s="19">
        <f>SUM(CB309+CE309+CK309)</f>
        <v>0</v>
      </c>
      <c r="CB309" s="19">
        <f>SUM(CC309:CD309)</f>
        <v>0</v>
      </c>
      <c r="CC309" s="19">
        <v>0</v>
      </c>
      <c r="CD309" s="19">
        <v>0</v>
      </c>
      <c r="CE309" s="19">
        <f>SUM(CF309:CJ309)</f>
        <v>0</v>
      </c>
      <c r="CF309" s="19">
        <v>0</v>
      </c>
      <c r="CG309" s="19">
        <v>0</v>
      </c>
      <c r="CH309" s="19">
        <v>0</v>
      </c>
      <c r="CI309" s="19">
        <v>0</v>
      </c>
      <c r="CJ309" s="19">
        <v>0</v>
      </c>
      <c r="CK309" s="19">
        <f>SUM(CL309:CP309)</f>
        <v>0</v>
      </c>
      <c r="CL309" s="19">
        <v>0</v>
      </c>
      <c r="CM309" s="19">
        <v>0</v>
      </c>
      <c r="CN309" s="19">
        <v>0</v>
      </c>
      <c r="CO309" s="19"/>
      <c r="CP309" s="19"/>
      <c r="CQ309" s="19"/>
      <c r="CR309" s="19"/>
      <c r="CS309" s="19">
        <v>0</v>
      </c>
      <c r="CT309" s="19"/>
      <c r="CU309" s="19"/>
      <c r="CV309" s="19"/>
      <c r="CW309" s="19">
        <f>SUM(CX309)</f>
        <v>0</v>
      </c>
      <c r="CX309" s="19">
        <f>SUM(CY309:CZ309)</f>
        <v>0</v>
      </c>
      <c r="CY309" s="19">
        <v>0</v>
      </c>
      <c r="CZ309" s="20">
        <v>0</v>
      </c>
    </row>
    <row r="310" spans="1:105" s="52" customFormat="1" ht="31.5" x14ac:dyDescent="0.25">
      <c r="A310" s="79" t="s">
        <v>344</v>
      </c>
      <c r="B310" s="16" t="s">
        <v>1</v>
      </c>
      <c r="C310" s="17" t="s">
        <v>583</v>
      </c>
      <c r="D310" s="18">
        <f>SUM(D311:D312)</f>
        <v>106362161</v>
      </c>
      <c r="E310" s="18">
        <f t="shared" ref="E310:BO310" si="936">SUM(E311:E312)</f>
        <v>94371324</v>
      </c>
      <c r="F310" s="18">
        <f t="shared" si="936"/>
        <v>0</v>
      </c>
      <c r="G310" s="18">
        <f t="shared" si="936"/>
        <v>0</v>
      </c>
      <c r="H310" s="18">
        <f t="shared" si="936"/>
        <v>0</v>
      </c>
      <c r="I310" s="18">
        <f t="shared" si="936"/>
        <v>0</v>
      </c>
      <c r="J310" s="18">
        <f t="shared" si="936"/>
        <v>0</v>
      </c>
      <c r="K310" s="18">
        <f t="shared" si="936"/>
        <v>0</v>
      </c>
      <c r="L310" s="18">
        <f t="shared" si="936"/>
        <v>0</v>
      </c>
      <c r="M310" s="18">
        <f t="shared" si="936"/>
        <v>0</v>
      </c>
      <c r="N310" s="18">
        <f t="shared" si="936"/>
        <v>0</v>
      </c>
      <c r="O310" s="18">
        <f t="shared" si="936"/>
        <v>0</v>
      </c>
      <c r="P310" s="18">
        <f t="shared" si="936"/>
        <v>0</v>
      </c>
      <c r="Q310" s="18">
        <f t="shared" si="936"/>
        <v>0</v>
      </c>
      <c r="R310" s="18">
        <f t="shared" si="936"/>
        <v>0</v>
      </c>
      <c r="S310" s="18">
        <f t="shared" si="936"/>
        <v>0</v>
      </c>
      <c r="T310" s="18">
        <f t="shared" si="936"/>
        <v>0</v>
      </c>
      <c r="U310" s="18">
        <f t="shared" si="936"/>
        <v>0</v>
      </c>
      <c r="V310" s="18">
        <f t="shared" si="936"/>
        <v>0</v>
      </c>
      <c r="W310" s="18">
        <f t="shared" si="936"/>
        <v>0</v>
      </c>
      <c r="X310" s="18">
        <f t="shared" si="936"/>
        <v>0</v>
      </c>
      <c r="Y310" s="18">
        <f t="shared" si="936"/>
        <v>0</v>
      </c>
      <c r="Z310" s="18">
        <f t="shared" si="936"/>
        <v>0</v>
      </c>
      <c r="AA310" s="18">
        <f t="shared" si="936"/>
        <v>0</v>
      </c>
      <c r="AB310" s="18">
        <f t="shared" si="936"/>
        <v>0</v>
      </c>
      <c r="AC310" s="18">
        <f t="shared" si="936"/>
        <v>0</v>
      </c>
      <c r="AD310" s="18">
        <f t="shared" si="936"/>
        <v>0</v>
      </c>
      <c r="AE310" s="18">
        <f t="shared" si="936"/>
        <v>0</v>
      </c>
      <c r="AF310" s="18">
        <f t="shared" si="936"/>
        <v>0</v>
      </c>
      <c r="AG310" s="18">
        <f t="shared" si="936"/>
        <v>0</v>
      </c>
      <c r="AH310" s="18">
        <f t="shared" si="936"/>
        <v>0</v>
      </c>
      <c r="AI310" s="18">
        <f t="shared" si="936"/>
        <v>0</v>
      </c>
      <c r="AJ310" s="18">
        <f t="shared" si="936"/>
        <v>0</v>
      </c>
      <c r="AK310" s="18">
        <f t="shared" si="936"/>
        <v>0</v>
      </c>
      <c r="AL310" s="18">
        <f t="shared" si="936"/>
        <v>0</v>
      </c>
      <c r="AM310" s="18">
        <f t="shared" si="936"/>
        <v>0</v>
      </c>
      <c r="AN310" s="18">
        <f t="shared" si="936"/>
        <v>0</v>
      </c>
      <c r="AO310" s="18">
        <f t="shared" si="936"/>
        <v>0</v>
      </c>
      <c r="AP310" s="18">
        <f t="shared" si="936"/>
        <v>0</v>
      </c>
      <c r="AQ310" s="18">
        <f t="shared" si="936"/>
        <v>0</v>
      </c>
      <c r="AR310" s="18">
        <f t="shared" si="936"/>
        <v>0</v>
      </c>
      <c r="AS310" s="18">
        <f t="shared" si="936"/>
        <v>0</v>
      </c>
      <c r="AT310" s="18">
        <f t="shared" si="936"/>
        <v>0</v>
      </c>
      <c r="AU310" s="18">
        <f t="shared" si="936"/>
        <v>0</v>
      </c>
      <c r="AV310" s="18">
        <f t="shared" si="936"/>
        <v>0</v>
      </c>
      <c r="AW310" s="18">
        <f t="shared" si="936"/>
        <v>0</v>
      </c>
      <c r="AX310" s="18">
        <f t="shared" si="936"/>
        <v>0</v>
      </c>
      <c r="AY310" s="18">
        <f t="shared" si="936"/>
        <v>0</v>
      </c>
      <c r="AZ310" s="18">
        <f t="shared" si="936"/>
        <v>0</v>
      </c>
      <c r="BA310" s="18">
        <f t="shared" si="936"/>
        <v>94371324</v>
      </c>
      <c r="BB310" s="18">
        <f t="shared" si="936"/>
        <v>0</v>
      </c>
      <c r="BC310" s="18">
        <f t="shared" si="936"/>
        <v>0</v>
      </c>
      <c r="BD310" s="18">
        <f t="shared" si="936"/>
        <v>0</v>
      </c>
      <c r="BE310" s="18">
        <f t="shared" si="936"/>
        <v>0</v>
      </c>
      <c r="BF310" s="18">
        <f t="shared" si="936"/>
        <v>0</v>
      </c>
      <c r="BG310" s="18">
        <f t="shared" si="936"/>
        <v>0</v>
      </c>
      <c r="BH310" s="18">
        <f t="shared" si="936"/>
        <v>0</v>
      </c>
      <c r="BI310" s="18">
        <f t="shared" si="936"/>
        <v>44896209</v>
      </c>
      <c r="BJ310" s="18">
        <f t="shared" si="936"/>
        <v>0</v>
      </c>
      <c r="BK310" s="18">
        <f t="shared" si="936"/>
        <v>0</v>
      </c>
      <c r="BL310" s="18">
        <f t="shared" si="936"/>
        <v>0</v>
      </c>
      <c r="BM310" s="18">
        <f t="shared" si="936"/>
        <v>0</v>
      </c>
      <c r="BN310" s="18">
        <f t="shared" si="936"/>
        <v>49475115</v>
      </c>
      <c r="BO310" s="18">
        <f t="shared" si="936"/>
        <v>0</v>
      </c>
      <c r="BP310" s="18">
        <f t="shared" ref="BP310:CZ310" si="937">SUM(BP311:BP312)</f>
        <v>0</v>
      </c>
      <c r="BQ310" s="18">
        <f t="shared" si="937"/>
        <v>0</v>
      </c>
      <c r="BR310" s="18">
        <f t="shared" si="937"/>
        <v>0</v>
      </c>
      <c r="BS310" s="18">
        <f t="shared" si="937"/>
        <v>0</v>
      </c>
      <c r="BT310" s="18">
        <f t="shared" si="937"/>
        <v>0</v>
      </c>
      <c r="BU310" s="18">
        <f t="shared" si="937"/>
        <v>0</v>
      </c>
      <c r="BV310" s="18">
        <f t="shared" si="937"/>
        <v>0</v>
      </c>
      <c r="BW310" s="18">
        <f t="shared" si="937"/>
        <v>0</v>
      </c>
      <c r="BX310" s="18">
        <f t="shared" si="937"/>
        <v>0</v>
      </c>
      <c r="BY310" s="18">
        <f t="shared" si="937"/>
        <v>49475115</v>
      </c>
      <c r="BZ310" s="18">
        <f t="shared" si="937"/>
        <v>11990837</v>
      </c>
      <c r="CA310" s="18">
        <f t="shared" si="937"/>
        <v>11990837</v>
      </c>
      <c r="CB310" s="18">
        <f t="shared" si="937"/>
        <v>0</v>
      </c>
      <c r="CC310" s="18">
        <f t="shared" si="937"/>
        <v>0</v>
      </c>
      <c r="CD310" s="18">
        <f t="shared" si="937"/>
        <v>0</v>
      </c>
      <c r="CE310" s="18">
        <f t="shared" si="937"/>
        <v>11990837</v>
      </c>
      <c r="CF310" s="18">
        <f t="shared" si="937"/>
        <v>0</v>
      </c>
      <c r="CG310" s="18">
        <f t="shared" si="937"/>
        <v>0</v>
      </c>
      <c r="CH310" s="18">
        <f t="shared" si="937"/>
        <v>0</v>
      </c>
      <c r="CI310" s="18">
        <f t="shared" si="937"/>
        <v>11990837</v>
      </c>
      <c r="CJ310" s="18">
        <f t="shared" si="937"/>
        <v>0</v>
      </c>
      <c r="CK310" s="18">
        <f t="shared" si="937"/>
        <v>0</v>
      </c>
      <c r="CL310" s="18">
        <f t="shared" si="937"/>
        <v>0</v>
      </c>
      <c r="CM310" s="18">
        <f t="shared" si="937"/>
        <v>0</v>
      </c>
      <c r="CN310" s="18">
        <f t="shared" si="937"/>
        <v>0</v>
      </c>
      <c r="CO310" s="18">
        <f t="shared" si="937"/>
        <v>0</v>
      </c>
      <c r="CP310" s="18">
        <f t="shared" si="937"/>
        <v>0</v>
      </c>
      <c r="CQ310" s="18">
        <f t="shared" si="937"/>
        <v>0</v>
      </c>
      <c r="CR310" s="18">
        <f t="shared" si="937"/>
        <v>0</v>
      </c>
      <c r="CS310" s="18">
        <f t="shared" si="937"/>
        <v>0</v>
      </c>
      <c r="CT310" s="18">
        <f t="shared" si="937"/>
        <v>0</v>
      </c>
      <c r="CU310" s="18">
        <f t="shared" si="937"/>
        <v>0</v>
      </c>
      <c r="CV310" s="18">
        <f t="shared" si="937"/>
        <v>0</v>
      </c>
      <c r="CW310" s="18">
        <f t="shared" si="937"/>
        <v>0</v>
      </c>
      <c r="CX310" s="18">
        <f t="shared" si="937"/>
        <v>0</v>
      </c>
      <c r="CY310" s="18">
        <f t="shared" si="937"/>
        <v>0</v>
      </c>
      <c r="CZ310" s="46">
        <f t="shared" si="937"/>
        <v>0</v>
      </c>
      <c r="DA310" s="57"/>
    </row>
    <row r="311" spans="1:105" s="52" customFormat="1" ht="31.5" x14ac:dyDescent="0.25">
      <c r="A311" s="80" t="s">
        <v>1</v>
      </c>
      <c r="B311" s="21" t="s">
        <v>92</v>
      </c>
      <c r="C311" s="22" t="s">
        <v>584</v>
      </c>
      <c r="D311" s="18">
        <f>SUM(E311+BZ311+CW311)</f>
        <v>49475115</v>
      </c>
      <c r="E311" s="19">
        <f>SUM(F311+BA311)</f>
        <v>49475115</v>
      </c>
      <c r="F311" s="19">
        <f t="shared" ref="F311:F312" si="938">SUM(G311+H311+I311+P311+S311+T311+U311+AD311)</f>
        <v>0</v>
      </c>
      <c r="G311" s="19">
        <v>0</v>
      </c>
      <c r="H311" s="19">
        <v>0</v>
      </c>
      <c r="I311" s="19">
        <f t="shared" ref="I311:I322" si="939">SUM(J311:O311)</f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0</v>
      </c>
      <c r="O311" s="19">
        <v>0</v>
      </c>
      <c r="P311" s="19">
        <f t="shared" ref="P311:P322" si="940">SUM(Q311:R311)</f>
        <v>0</v>
      </c>
      <c r="Q311" s="19">
        <v>0</v>
      </c>
      <c r="R311" s="19">
        <v>0</v>
      </c>
      <c r="S311" s="19">
        <v>0</v>
      </c>
      <c r="T311" s="19">
        <v>0</v>
      </c>
      <c r="U311" s="19">
        <f t="shared" ref="U311" si="941">SUM(V311:AC311)</f>
        <v>0</v>
      </c>
      <c r="V311" s="19">
        <v>0</v>
      </c>
      <c r="W311" s="19">
        <v>0</v>
      </c>
      <c r="X311" s="19">
        <v>0</v>
      </c>
      <c r="Y311" s="19">
        <v>0</v>
      </c>
      <c r="Z311" s="19">
        <v>0</v>
      </c>
      <c r="AA311" s="19">
        <v>0</v>
      </c>
      <c r="AB311" s="19">
        <v>0</v>
      </c>
      <c r="AC311" s="19">
        <v>0</v>
      </c>
      <c r="AD311" s="19">
        <f>SUM(AE311:AZ311)</f>
        <v>0</v>
      </c>
      <c r="AE311" s="19">
        <v>0</v>
      </c>
      <c r="AF311" s="19">
        <v>0</v>
      </c>
      <c r="AG311" s="19">
        <v>0</v>
      </c>
      <c r="AH311" s="19">
        <v>0</v>
      </c>
      <c r="AI311" s="19">
        <v>0</v>
      </c>
      <c r="AJ311" s="19">
        <v>0</v>
      </c>
      <c r="AK311" s="19">
        <v>0</v>
      </c>
      <c r="AL311" s="19">
        <v>0</v>
      </c>
      <c r="AM311" s="19">
        <v>0</v>
      </c>
      <c r="AN311" s="19">
        <v>0</v>
      </c>
      <c r="AO311" s="19">
        <v>0</v>
      </c>
      <c r="AP311" s="19"/>
      <c r="AQ311" s="19">
        <v>0</v>
      </c>
      <c r="AR311" s="19">
        <v>0</v>
      </c>
      <c r="AS311" s="19">
        <v>0</v>
      </c>
      <c r="AT311" s="19">
        <v>0</v>
      </c>
      <c r="AU311" s="19">
        <v>0</v>
      </c>
      <c r="AV311" s="19">
        <v>0</v>
      </c>
      <c r="AW311" s="19">
        <v>0</v>
      </c>
      <c r="AX311" s="19">
        <v>0</v>
      </c>
      <c r="AY311" s="19"/>
      <c r="AZ311" s="19"/>
      <c r="BA311" s="19">
        <f>SUM(BB311+BF311+BI311+BK311+BN311)</f>
        <v>49475115</v>
      </c>
      <c r="BB311" s="19">
        <f>SUM(BC311:BE311)</f>
        <v>0</v>
      </c>
      <c r="BC311" s="19">
        <v>0</v>
      </c>
      <c r="BD311" s="19">
        <v>0</v>
      </c>
      <c r="BE311" s="19">
        <v>0</v>
      </c>
      <c r="BF311" s="19">
        <f>SUM(BH311:BH311)</f>
        <v>0</v>
      </c>
      <c r="BG311" s="19">
        <v>0</v>
      </c>
      <c r="BH311" s="19">
        <v>0</v>
      </c>
      <c r="BI311" s="19">
        <v>0</v>
      </c>
      <c r="BJ311" s="19">
        <v>0</v>
      </c>
      <c r="BK311" s="19">
        <f t="shared" ref="BK311:BK322" si="942">SUM(BL311)</f>
        <v>0</v>
      </c>
      <c r="BL311" s="19">
        <v>0</v>
      </c>
      <c r="BM311" s="19">
        <v>0</v>
      </c>
      <c r="BN311" s="19">
        <f>SUM(BO311:BY311)</f>
        <v>49475115</v>
      </c>
      <c r="BO311" s="19">
        <v>0</v>
      </c>
      <c r="BP311" s="19">
        <v>0</v>
      </c>
      <c r="BQ311" s="19">
        <v>0</v>
      </c>
      <c r="BR311" s="19">
        <v>0</v>
      </c>
      <c r="BS311" s="19">
        <v>0</v>
      </c>
      <c r="BT311" s="19">
        <v>0</v>
      </c>
      <c r="BU311" s="19">
        <v>0</v>
      </c>
      <c r="BV311" s="19">
        <v>0</v>
      </c>
      <c r="BW311" s="19">
        <v>0</v>
      </c>
      <c r="BX311" s="19">
        <v>0</v>
      </c>
      <c r="BY311" s="19">
        <v>49475115</v>
      </c>
      <c r="BZ311" s="19">
        <f t="shared" si="858"/>
        <v>0</v>
      </c>
      <c r="CA311" s="19">
        <f>SUM(CB311+CE311+CK311)</f>
        <v>0</v>
      </c>
      <c r="CB311" s="19">
        <f t="shared" ref="CB311:CB322" si="943">SUM(CC311:CD311)</f>
        <v>0</v>
      </c>
      <c r="CC311" s="19">
        <v>0</v>
      </c>
      <c r="CD311" s="19">
        <v>0</v>
      </c>
      <c r="CE311" s="19">
        <f>SUM(CF311:CJ311)</f>
        <v>0</v>
      </c>
      <c r="CF311" s="19">
        <v>0</v>
      </c>
      <c r="CG311" s="19"/>
      <c r="CH311" s="19">
        <v>0</v>
      </c>
      <c r="CI311" s="19">
        <v>0</v>
      </c>
      <c r="CJ311" s="19">
        <v>0</v>
      </c>
      <c r="CK311" s="19">
        <f>SUM(CL311:CP311)</f>
        <v>0</v>
      </c>
      <c r="CL311" s="19">
        <v>0</v>
      </c>
      <c r="CM311" s="19"/>
      <c r="CN311" s="19">
        <v>0</v>
      </c>
      <c r="CO311" s="19"/>
      <c r="CP311" s="19"/>
      <c r="CQ311" s="19"/>
      <c r="CR311" s="19"/>
      <c r="CS311" s="19">
        <v>0</v>
      </c>
      <c r="CT311" s="19"/>
      <c r="CU311" s="19"/>
      <c r="CV311" s="19"/>
      <c r="CW311" s="19">
        <f t="shared" ref="CW311:CW322" si="944">SUM(CX311)</f>
        <v>0</v>
      </c>
      <c r="CX311" s="19">
        <f t="shared" ref="CX311:CX322" si="945">SUM(CY311:CZ311)</f>
        <v>0</v>
      </c>
      <c r="CY311" s="19">
        <v>0</v>
      </c>
      <c r="CZ311" s="20">
        <v>0</v>
      </c>
    </row>
    <row r="312" spans="1:105" s="52" customFormat="1" ht="31.5" x14ac:dyDescent="0.25">
      <c r="A312" s="80" t="s">
        <v>1</v>
      </c>
      <c r="B312" s="21" t="s">
        <v>298</v>
      </c>
      <c r="C312" s="22" t="s">
        <v>584</v>
      </c>
      <c r="D312" s="18">
        <f>SUM(E312+BZ312+CW312)</f>
        <v>56887046</v>
      </c>
      <c r="E312" s="19">
        <f>SUM(F312+BA312)</f>
        <v>44896209</v>
      </c>
      <c r="F312" s="19">
        <f t="shared" si="938"/>
        <v>0</v>
      </c>
      <c r="G312" s="19">
        <v>0</v>
      </c>
      <c r="H312" s="19">
        <v>0</v>
      </c>
      <c r="I312" s="19">
        <f t="shared" ref="I312" si="946">SUM(J312:O312)</f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f t="shared" ref="P312" si="947">SUM(Q312:R312)</f>
        <v>0</v>
      </c>
      <c r="Q312" s="19">
        <v>0</v>
      </c>
      <c r="R312" s="19">
        <v>0</v>
      </c>
      <c r="S312" s="19">
        <v>0</v>
      </c>
      <c r="T312" s="19">
        <v>0</v>
      </c>
      <c r="U312" s="19">
        <f t="shared" ref="U312" si="948">SUM(V312:AC312)</f>
        <v>0</v>
      </c>
      <c r="V312" s="19">
        <v>0</v>
      </c>
      <c r="W312" s="19">
        <v>0</v>
      </c>
      <c r="X312" s="19">
        <v>0</v>
      </c>
      <c r="Y312" s="19">
        <v>0</v>
      </c>
      <c r="Z312" s="19">
        <v>0</v>
      </c>
      <c r="AA312" s="19">
        <v>0</v>
      </c>
      <c r="AB312" s="19">
        <v>0</v>
      </c>
      <c r="AC312" s="19">
        <v>0</v>
      </c>
      <c r="AD312" s="19">
        <f>SUM(AE312:AZ312)</f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/>
      <c r="AQ312" s="19">
        <v>0</v>
      </c>
      <c r="AR312" s="19">
        <v>0</v>
      </c>
      <c r="AS312" s="19">
        <v>0</v>
      </c>
      <c r="AT312" s="19">
        <v>0</v>
      </c>
      <c r="AU312" s="19">
        <v>0</v>
      </c>
      <c r="AV312" s="19">
        <v>0</v>
      </c>
      <c r="AW312" s="19">
        <v>0</v>
      </c>
      <c r="AX312" s="19">
        <v>0</v>
      </c>
      <c r="AY312" s="19"/>
      <c r="AZ312" s="19"/>
      <c r="BA312" s="19">
        <f>SUM(BB312+BF312+BI312+BK312+BN312)</f>
        <v>44896209</v>
      </c>
      <c r="BB312" s="19">
        <f>SUM(BC312:BE312)</f>
        <v>0</v>
      </c>
      <c r="BC312" s="19">
        <v>0</v>
      </c>
      <c r="BD312" s="19">
        <v>0</v>
      </c>
      <c r="BE312" s="19">
        <v>0</v>
      </c>
      <c r="BF312" s="19">
        <f>SUM(BH312:BH312)</f>
        <v>0</v>
      </c>
      <c r="BG312" s="19">
        <v>0</v>
      </c>
      <c r="BH312" s="19">
        <v>0</v>
      </c>
      <c r="BI312" s="19">
        <f>0+44896209</f>
        <v>44896209</v>
      </c>
      <c r="BJ312" s="19">
        <v>0</v>
      </c>
      <c r="BK312" s="19">
        <f t="shared" ref="BK312" si="949">SUM(BL312)</f>
        <v>0</v>
      </c>
      <c r="BL312" s="19">
        <v>0</v>
      </c>
      <c r="BM312" s="19">
        <v>0</v>
      </c>
      <c r="BN312" s="19">
        <f>SUM(BO312:BY312)</f>
        <v>0</v>
      </c>
      <c r="BO312" s="19">
        <v>0</v>
      </c>
      <c r="BP312" s="19">
        <v>0</v>
      </c>
      <c r="BQ312" s="19">
        <v>0</v>
      </c>
      <c r="BR312" s="19">
        <v>0</v>
      </c>
      <c r="BS312" s="19">
        <v>0</v>
      </c>
      <c r="BT312" s="19">
        <v>0</v>
      </c>
      <c r="BU312" s="19">
        <v>0</v>
      </c>
      <c r="BV312" s="19">
        <v>0</v>
      </c>
      <c r="BW312" s="19">
        <v>0</v>
      </c>
      <c r="BX312" s="19">
        <v>0</v>
      </c>
      <c r="BY312" s="19"/>
      <c r="BZ312" s="19">
        <f t="shared" ref="BZ312" si="950">SUM(CA312+CS312)</f>
        <v>11990837</v>
      </c>
      <c r="CA312" s="19">
        <f>SUM(CB312+CE312+CK312)</f>
        <v>11990837</v>
      </c>
      <c r="CB312" s="19">
        <f t="shared" ref="CB312" si="951">SUM(CC312:CD312)</f>
        <v>0</v>
      </c>
      <c r="CC312" s="19">
        <v>0</v>
      </c>
      <c r="CD312" s="19">
        <v>0</v>
      </c>
      <c r="CE312" s="19">
        <f>SUM(CF312:CJ312)</f>
        <v>11990837</v>
      </c>
      <c r="CF312" s="19">
        <v>0</v>
      </c>
      <c r="CG312" s="19"/>
      <c r="CH312" s="19">
        <v>0</v>
      </c>
      <c r="CI312" s="19">
        <f>0+11990837</f>
        <v>11990837</v>
      </c>
      <c r="CJ312" s="19">
        <v>0</v>
      </c>
      <c r="CK312" s="19">
        <f>SUM(CL312:CP312)</f>
        <v>0</v>
      </c>
      <c r="CL312" s="19">
        <v>0</v>
      </c>
      <c r="CM312" s="19"/>
      <c r="CN312" s="19">
        <v>0</v>
      </c>
      <c r="CO312" s="19"/>
      <c r="CP312" s="19"/>
      <c r="CQ312" s="19"/>
      <c r="CR312" s="19"/>
      <c r="CS312" s="19">
        <v>0</v>
      </c>
      <c r="CT312" s="19"/>
      <c r="CU312" s="19"/>
      <c r="CV312" s="19"/>
      <c r="CW312" s="19">
        <f t="shared" ref="CW312" si="952">SUM(CX312)</f>
        <v>0</v>
      </c>
      <c r="CX312" s="19">
        <f t="shared" ref="CX312" si="953">SUM(CY312:CZ312)</f>
        <v>0</v>
      </c>
      <c r="CY312" s="19">
        <v>0</v>
      </c>
      <c r="CZ312" s="20">
        <v>0</v>
      </c>
    </row>
    <row r="313" spans="1:105" s="57" customFormat="1" ht="15.75" x14ac:dyDescent="0.25">
      <c r="A313" s="79" t="s">
        <v>345</v>
      </c>
      <c r="B313" s="16" t="s">
        <v>1</v>
      </c>
      <c r="C313" s="17" t="s">
        <v>346</v>
      </c>
      <c r="D313" s="18">
        <f t="shared" ref="D313:AJ313" si="954">SUM(D314)</f>
        <v>284108516</v>
      </c>
      <c r="E313" s="18">
        <f t="shared" si="954"/>
        <v>5800770</v>
      </c>
      <c r="F313" s="18">
        <f t="shared" si="954"/>
        <v>5800770</v>
      </c>
      <c r="G313" s="18">
        <f t="shared" si="954"/>
        <v>0</v>
      </c>
      <c r="H313" s="18">
        <f t="shared" si="954"/>
        <v>0</v>
      </c>
      <c r="I313" s="18">
        <f t="shared" si="954"/>
        <v>500000</v>
      </c>
      <c r="J313" s="18">
        <f t="shared" si="954"/>
        <v>0</v>
      </c>
      <c r="K313" s="18">
        <f t="shared" si="954"/>
        <v>0</v>
      </c>
      <c r="L313" s="18">
        <f t="shared" si="954"/>
        <v>0</v>
      </c>
      <c r="M313" s="18">
        <f t="shared" si="954"/>
        <v>0</v>
      </c>
      <c r="N313" s="18">
        <f t="shared" si="954"/>
        <v>0</v>
      </c>
      <c r="O313" s="18">
        <f t="shared" si="954"/>
        <v>500000</v>
      </c>
      <c r="P313" s="18">
        <f t="shared" si="954"/>
        <v>0</v>
      </c>
      <c r="Q313" s="18">
        <f t="shared" si="954"/>
        <v>0</v>
      </c>
      <c r="R313" s="18">
        <f t="shared" si="954"/>
        <v>0</v>
      </c>
      <c r="S313" s="18">
        <f t="shared" si="954"/>
        <v>0</v>
      </c>
      <c r="T313" s="18">
        <f t="shared" si="954"/>
        <v>0</v>
      </c>
      <c r="U313" s="18">
        <f t="shared" si="954"/>
        <v>0</v>
      </c>
      <c r="V313" s="18">
        <f t="shared" si="954"/>
        <v>0</v>
      </c>
      <c r="W313" s="18">
        <f t="shared" si="954"/>
        <v>0</v>
      </c>
      <c r="X313" s="18">
        <f t="shared" si="954"/>
        <v>0</v>
      </c>
      <c r="Y313" s="18">
        <f t="shared" si="954"/>
        <v>0</v>
      </c>
      <c r="Z313" s="18">
        <f t="shared" si="954"/>
        <v>0</v>
      </c>
      <c r="AA313" s="18">
        <f t="shared" si="954"/>
        <v>0</v>
      </c>
      <c r="AB313" s="18">
        <f t="shared" si="954"/>
        <v>0</v>
      </c>
      <c r="AC313" s="18">
        <f t="shared" si="954"/>
        <v>0</v>
      </c>
      <c r="AD313" s="18">
        <f t="shared" si="954"/>
        <v>5300770</v>
      </c>
      <c r="AE313" s="18">
        <f t="shared" si="954"/>
        <v>0</v>
      </c>
      <c r="AF313" s="18">
        <f t="shared" si="954"/>
        <v>0</v>
      </c>
      <c r="AG313" s="18">
        <f t="shared" si="954"/>
        <v>0</v>
      </c>
      <c r="AH313" s="18">
        <f t="shared" si="954"/>
        <v>0</v>
      </c>
      <c r="AI313" s="18">
        <f t="shared" si="954"/>
        <v>0</v>
      </c>
      <c r="AJ313" s="18">
        <f t="shared" si="954"/>
        <v>0</v>
      </c>
      <c r="AK313" s="18">
        <f t="shared" ref="AK313:CZ313" si="955">SUM(AK314)</f>
        <v>0</v>
      </c>
      <c r="AL313" s="18">
        <f t="shared" si="955"/>
        <v>0</v>
      </c>
      <c r="AM313" s="18">
        <f t="shared" si="955"/>
        <v>0</v>
      </c>
      <c r="AN313" s="18">
        <f t="shared" si="955"/>
        <v>0</v>
      </c>
      <c r="AO313" s="18">
        <f t="shared" si="955"/>
        <v>0</v>
      </c>
      <c r="AP313" s="18"/>
      <c r="AQ313" s="18">
        <f t="shared" si="955"/>
        <v>0</v>
      </c>
      <c r="AR313" s="18">
        <f t="shared" si="955"/>
        <v>0</v>
      </c>
      <c r="AS313" s="18">
        <f t="shared" si="955"/>
        <v>0</v>
      </c>
      <c r="AT313" s="18">
        <f t="shared" si="955"/>
        <v>0</v>
      </c>
      <c r="AU313" s="18">
        <f t="shared" si="955"/>
        <v>0</v>
      </c>
      <c r="AV313" s="18">
        <f t="shared" si="955"/>
        <v>0</v>
      </c>
      <c r="AW313" s="18">
        <f t="shared" si="955"/>
        <v>0</v>
      </c>
      <c r="AX313" s="18">
        <f t="shared" si="955"/>
        <v>0</v>
      </c>
      <c r="AY313" s="18"/>
      <c r="AZ313" s="18">
        <f t="shared" si="955"/>
        <v>5300770</v>
      </c>
      <c r="BA313" s="18">
        <f t="shared" si="955"/>
        <v>0</v>
      </c>
      <c r="BB313" s="18">
        <f t="shared" si="955"/>
        <v>0</v>
      </c>
      <c r="BC313" s="18">
        <f t="shared" si="955"/>
        <v>0</v>
      </c>
      <c r="BD313" s="18">
        <f t="shared" si="955"/>
        <v>0</v>
      </c>
      <c r="BE313" s="18">
        <f t="shared" si="955"/>
        <v>0</v>
      </c>
      <c r="BF313" s="18">
        <f t="shared" si="955"/>
        <v>0</v>
      </c>
      <c r="BG313" s="18">
        <f t="shared" si="955"/>
        <v>0</v>
      </c>
      <c r="BH313" s="18">
        <f t="shared" si="955"/>
        <v>0</v>
      </c>
      <c r="BI313" s="18">
        <f t="shared" si="955"/>
        <v>0</v>
      </c>
      <c r="BJ313" s="18">
        <f t="shared" si="955"/>
        <v>0</v>
      </c>
      <c r="BK313" s="18">
        <f t="shared" si="955"/>
        <v>0</v>
      </c>
      <c r="BL313" s="18">
        <f t="shared" si="955"/>
        <v>0</v>
      </c>
      <c r="BM313" s="18">
        <f t="shared" si="955"/>
        <v>0</v>
      </c>
      <c r="BN313" s="18">
        <f t="shared" si="955"/>
        <v>0</v>
      </c>
      <c r="BO313" s="18">
        <f t="shared" si="955"/>
        <v>0</v>
      </c>
      <c r="BP313" s="18">
        <f t="shared" si="955"/>
        <v>0</v>
      </c>
      <c r="BQ313" s="18">
        <f t="shared" si="955"/>
        <v>0</v>
      </c>
      <c r="BR313" s="18">
        <f t="shared" si="955"/>
        <v>0</v>
      </c>
      <c r="BS313" s="18">
        <f t="shared" si="955"/>
        <v>0</v>
      </c>
      <c r="BT313" s="18">
        <f t="shared" si="955"/>
        <v>0</v>
      </c>
      <c r="BU313" s="18">
        <f t="shared" si="955"/>
        <v>0</v>
      </c>
      <c r="BV313" s="18">
        <f t="shared" si="955"/>
        <v>0</v>
      </c>
      <c r="BW313" s="18">
        <f t="shared" si="955"/>
        <v>0</v>
      </c>
      <c r="BX313" s="18">
        <f t="shared" si="955"/>
        <v>0</v>
      </c>
      <c r="BY313" s="18">
        <f t="shared" si="955"/>
        <v>0</v>
      </c>
      <c r="BZ313" s="18">
        <f t="shared" si="858"/>
        <v>278307746</v>
      </c>
      <c r="CA313" s="18">
        <f t="shared" si="955"/>
        <v>267450912</v>
      </c>
      <c r="CB313" s="18">
        <f t="shared" si="955"/>
        <v>9948096</v>
      </c>
      <c r="CC313" s="18">
        <f t="shared" si="955"/>
        <v>0</v>
      </c>
      <c r="CD313" s="18">
        <f t="shared" si="955"/>
        <v>9948096</v>
      </c>
      <c r="CE313" s="18">
        <f t="shared" si="955"/>
        <v>152339561</v>
      </c>
      <c r="CF313" s="18">
        <f t="shared" si="955"/>
        <v>0</v>
      </c>
      <c r="CG313" s="18">
        <f t="shared" si="955"/>
        <v>136655574</v>
      </c>
      <c r="CH313" s="18">
        <f t="shared" si="955"/>
        <v>13077074</v>
      </c>
      <c r="CI313" s="18">
        <f t="shared" si="955"/>
        <v>704413</v>
      </c>
      <c r="CJ313" s="18">
        <f t="shared" si="955"/>
        <v>1902500</v>
      </c>
      <c r="CK313" s="18">
        <f t="shared" si="955"/>
        <v>105163255</v>
      </c>
      <c r="CL313" s="18">
        <f t="shared" si="955"/>
        <v>0</v>
      </c>
      <c r="CM313" s="18">
        <f t="shared" si="955"/>
        <v>91319345</v>
      </c>
      <c r="CN313" s="18">
        <f t="shared" si="955"/>
        <v>11843910</v>
      </c>
      <c r="CO313" s="18">
        <f t="shared" si="955"/>
        <v>0</v>
      </c>
      <c r="CP313" s="18">
        <f t="shared" si="955"/>
        <v>2000000</v>
      </c>
      <c r="CQ313" s="18"/>
      <c r="CR313" s="18"/>
      <c r="CS313" s="18">
        <f t="shared" si="955"/>
        <v>10856834</v>
      </c>
      <c r="CT313" s="18">
        <f t="shared" si="955"/>
        <v>0</v>
      </c>
      <c r="CU313" s="18">
        <f t="shared" si="955"/>
        <v>0</v>
      </c>
      <c r="CV313" s="18">
        <f t="shared" si="955"/>
        <v>0</v>
      </c>
      <c r="CW313" s="18">
        <f t="shared" si="955"/>
        <v>0</v>
      </c>
      <c r="CX313" s="18">
        <f t="shared" si="955"/>
        <v>0</v>
      </c>
      <c r="CY313" s="18">
        <f t="shared" si="955"/>
        <v>0</v>
      </c>
      <c r="CZ313" s="46">
        <f t="shared" si="955"/>
        <v>0</v>
      </c>
    </row>
    <row r="314" spans="1:105" s="52" customFormat="1" ht="15.75" x14ac:dyDescent="0.25">
      <c r="A314" s="80" t="s">
        <v>1</v>
      </c>
      <c r="B314" s="21" t="s">
        <v>347</v>
      </c>
      <c r="C314" s="22" t="s">
        <v>346</v>
      </c>
      <c r="D314" s="18">
        <f>SUM(E314+BZ314+CW314)</f>
        <v>284108516</v>
      </c>
      <c r="E314" s="19">
        <f>SUM(F314+BA314)</f>
        <v>5800770</v>
      </c>
      <c r="F314" s="19">
        <f>SUM(G314+H314+I314+P314+S314+T314+U314+AD314)</f>
        <v>5800770</v>
      </c>
      <c r="G314" s="19">
        <v>0</v>
      </c>
      <c r="H314" s="19">
        <v>0</v>
      </c>
      <c r="I314" s="19">
        <f t="shared" si="939"/>
        <v>500000</v>
      </c>
      <c r="J314" s="19">
        <f>3111047-3111047</f>
        <v>0</v>
      </c>
      <c r="K314" s="19"/>
      <c r="L314" s="19">
        <v>0</v>
      </c>
      <c r="M314" s="19">
        <v>0</v>
      </c>
      <c r="N314" s="19"/>
      <c r="O314" s="23">
        <f>0+500000</f>
        <v>500000</v>
      </c>
      <c r="P314" s="19">
        <f t="shared" si="940"/>
        <v>0</v>
      </c>
      <c r="Q314" s="19">
        <v>0</v>
      </c>
      <c r="R314" s="19">
        <v>0</v>
      </c>
      <c r="S314" s="19">
        <v>0</v>
      </c>
      <c r="T314" s="19">
        <v>0</v>
      </c>
      <c r="U314" s="19">
        <f t="shared" ref="U314" si="956">SUM(V314:AC314)</f>
        <v>0</v>
      </c>
      <c r="V314" s="19">
        <v>0</v>
      </c>
      <c r="W314" s="19">
        <v>0</v>
      </c>
      <c r="X314" s="19">
        <v>0</v>
      </c>
      <c r="Y314" s="19">
        <v>0</v>
      </c>
      <c r="Z314" s="19">
        <v>0</v>
      </c>
      <c r="AA314" s="19">
        <v>0</v>
      </c>
      <c r="AB314" s="19">
        <v>0</v>
      </c>
      <c r="AC314" s="19">
        <v>0</v>
      </c>
      <c r="AD314" s="19">
        <f>SUM(AE314:AZ314)</f>
        <v>5300770</v>
      </c>
      <c r="AE314" s="19">
        <v>0</v>
      </c>
      <c r="AF314" s="19">
        <v>0</v>
      </c>
      <c r="AG314" s="51">
        <v>0</v>
      </c>
      <c r="AH314" s="19">
        <v>0</v>
      </c>
      <c r="AI314" s="19">
        <v>0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/>
      <c r="AQ314" s="19">
        <v>0</v>
      </c>
      <c r="AR314" s="19">
        <v>0</v>
      </c>
      <c r="AS314" s="19">
        <v>0</v>
      </c>
      <c r="AT314" s="19">
        <v>0</v>
      </c>
      <c r="AU314" s="19">
        <v>0</v>
      </c>
      <c r="AV314" s="23">
        <v>0</v>
      </c>
      <c r="AW314" s="19">
        <v>0</v>
      </c>
      <c r="AX314" s="19">
        <v>0</v>
      </c>
      <c r="AY314" s="19">
        <v>0</v>
      </c>
      <c r="AZ314" s="19">
        <f>0+2300000+3000770</f>
        <v>5300770</v>
      </c>
      <c r="BA314" s="19">
        <f>SUM(BB314+BF314+BI314+BK314+BN314)</f>
        <v>0</v>
      </c>
      <c r="BB314" s="19">
        <f>SUM(BC314:BE314)</f>
        <v>0</v>
      </c>
      <c r="BC314" s="19">
        <v>0</v>
      </c>
      <c r="BD314" s="19">
        <v>0</v>
      </c>
      <c r="BE314" s="19">
        <v>0</v>
      </c>
      <c r="BF314" s="19">
        <f>SUM(BH314:BH314)</f>
        <v>0</v>
      </c>
      <c r="BG314" s="19">
        <v>0</v>
      </c>
      <c r="BH314" s="19">
        <v>0</v>
      </c>
      <c r="BI314" s="19">
        <v>0</v>
      </c>
      <c r="BJ314" s="19">
        <v>0</v>
      </c>
      <c r="BK314" s="19">
        <f t="shared" si="942"/>
        <v>0</v>
      </c>
      <c r="BL314" s="19">
        <v>0</v>
      </c>
      <c r="BM314" s="19">
        <v>0</v>
      </c>
      <c r="BN314" s="19">
        <f>SUM(BO314:BY314)</f>
        <v>0</v>
      </c>
      <c r="BO314" s="19">
        <v>0</v>
      </c>
      <c r="BP314" s="19">
        <v>0</v>
      </c>
      <c r="BQ314" s="19">
        <v>0</v>
      </c>
      <c r="BR314" s="19">
        <v>0</v>
      </c>
      <c r="BS314" s="19">
        <v>0</v>
      </c>
      <c r="BT314" s="19">
        <v>0</v>
      </c>
      <c r="BU314" s="19">
        <v>0</v>
      </c>
      <c r="BV314" s="23"/>
      <c r="BW314" s="19">
        <v>0</v>
      </c>
      <c r="BX314" s="19">
        <v>0</v>
      </c>
      <c r="BY314" s="19">
        <v>0</v>
      </c>
      <c r="BZ314" s="19">
        <f t="shared" si="858"/>
        <v>278307746</v>
      </c>
      <c r="CA314" s="19">
        <f>SUM(CB314+CE314+CK314)</f>
        <v>267450912</v>
      </c>
      <c r="CB314" s="19">
        <f t="shared" si="943"/>
        <v>9948096</v>
      </c>
      <c r="CC314" s="19"/>
      <c r="CD314" s="35">
        <f>0+8930796+1017300</f>
        <v>9948096</v>
      </c>
      <c r="CE314" s="19">
        <f>SUM(CF314:CJ314)</f>
        <v>152339561</v>
      </c>
      <c r="CF314" s="23">
        <f>217293935-217293935</f>
        <v>0</v>
      </c>
      <c r="CG314" s="23">
        <f>0+99338282+13895118+23422174</f>
        <v>136655574</v>
      </c>
      <c r="CH314" s="24">
        <f>0+7062269+5050000+964805</f>
        <v>13077074</v>
      </c>
      <c r="CI314" s="24">
        <f>0+521677+182736</f>
        <v>704413</v>
      </c>
      <c r="CJ314" s="24">
        <f>0+1428500+474000</f>
        <v>1902500</v>
      </c>
      <c r="CK314" s="19">
        <f>SUM(CL314:CP314)</f>
        <v>105163255</v>
      </c>
      <c r="CL314" s="24"/>
      <c r="CM314" s="24">
        <f>0+73317213+11077645+6924487</f>
        <v>91319345</v>
      </c>
      <c r="CN314" s="19">
        <f>0+12257608+551107-964805</f>
        <v>11843910</v>
      </c>
      <c r="CO314" s="19"/>
      <c r="CP314" s="19">
        <f>0+2000000</f>
        <v>2000000</v>
      </c>
      <c r="CQ314" s="19"/>
      <c r="CR314" s="19"/>
      <c r="CS314" s="19">
        <f>0+10659267+197567</f>
        <v>10856834</v>
      </c>
      <c r="CT314" s="19"/>
      <c r="CU314" s="19"/>
      <c r="CV314" s="19"/>
      <c r="CW314" s="19">
        <f t="shared" si="944"/>
        <v>0</v>
      </c>
      <c r="CX314" s="19">
        <f t="shared" si="945"/>
        <v>0</v>
      </c>
      <c r="CY314" s="19">
        <v>0</v>
      </c>
      <c r="CZ314" s="20">
        <v>0</v>
      </c>
    </row>
    <row r="315" spans="1:105" s="57" customFormat="1" ht="17.25" customHeight="1" x14ac:dyDescent="0.25">
      <c r="A315" s="79" t="s">
        <v>348</v>
      </c>
      <c r="B315" s="16" t="s">
        <v>1</v>
      </c>
      <c r="C315" s="17" t="s">
        <v>349</v>
      </c>
      <c r="D315" s="18">
        <f t="shared" ref="D315:BQ315" si="957">SUM(D316)</f>
        <v>23661155</v>
      </c>
      <c r="E315" s="18">
        <f t="shared" si="957"/>
        <v>23661155</v>
      </c>
      <c r="F315" s="18">
        <f t="shared" si="957"/>
        <v>23661155</v>
      </c>
      <c r="G315" s="18">
        <f t="shared" si="957"/>
        <v>0</v>
      </c>
      <c r="H315" s="18">
        <f t="shared" si="957"/>
        <v>0</v>
      </c>
      <c r="I315" s="18">
        <f t="shared" si="957"/>
        <v>0</v>
      </c>
      <c r="J315" s="18">
        <f t="shared" si="957"/>
        <v>0</v>
      </c>
      <c r="K315" s="18">
        <f t="shared" si="957"/>
        <v>0</v>
      </c>
      <c r="L315" s="18">
        <f t="shared" si="957"/>
        <v>0</v>
      </c>
      <c r="M315" s="18">
        <f t="shared" si="957"/>
        <v>0</v>
      </c>
      <c r="N315" s="18">
        <f t="shared" si="957"/>
        <v>0</v>
      </c>
      <c r="O315" s="18">
        <f t="shared" si="957"/>
        <v>0</v>
      </c>
      <c r="P315" s="18">
        <f t="shared" si="957"/>
        <v>0</v>
      </c>
      <c r="Q315" s="18">
        <f t="shared" si="957"/>
        <v>0</v>
      </c>
      <c r="R315" s="18">
        <f t="shared" si="957"/>
        <v>0</v>
      </c>
      <c r="S315" s="18">
        <f t="shared" si="957"/>
        <v>0</v>
      </c>
      <c r="T315" s="18">
        <f t="shared" si="957"/>
        <v>0</v>
      </c>
      <c r="U315" s="18">
        <f t="shared" si="957"/>
        <v>0</v>
      </c>
      <c r="V315" s="18">
        <f t="shared" si="957"/>
        <v>0</v>
      </c>
      <c r="W315" s="18">
        <f t="shared" si="957"/>
        <v>0</v>
      </c>
      <c r="X315" s="18">
        <f t="shared" si="957"/>
        <v>0</v>
      </c>
      <c r="Y315" s="18">
        <f t="shared" si="957"/>
        <v>0</v>
      </c>
      <c r="Z315" s="18">
        <f t="shared" si="957"/>
        <v>0</v>
      </c>
      <c r="AA315" s="18">
        <f t="shared" si="957"/>
        <v>0</v>
      </c>
      <c r="AB315" s="18">
        <f t="shared" si="957"/>
        <v>0</v>
      </c>
      <c r="AC315" s="18">
        <f t="shared" si="957"/>
        <v>0</v>
      </c>
      <c r="AD315" s="18">
        <f t="shared" si="957"/>
        <v>23661155</v>
      </c>
      <c r="AE315" s="18">
        <f t="shared" si="957"/>
        <v>0</v>
      </c>
      <c r="AF315" s="18">
        <f t="shared" si="957"/>
        <v>0</v>
      </c>
      <c r="AG315" s="18">
        <f t="shared" si="957"/>
        <v>0</v>
      </c>
      <c r="AH315" s="18">
        <f t="shared" si="957"/>
        <v>0</v>
      </c>
      <c r="AI315" s="18">
        <f t="shared" si="957"/>
        <v>0</v>
      </c>
      <c r="AJ315" s="18">
        <f t="shared" si="957"/>
        <v>0</v>
      </c>
      <c r="AK315" s="18">
        <f t="shared" si="957"/>
        <v>0</v>
      </c>
      <c r="AL315" s="18">
        <f t="shared" si="957"/>
        <v>0</v>
      </c>
      <c r="AM315" s="18">
        <f t="shared" si="957"/>
        <v>0</v>
      </c>
      <c r="AN315" s="18">
        <f t="shared" si="957"/>
        <v>0</v>
      </c>
      <c r="AO315" s="18">
        <f t="shared" si="957"/>
        <v>0</v>
      </c>
      <c r="AP315" s="18"/>
      <c r="AQ315" s="18">
        <f t="shared" si="957"/>
        <v>0</v>
      </c>
      <c r="AR315" s="18">
        <f t="shared" si="957"/>
        <v>0</v>
      </c>
      <c r="AS315" s="18">
        <f t="shared" si="957"/>
        <v>0</v>
      </c>
      <c r="AT315" s="18">
        <f t="shared" si="957"/>
        <v>0</v>
      </c>
      <c r="AU315" s="18">
        <f t="shared" si="957"/>
        <v>0</v>
      </c>
      <c r="AV315" s="18">
        <f t="shared" si="957"/>
        <v>0</v>
      </c>
      <c r="AW315" s="18">
        <f t="shared" si="957"/>
        <v>0</v>
      </c>
      <c r="AX315" s="18">
        <f t="shared" si="957"/>
        <v>0</v>
      </c>
      <c r="AY315" s="18"/>
      <c r="AZ315" s="18">
        <f t="shared" si="957"/>
        <v>23661155</v>
      </c>
      <c r="BA315" s="18">
        <f t="shared" si="957"/>
        <v>0</v>
      </c>
      <c r="BB315" s="18">
        <f t="shared" si="957"/>
        <v>0</v>
      </c>
      <c r="BC315" s="18">
        <f t="shared" si="957"/>
        <v>0</v>
      </c>
      <c r="BD315" s="18">
        <f t="shared" si="957"/>
        <v>0</v>
      </c>
      <c r="BE315" s="18">
        <f t="shared" si="957"/>
        <v>0</v>
      </c>
      <c r="BF315" s="18">
        <f t="shared" si="957"/>
        <v>0</v>
      </c>
      <c r="BG315" s="18">
        <f t="shared" si="957"/>
        <v>0</v>
      </c>
      <c r="BH315" s="18">
        <f t="shared" si="957"/>
        <v>0</v>
      </c>
      <c r="BI315" s="18">
        <f t="shared" si="957"/>
        <v>0</v>
      </c>
      <c r="BJ315" s="18">
        <f t="shared" si="957"/>
        <v>0</v>
      </c>
      <c r="BK315" s="18">
        <f t="shared" si="957"/>
        <v>0</v>
      </c>
      <c r="BL315" s="18">
        <f t="shared" si="957"/>
        <v>0</v>
      </c>
      <c r="BM315" s="18">
        <f t="shared" si="957"/>
        <v>0</v>
      </c>
      <c r="BN315" s="18">
        <f t="shared" si="957"/>
        <v>0</v>
      </c>
      <c r="BO315" s="18">
        <f t="shared" si="957"/>
        <v>0</v>
      </c>
      <c r="BP315" s="18">
        <f t="shared" si="957"/>
        <v>0</v>
      </c>
      <c r="BQ315" s="18">
        <f t="shared" si="957"/>
        <v>0</v>
      </c>
      <c r="BR315" s="18">
        <f t="shared" ref="BR315:CZ315" si="958">SUM(BR316)</f>
        <v>0</v>
      </c>
      <c r="BS315" s="18">
        <f t="shared" si="958"/>
        <v>0</v>
      </c>
      <c r="BT315" s="18">
        <f t="shared" si="958"/>
        <v>0</v>
      </c>
      <c r="BU315" s="18">
        <f t="shared" si="958"/>
        <v>0</v>
      </c>
      <c r="BV315" s="18">
        <f t="shared" si="958"/>
        <v>0</v>
      </c>
      <c r="BW315" s="18">
        <f t="shared" si="958"/>
        <v>0</v>
      </c>
      <c r="BX315" s="18">
        <f t="shared" si="958"/>
        <v>0</v>
      </c>
      <c r="BY315" s="18">
        <f t="shared" si="958"/>
        <v>0</v>
      </c>
      <c r="BZ315" s="18">
        <f t="shared" si="858"/>
        <v>0</v>
      </c>
      <c r="CA315" s="18">
        <f t="shared" si="958"/>
        <v>0</v>
      </c>
      <c r="CB315" s="18">
        <f t="shared" si="958"/>
        <v>0</v>
      </c>
      <c r="CC315" s="18">
        <f t="shared" si="958"/>
        <v>0</v>
      </c>
      <c r="CD315" s="18">
        <f t="shared" si="958"/>
        <v>0</v>
      </c>
      <c r="CE315" s="18">
        <f t="shared" si="958"/>
        <v>0</v>
      </c>
      <c r="CF315" s="18">
        <f t="shared" si="958"/>
        <v>0</v>
      </c>
      <c r="CG315" s="18">
        <f t="shared" si="958"/>
        <v>0</v>
      </c>
      <c r="CH315" s="18">
        <f t="shared" si="958"/>
        <v>0</v>
      </c>
      <c r="CI315" s="18">
        <f t="shared" si="958"/>
        <v>0</v>
      </c>
      <c r="CJ315" s="18">
        <f t="shared" si="958"/>
        <v>0</v>
      </c>
      <c r="CK315" s="18">
        <f t="shared" si="958"/>
        <v>0</v>
      </c>
      <c r="CL315" s="18">
        <f t="shared" si="958"/>
        <v>0</v>
      </c>
      <c r="CM315" s="18">
        <f t="shared" si="958"/>
        <v>0</v>
      </c>
      <c r="CN315" s="18">
        <f t="shared" si="958"/>
        <v>0</v>
      </c>
      <c r="CO315" s="18"/>
      <c r="CP315" s="18"/>
      <c r="CQ315" s="18"/>
      <c r="CR315" s="18"/>
      <c r="CS315" s="18">
        <f t="shared" si="958"/>
        <v>0</v>
      </c>
      <c r="CT315" s="18"/>
      <c r="CU315" s="18"/>
      <c r="CV315" s="18"/>
      <c r="CW315" s="18">
        <f t="shared" si="958"/>
        <v>0</v>
      </c>
      <c r="CX315" s="18">
        <f t="shared" si="958"/>
        <v>0</v>
      </c>
      <c r="CY315" s="18">
        <f t="shared" si="958"/>
        <v>0</v>
      </c>
      <c r="CZ315" s="46">
        <f t="shared" si="958"/>
        <v>0</v>
      </c>
    </row>
    <row r="316" spans="1:105" s="52" customFormat="1" ht="15.75" x14ac:dyDescent="0.25">
      <c r="A316" s="80" t="s">
        <v>1</v>
      </c>
      <c r="B316" s="21" t="s">
        <v>298</v>
      </c>
      <c r="C316" s="22" t="s">
        <v>349</v>
      </c>
      <c r="D316" s="18">
        <f>SUM(E316+BZ316+CW316)</f>
        <v>23661155</v>
      </c>
      <c r="E316" s="19">
        <f>SUM(F316+BA316)</f>
        <v>23661155</v>
      </c>
      <c r="F316" s="19">
        <f>SUM(G316+H316+I316+P316+S316+T316+U316+AD316)</f>
        <v>23661155</v>
      </c>
      <c r="G316" s="19">
        <v>0</v>
      </c>
      <c r="H316" s="19">
        <v>0</v>
      </c>
      <c r="I316" s="19">
        <f t="shared" si="939"/>
        <v>0</v>
      </c>
      <c r="J316" s="19">
        <v>0</v>
      </c>
      <c r="K316" s="19">
        <v>0</v>
      </c>
      <c r="L316" s="19">
        <v>0</v>
      </c>
      <c r="M316" s="19">
        <v>0</v>
      </c>
      <c r="N316" s="19">
        <v>0</v>
      </c>
      <c r="O316" s="19">
        <v>0</v>
      </c>
      <c r="P316" s="19">
        <f t="shared" si="940"/>
        <v>0</v>
      </c>
      <c r="Q316" s="19">
        <v>0</v>
      </c>
      <c r="R316" s="19">
        <v>0</v>
      </c>
      <c r="S316" s="19">
        <v>0</v>
      </c>
      <c r="T316" s="19">
        <v>0</v>
      </c>
      <c r="U316" s="19">
        <f t="shared" ref="U316" si="959">SUM(V316:AC316)</f>
        <v>0</v>
      </c>
      <c r="V316" s="19">
        <v>0</v>
      </c>
      <c r="W316" s="19">
        <v>0</v>
      </c>
      <c r="X316" s="19">
        <v>0</v>
      </c>
      <c r="Y316" s="19">
        <v>0</v>
      </c>
      <c r="Z316" s="19">
        <v>0</v>
      </c>
      <c r="AA316" s="19">
        <v>0</v>
      </c>
      <c r="AB316" s="19">
        <v>0</v>
      </c>
      <c r="AC316" s="19">
        <v>0</v>
      </c>
      <c r="AD316" s="19">
        <f>SUM(AE316:AZ316)</f>
        <v>23661155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/>
      <c r="AQ316" s="19">
        <v>0</v>
      </c>
      <c r="AR316" s="19">
        <v>0</v>
      </c>
      <c r="AS316" s="19">
        <v>0</v>
      </c>
      <c r="AT316" s="19">
        <v>0</v>
      </c>
      <c r="AU316" s="19">
        <v>0</v>
      </c>
      <c r="AV316" s="19">
        <v>0</v>
      </c>
      <c r="AW316" s="19">
        <v>0</v>
      </c>
      <c r="AX316" s="19">
        <v>0</v>
      </c>
      <c r="AY316" s="19">
        <v>0</v>
      </c>
      <c r="AZ316" s="23">
        <v>23661155</v>
      </c>
      <c r="BA316" s="19">
        <f>SUM(BB316+BF316+BI316+BK316+BN316)</f>
        <v>0</v>
      </c>
      <c r="BB316" s="19">
        <f>SUM(BC316:BE316)</f>
        <v>0</v>
      </c>
      <c r="BC316" s="19">
        <v>0</v>
      </c>
      <c r="BD316" s="19">
        <v>0</v>
      </c>
      <c r="BE316" s="19">
        <v>0</v>
      </c>
      <c r="BF316" s="19">
        <f>SUM(BH316:BH316)</f>
        <v>0</v>
      </c>
      <c r="BG316" s="19">
        <v>0</v>
      </c>
      <c r="BH316" s="19">
        <v>0</v>
      </c>
      <c r="BI316" s="19">
        <v>0</v>
      </c>
      <c r="BJ316" s="19">
        <v>0</v>
      </c>
      <c r="BK316" s="19">
        <f t="shared" si="942"/>
        <v>0</v>
      </c>
      <c r="BL316" s="19">
        <v>0</v>
      </c>
      <c r="BM316" s="19">
        <v>0</v>
      </c>
      <c r="BN316" s="19">
        <f>SUM(BO316:BY316)</f>
        <v>0</v>
      </c>
      <c r="BO316" s="19">
        <v>0</v>
      </c>
      <c r="BP316" s="19">
        <v>0</v>
      </c>
      <c r="BQ316" s="19">
        <v>0</v>
      </c>
      <c r="BR316" s="19">
        <v>0</v>
      </c>
      <c r="BS316" s="19">
        <v>0</v>
      </c>
      <c r="BT316" s="19">
        <v>0</v>
      </c>
      <c r="BU316" s="19">
        <v>0</v>
      </c>
      <c r="BV316" s="19">
        <v>0</v>
      </c>
      <c r="BW316" s="19">
        <v>0</v>
      </c>
      <c r="BX316" s="19">
        <v>0</v>
      </c>
      <c r="BY316" s="19">
        <v>0</v>
      </c>
      <c r="BZ316" s="19">
        <f t="shared" si="858"/>
        <v>0</v>
      </c>
      <c r="CA316" s="19">
        <f>SUM(CB316+CE316+CK316)</f>
        <v>0</v>
      </c>
      <c r="CB316" s="19">
        <f t="shared" si="943"/>
        <v>0</v>
      </c>
      <c r="CC316" s="19">
        <v>0</v>
      </c>
      <c r="CD316" s="19">
        <v>0</v>
      </c>
      <c r="CE316" s="19">
        <f>SUM(CF316:CJ316)</f>
        <v>0</v>
      </c>
      <c r="CF316" s="19">
        <v>0</v>
      </c>
      <c r="CG316" s="19">
        <v>0</v>
      </c>
      <c r="CH316" s="19">
        <v>0</v>
      </c>
      <c r="CI316" s="19">
        <v>0</v>
      </c>
      <c r="CJ316" s="19">
        <v>0</v>
      </c>
      <c r="CK316" s="19">
        <f>SUM(CL316:CP316)</f>
        <v>0</v>
      </c>
      <c r="CL316" s="19">
        <v>0</v>
      </c>
      <c r="CM316" s="19">
        <v>0</v>
      </c>
      <c r="CN316" s="19">
        <v>0</v>
      </c>
      <c r="CO316" s="19"/>
      <c r="CP316" s="19"/>
      <c r="CQ316" s="19"/>
      <c r="CR316" s="19"/>
      <c r="CS316" s="19">
        <v>0</v>
      </c>
      <c r="CT316" s="19"/>
      <c r="CU316" s="19"/>
      <c r="CV316" s="19"/>
      <c r="CW316" s="19">
        <f t="shared" si="944"/>
        <v>0</v>
      </c>
      <c r="CX316" s="19">
        <f t="shared" si="945"/>
        <v>0</v>
      </c>
      <c r="CY316" s="19">
        <v>0</v>
      </c>
      <c r="CZ316" s="20">
        <v>0</v>
      </c>
    </row>
    <row r="317" spans="1:105" s="57" customFormat="1" ht="15.75" x14ac:dyDescent="0.25">
      <c r="A317" s="79" t="s">
        <v>350</v>
      </c>
      <c r="B317" s="16" t="s">
        <v>1</v>
      </c>
      <c r="C317" s="17" t="s">
        <v>351</v>
      </c>
      <c r="D317" s="18">
        <f t="shared" ref="D317:AJ317" si="960">SUM(D318)</f>
        <v>10583290</v>
      </c>
      <c r="E317" s="18">
        <f t="shared" si="960"/>
        <v>10583290</v>
      </c>
      <c r="F317" s="18">
        <f t="shared" si="960"/>
        <v>0</v>
      </c>
      <c r="G317" s="18">
        <f t="shared" si="960"/>
        <v>0</v>
      </c>
      <c r="H317" s="18">
        <f t="shared" si="960"/>
        <v>0</v>
      </c>
      <c r="I317" s="18">
        <f t="shared" si="960"/>
        <v>0</v>
      </c>
      <c r="J317" s="18">
        <f t="shared" si="960"/>
        <v>0</v>
      </c>
      <c r="K317" s="18">
        <f t="shared" si="960"/>
        <v>0</v>
      </c>
      <c r="L317" s="18">
        <f t="shared" si="960"/>
        <v>0</v>
      </c>
      <c r="M317" s="18">
        <f t="shared" si="960"/>
        <v>0</v>
      </c>
      <c r="N317" s="18">
        <f t="shared" si="960"/>
        <v>0</v>
      </c>
      <c r="O317" s="18">
        <f t="shared" si="960"/>
        <v>0</v>
      </c>
      <c r="P317" s="18">
        <f t="shared" si="960"/>
        <v>0</v>
      </c>
      <c r="Q317" s="18">
        <f t="shared" si="960"/>
        <v>0</v>
      </c>
      <c r="R317" s="18">
        <f t="shared" si="960"/>
        <v>0</v>
      </c>
      <c r="S317" s="18">
        <f t="shared" si="960"/>
        <v>0</v>
      </c>
      <c r="T317" s="18">
        <f t="shared" si="960"/>
        <v>0</v>
      </c>
      <c r="U317" s="18">
        <f t="shared" si="960"/>
        <v>0</v>
      </c>
      <c r="V317" s="18">
        <f t="shared" si="960"/>
        <v>0</v>
      </c>
      <c r="W317" s="18">
        <f t="shared" si="960"/>
        <v>0</v>
      </c>
      <c r="X317" s="18">
        <f t="shared" si="960"/>
        <v>0</v>
      </c>
      <c r="Y317" s="18">
        <f t="shared" si="960"/>
        <v>0</v>
      </c>
      <c r="Z317" s="18">
        <f t="shared" si="960"/>
        <v>0</v>
      </c>
      <c r="AA317" s="18">
        <f t="shared" si="960"/>
        <v>0</v>
      </c>
      <c r="AB317" s="18">
        <f t="shared" si="960"/>
        <v>0</v>
      </c>
      <c r="AC317" s="18">
        <f t="shared" si="960"/>
        <v>0</v>
      </c>
      <c r="AD317" s="18">
        <f t="shared" si="960"/>
        <v>0</v>
      </c>
      <c r="AE317" s="18">
        <f t="shared" si="960"/>
        <v>0</v>
      </c>
      <c r="AF317" s="18">
        <f t="shared" si="960"/>
        <v>0</v>
      </c>
      <c r="AG317" s="18">
        <f t="shared" si="960"/>
        <v>0</v>
      </c>
      <c r="AH317" s="18">
        <f t="shared" si="960"/>
        <v>0</v>
      </c>
      <c r="AI317" s="18">
        <f t="shared" si="960"/>
        <v>0</v>
      </c>
      <c r="AJ317" s="18">
        <f t="shared" si="960"/>
        <v>0</v>
      </c>
      <c r="AK317" s="18">
        <f t="shared" ref="AK317:CZ317" si="961">SUM(AK318)</f>
        <v>0</v>
      </c>
      <c r="AL317" s="18">
        <f t="shared" si="961"/>
        <v>0</v>
      </c>
      <c r="AM317" s="18">
        <f t="shared" si="961"/>
        <v>0</v>
      </c>
      <c r="AN317" s="18">
        <f t="shared" si="961"/>
        <v>0</v>
      </c>
      <c r="AO317" s="18">
        <f t="shared" si="961"/>
        <v>0</v>
      </c>
      <c r="AP317" s="18"/>
      <c r="AQ317" s="18">
        <f t="shared" si="961"/>
        <v>0</v>
      </c>
      <c r="AR317" s="18">
        <f t="shared" si="961"/>
        <v>0</v>
      </c>
      <c r="AS317" s="18">
        <f t="shared" si="961"/>
        <v>0</v>
      </c>
      <c r="AT317" s="18">
        <f t="shared" si="961"/>
        <v>0</v>
      </c>
      <c r="AU317" s="18">
        <f t="shared" si="961"/>
        <v>0</v>
      </c>
      <c r="AV317" s="18">
        <f t="shared" si="961"/>
        <v>0</v>
      </c>
      <c r="AW317" s="18">
        <f t="shared" si="961"/>
        <v>0</v>
      </c>
      <c r="AX317" s="18">
        <f t="shared" si="961"/>
        <v>0</v>
      </c>
      <c r="AY317" s="18"/>
      <c r="AZ317" s="18">
        <f t="shared" si="961"/>
        <v>0</v>
      </c>
      <c r="BA317" s="18">
        <f t="shared" si="961"/>
        <v>10583290</v>
      </c>
      <c r="BB317" s="18">
        <f t="shared" si="961"/>
        <v>0</v>
      </c>
      <c r="BC317" s="18">
        <f t="shared" si="961"/>
        <v>0</v>
      </c>
      <c r="BD317" s="18">
        <f t="shared" si="961"/>
        <v>0</v>
      </c>
      <c r="BE317" s="18">
        <f t="shared" si="961"/>
        <v>0</v>
      </c>
      <c r="BF317" s="18">
        <f t="shared" si="961"/>
        <v>0</v>
      </c>
      <c r="BG317" s="18">
        <f t="shared" si="961"/>
        <v>0</v>
      </c>
      <c r="BH317" s="18">
        <f t="shared" si="961"/>
        <v>0</v>
      </c>
      <c r="BI317" s="18">
        <f t="shared" si="961"/>
        <v>0</v>
      </c>
      <c r="BJ317" s="18">
        <f t="shared" si="961"/>
        <v>0</v>
      </c>
      <c r="BK317" s="18">
        <f t="shared" si="961"/>
        <v>0</v>
      </c>
      <c r="BL317" s="18">
        <f t="shared" si="961"/>
        <v>0</v>
      </c>
      <c r="BM317" s="18">
        <f t="shared" si="961"/>
        <v>0</v>
      </c>
      <c r="BN317" s="18">
        <f t="shared" si="961"/>
        <v>10583290</v>
      </c>
      <c r="BO317" s="18">
        <f t="shared" si="961"/>
        <v>0</v>
      </c>
      <c r="BP317" s="18">
        <f t="shared" si="961"/>
        <v>0</v>
      </c>
      <c r="BQ317" s="18">
        <f t="shared" si="961"/>
        <v>0</v>
      </c>
      <c r="BR317" s="18">
        <f t="shared" si="961"/>
        <v>0</v>
      </c>
      <c r="BS317" s="18">
        <f t="shared" si="961"/>
        <v>0</v>
      </c>
      <c r="BT317" s="18">
        <f t="shared" si="961"/>
        <v>0</v>
      </c>
      <c r="BU317" s="18">
        <f t="shared" si="961"/>
        <v>0</v>
      </c>
      <c r="BV317" s="18">
        <f t="shared" si="961"/>
        <v>0</v>
      </c>
      <c r="BW317" s="18">
        <f t="shared" si="961"/>
        <v>0</v>
      </c>
      <c r="BX317" s="18">
        <f t="shared" si="961"/>
        <v>0</v>
      </c>
      <c r="BY317" s="18">
        <f t="shared" si="961"/>
        <v>10583290</v>
      </c>
      <c r="BZ317" s="18">
        <f t="shared" si="858"/>
        <v>0</v>
      </c>
      <c r="CA317" s="18">
        <f t="shared" si="961"/>
        <v>0</v>
      </c>
      <c r="CB317" s="18">
        <f t="shared" si="961"/>
        <v>0</v>
      </c>
      <c r="CC317" s="18">
        <f t="shared" si="961"/>
        <v>0</v>
      </c>
      <c r="CD317" s="18">
        <f t="shared" si="961"/>
        <v>0</v>
      </c>
      <c r="CE317" s="18">
        <f t="shared" si="961"/>
        <v>0</v>
      </c>
      <c r="CF317" s="18">
        <f t="shared" si="961"/>
        <v>0</v>
      </c>
      <c r="CG317" s="18">
        <f t="shared" si="961"/>
        <v>0</v>
      </c>
      <c r="CH317" s="18">
        <f t="shared" si="961"/>
        <v>0</v>
      </c>
      <c r="CI317" s="18">
        <f t="shared" si="961"/>
        <v>0</v>
      </c>
      <c r="CJ317" s="18">
        <f t="shared" si="961"/>
        <v>0</v>
      </c>
      <c r="CK317" s="18">
        <f t="shared" si="961"/>
        <v>0</v>
      </c>
      <c r="CL317" s="18">
        <f t="shared" si="961"/>
        <v>0</v>
      </c>
      <c r="CM317" s="18">
        <f t="shared" si="961"/>
        <v>0</v>
      </c>
      <c r="CN317" s="18">
        <f t="shared" si="961"/>
        <v>0</v>
      </c>
      <c r="CO317" s="18"/>
      <c r="CP317" s="18"/>
      <c r="CQ317" s="18"/>
      <c r="CR317" s="18"/>
      <c r="CS317" s="18">
        <f t="shared" si="961"/>
        <v>0</v>
      </c>
      <c r="CT317" s="18"/>
      <c r="CU317" s="18"/>
      <c r="CV317" s="18"/>
      <c r="CW317" s="18">
        <f t="shared" si="961"/>
        <v>0</v>
      </c>
      <c r="CX317" s="18">
        <f t="shared" si="961"/>
        <v>0</v>
      </c>
      <c r="CY317" s="18">
        <f t="shared" si="961"/>
        <v>0</v>
      </c>
      <c r="CZ317" s="46">
        <f t="shared" si="961"/>
        <v>0</v>
      </c>
    </row>
    <row r="318" spans="1:105" s="52" customFormat="1" ht="15.75" x14ac:dyDescent="0.25">
      <c r="A318" s="80" t="s">
        <v>1</v>
      </c>
      <c r="B318" s="21" t="s">
        <v>298</v>
      </c>
      <c r="C318" s="22" t="s">
        <v>351</v>
      </c>
      <c r="D318" s="18">
        <f>SUM(E318+BZ318+CW318)</f>
        <v>10583290</v>
      </c>
      <c r="E318" s="19">
        <f>SUM(F318+BA318)</f>
        <v>10583290</v>
      </c>
      <c r="F318" s="19">
        <f>SUM(G318+H318+I318+P318+S318+T318+U318+AD318)</f>
        <v>0</v>
      </c>
      <c r="G318" s="19">
        <v>0</v>
      </c>
      <c r="H318" s="19">
        <v>0</v>
      </c>
      <c r="I318" s="19">
        <f t="shared" si="939"/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f t="shared" si="940"/>
        <v>0</v>
      </c>
      <c r="Q318" s="19">
        <v>0</v>
      </c>
      <c r="R318" s="19">
        <v>0</v>
      </c>
      <c r="S318" s="19">
        <v>0</v>
      </c>
      <c r="T318" s="19">
        <v>0</v>
      </c>
      <c r="U318" s="19">
        <f t="shared" ref="U318" si="962">SUM(V318:AC318)</f>
        <v>0</v>
      </c>
      <c r="V318" s="19">
        <v>0</v>
      </c>
      <c r="W318" s="19">
        <v>0</v>
      </c>
      <c r="X318" s="19">
        <v>0</v>
      </c>
      <c r="Y318" s="19">
        <v>0</v>
      </c>
      <c r="Z318" s="19">
        <v>0</v>
      </c>
      <c r="AA318" s="19">
        <v>0</v>
      </c>
      <c r="AB318" s="19">
        <v>0</v>
      </c>
      <c r="AC318" s="19">
        <v>0</v>
      </c>
      <c r="AD318" s="19">
        <f>SUM(AE318:AZ318)</f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0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/>
      <c r="AQ318" s="19">
        <v>0</v>
      </c>
      <c r="AR318" s="19">
        <v>0</v>
      </c>
      <c r="AS318" s="19">
        <v>0</v>
      </c>
      <c r="AT318" s="19">
        <v>0</v>
      </c>
      <c r="AU318" s="19">
        <v>0</v>
      </c>
      <c r="AV318" s="19">
        <v>0</v>
      </c>
      <c r="AW318" s="19">
        <v>0</v>
      </c>
      <c r="AX318" s="19">
        <v>0</v>
      </c>
      <c r="AY318" s="19"/>
      <c r="AZ318" s="19">
        <v>0</v>
      </c>
      <c r="BA318" s="19">
        <f>SUM(BB318+BF318+BI318+BK318+BN318)</f>
        <v>10583290</v>
      </c>
      <c r="BB318" s="19">
        <f>SUM(BC318:BE318)</f>
        <v>0</v>
      </c>
      <c r="BC318" s="19">
        <v>0</v>
      </c>
      <c r="BD318" s="19">
        <v>0</v>
      </c>
      <c r="BE318" s="19">
        <v>0</v>
      </c>
      <c r="BF318" s="19">
        <f>SUM(BH318:BH318)</f>
        <v>0</v>
      </c>
      <c r="BG318" s="19">
        <v>0</v>
      </c>
      <c r="BH318" s="19">
        <v>0</v>
      </c>
      <c r="BI318" s="19">
        <v>0</v>
      </c>
      <c r="BJ318" s="19">
        <v>0</v>
      </c>
      <c r="BK318" s="19">
        <f t="shared" si="942"/>
        <v>0</v>
      </c>
      <c r="BL318" s="19">
        <v>0</v>
      </c>
      <c r="BM318" s="19">
        <v>0</v>
      </c>
      <c r="BN318" s="19">
        <f>SUM(BO318:BY318)</f>
        <v>10583290</v>
      </c>
      <c r="BO318" s="19">
        <v>0</v>
      </c>
      <c r="BP318" s="19">
        <v>0</v>
      </c>
      <c r="BQ318" s="19">
        <v>0</v>
      </c>
      <c r="BR318" s="19">
        <v>0</v>
      </c>
      <c r="BS318" s="19">
        <v>0</v>
      </c>
      <c r="BT318" s="19">
        <v>0</v>
      </c>
      <c r="BU318" s="19">
        <v>0</v>
      </c>
      <c r="BV318" s="19">
        <v>0</v>
      </c>
      <c r="BW318" s="19">
        <v>0</v>
      </c>
      <c r="BX318" s="19">
        <v>0</v>
      </c>
      <c r="BY318" s="19">
        <v>10583290</v>
      </c>
      <c r="BZ318" s="19">
        <f t="shared" si="858"/>
        <v>0</v>
      </c>
      <c r="CA318" s="19">
        <f>SUM(CB318+CE318+CK318)</f>
        <v>0</v>
      </c>
      <c r="CB318" s="19">
        <f t="shared" si="943"/>
        <v>0</v>
      </c>
      <c r="CC318" s="19">
        <v>0</v>
      </c>
      <c r="CD318" s="19">
        <v>0</v>
      </c>
      <c r="CE318" s="19">
        <f>SUM(CF318:CJ318)</f>
        <v>0</v>
      </c>
      <c r="CF318" s="19">
        <v>0</v>
      </c>
      <c r="CG318" s="19">
        <v>0</v>
      </c>
      <c r="CH318" s="19">
        <v>0</v>
      </c>
      <c r="CI318" s="19">
        <v>0</v>
      </c>
      <c r="CJ318" s="19">
        <v>0</v>
      </c>
      <c r="CK318" s="19">
        <f>SUM(CL318:CP318)</f>
        <v>0</v>
      </c>
      <c r="CL318" s="19">
        <v>0</v>
      </c>
      <c r="CM318" s="19">
        <v>0</v>
      </c>
      <c r="CN318" s="19">
        <v>0</v>
      </c>
      <c r="CO318" s="19"/>
      <c r="CP318" s="19"/>
      <c r="CQ318" s="19"/>
      <c r="CR318" s="19"/>
      <c r="CS318" s="19">
        <v>0</v>
      </c>
      <c r="CT318" s="19"/>
      <c r="CU318" s="19"/>
      <c r="CV318" s="19"/>
      <c r="CW318" s="19">
        <f t="shared" si="944"/>
        <v>0</v>
      </c>
      <c r="CX318" s="19">
        <f t="shared" si="945"/>
        <v>0</v>
      </c>
      <c r="CY318" s="19">
        <v>0</v>
      </c>
      <c r="CZ318" s="20">
        <v>0</v>
      </c>
    </row>
    <row r="319" spans="1:105" s="58" customFormat="1" ht="15.75" x14ac:dyDescent="0.25">
      <c r="A319" s="79" t="s">
        <v>352</v>
      </c>
      <c r="B319" s="16" t="s">
        <v>1</v>
      </c>
      <c r="C319" s="30" t="s">
        <v>353</v>
      </c>
      <c r="D319" s="18">
        <f t="shared" ref="D319:AH319" si="963">SUM(D320)</f>
        <v>21928850</v>
      </c>
      <c r="E319" s="18">
        <f t="shared" si="963"/>
        <v>21928850</v>
      </c>
      <c r="F319" s="18">
        <f t="shared" si="963"/>
        <v>21928850</v>
      </c>
      <c r="G319" s="18">
        <f t="shared" si="963"/>
        <v>0</v>
      </c>
      <c r="H319" s="18">
        <f t="shared" si="963"/>
        <v>0</v>
      </c>
      <c r="I319" s="18">
        <f t="shared" si="963"/>
        <v>0</v>
      </c>
      <c r="J319" s="18">
        <f t="shared" si="963"/>
        <v>0</v>
      </c>
      <c r="K319" s="18">
        <f t="shared" si="963"/>
        <v>0</v>
      </c>
      <c r="L319" s="18">
        <f t="shared" si="963"/>
        <v>0</v>
      </c>
      <c r="M319" s="18">
        <f t="shared" si="963"/>
        <v>0</v>
      </c>
      <c r="N319" s="18">
        <f t="shared" si="963"/>
        <v>0</v>
      </c>
      <c r="O319" s="18">
        <f t="shared" si="963"/>
        <v>0</v>
      </c>
      <c r="P319" s="18">
        <f t="shared" si="963"/>
        <v>0</v>
      </c>
      <c r="Q319" s="18">
        <f t="shared" si="963"/>
        <v>0</v>
      </c>
      <c r="R319" s="18">
        <f t="shared" si="963"/>
        <v>0</v>
      </c>
      <c r="S319" s="18">
        <f t="shared" si="963"/>
        <v>0</v>
      </c>
      <c r="T319" s="18">
        <f t="shared" si="963"/>
        <v>0</v>
      </c>
      <c r="U319" s="18">
        <f t="shared" si="963"/>
        <v>0</v>
      </c>
      <c r="V319" s="18">
        <f t="shared" si="963"/>
        <v>0</v>
      </c>
      <c r="W319" s="18">
        <f t="shared" si="963"/>
        <v>0</v>
      </c>
      <c r="X319" s="18">
        <f t="shared" si="963"/>
        <v>0</v>
      </c>
      <c r="Y319" s="18">
        <f t="shared" si="963"/>
        <v>0</v>
      </c>
      <c r="Z319" s="18">
        <f t="shared" si="963"/>
        <v>0</v>
      </c>
      <c r="AA319" s="18">
        <f t="shared" si="963"/>
        <v>0</v>
      </c>
      <c r="AB319" s="18">
        <f t="shared" si="963"/>
        <v>0</v>
      </c>
      <c r="AC319" s="18">
        <f t="shared" si="963"/>
        <v>0</v>
      </c>
      <c r="AD319" s="18">
        <f t="shared" si="963"/>
        <v>21928850</v>
      </c>
      <c r="AE319" s="18">
        <f t="shared" si="963"/>
        <v>0</v>
      </c>
      <c r="AF319" s="18">
        <f t="shared" si="963"/>
        <v>0</v>
      </c>
      <c r="AG319" s="18">
        <f t="shared" si="963"/>
        <v>0</v>
      </c>
      <c r="AH319" s="18">
        <f t="shared" si="963"/>
        <v>0</v>
      </c>
      <c r="AI319" s="18">
        <f t="shared" ref="AI319:CX319" si="964">SUM(AI320)</f>
        <v>0</v>
      </c>
      <c r="AJ319" s="18">
        <f t="shared" si="964"/>
        <v>0</v>
      </c>
      <c r="AK319" s="18">
        <f t="shared" si="964"/>
        <v>0</v>
      </c>
      <c r="AL319" s="18">
        <f t="shared" si="964"/>
        <v>0</v>
      </c>
      <c r="AM319" s="18">
        <f t="shared" si="964"/>
        <v>0</v>
      </c>
      <c r="AN319" s="18">
        <f t="shared" si="964"/>
        <v>0</v>
      </c>
      <c r="AO319" s="18">
        <f t="shared" si="964"/>
        <v>0</v>
      </c>
      <c r="AP319" s="18"/>
      <c r="AQ319" s="18">
        <f t="shared" si="964"/>
        <v>0</v>
      </c>
      <c r="AR319" s="18">
        <f t="shared" si="964"/>
        <v>0</v>
      </c>
      <c r="AS319" s="18">
        <f t="shared" si="964"/>
        <v>0</v>
      </c>
      <c r="AT319" s="18">
        <f t="shared" si="964"/>
        <v>0</v>
      </c>
      <c r="AU319" s="18">
        <f t="shared" si="964"/>
        <v>0</v>
      </c>
      <c r="AV319" s="18">
        <f t="shared" si="964"/>
        <v>0</v>
      </c>
      <c r="AW319" s="18">
        <f t="shared" si="964"/>
        <v>0</v>
      </c>
      <c r="AX319" s="18">
        <f t="shared" si="964"/>
        <v>0</v>
      </c>
      <c r="AY319" s="18"/>
      <c r="AZ319" s="18">
        <f t="shared" si="964"/>
        <v>21928850</v>
      </c>
      <c r="BA319" s="18">
        <f t="shared" si="964"/>
        <v>0</v>
      </c>
      <c r="BB319" s="18">
        <f t="shared" si="964"/>
        <v>0</v>
      </c>
      <c r="BC319" s="18">
        <f t="shared" si="964"/>
        <v>0</v>
      </c>
      <c r="BD319" s="18">
        <f t="shared" si="964"/>
        <v>0</v>
      </c>
      <c r="BE319" s="18">
        <f t="shared" si="964"/>
        <v>0</v>
      </c>
      <c r="BF319" s="18">
        <f t="shared" si="964"/>
        <v>0</v>
      </c>
      <c r="BG319" s="18">
        <f t="shared" si="964"/>
        <v>0</v>
      </c>
      <c r="BH319" s="18">
        <f t="shared" si="964"/>
        <v>0</v>
      </c>
      <c r="BI319" s="18">
        <f t="shared" si="964"/>
        <v>0</v>
      </c>
      <c r="BJ319" s="18">
        <f t="shared" si="964"/>
        <v>0</v>
      </c>
      <c r="BK319" s="18">
        <f t="shared" si="964"/>
        <v>0</v>
      </c>
      <c r="BL319" s="18">
        <f t="shared" si="964"/>
        <v>0</v>
      </c>
      <c r="BM319" s="18">
        <f t="shared" si="964"/>
        <v>0</v>
      </c>
      <c r="BN319" s="18">
        <f t="shared" si="964"/>
        <v>0</v>
      </c>
      <c r="BO319" s="18">
        <f t="shared" si="964"/>
        <v>0</v>
      </c>
      <c r="BP319" s="18">
        <f t="shared" si="964"/>
        <v>0</v>
      </c>
      <c r="BQ319" s="18">
        <f t="shared" si="964"/>
        <v>0</v>
      </c>
      <c r="BR319" s="18">
        <f t="shared" si="964"/>
        <v>0</v>
      </c>
      <c r="BS319" s="18">
        <f t="shared" si="964"/>
        <v>0</v>
      </c>
      <c r="BT319" s="18">
        <f t="shared" si="964"/>
        <v>0</v>
      </c>
      <c r="BU319" s="18">
        <f t="shared" si="964"/>
        <v>0</v>
      </c>
      <c r="BV319" s="18">
        <f t="shared" si="964"/>
        <v>0</v>
      </c>
      <c r="BW319" s="18">
        <f t="shared" si="964"/>
        <v>0</v>
      </c>
      <c r="BX319" s="18">
        <f t="shared" si="964"/>
        <v>0</v>
      </c>
      <c r="BY319" s="18">
        <f t="shared" si="964"/>
        <v>0</v>
      </c>
      <c r="BZ319" s="18">
        <f t="shared" si="858"/>
        <v>0</v>
      </c>
      <c r="CA319" s="18">
        <f t="shared" si="964"/>
        <v>0</v>
      </c>
      <c r="CB319" s="18">
        <f t="shared" si="964"/>
        <v>0</v>
      </c>
      <c r="CC319" s="18">
        <f t="shared" si="964"/>
        <v>0</v>
      </c>
      <c r="CD319" s="18">
        <f t="shared" si="964"/>
        <v>0</v>
      </c>
      <c r="CE319" s="18">
        <f t="shared" si="964"/>
        <v>0</v>
      </c>
      <c r="CF319" s="18">
        <f t="shared" si="964"/>
        <v>0</v>
      </c>
      <c r="CG319" s="18">
        <f t="shared" si="964"/>
        <v>0</v>
      </c>
      <c r="CH319" s="18">
        <f t="shared" si="964"/>
        <v>0</v>
      </c>
      <c r="CI319" s="18">
        <f t="shared" si="964"/>
        <v>0</v>
      </c>
      <c r="CJ319" s="18">
        <f t="shared" si="964"/>
        <v>0</v>
      </c>
      <c r="CK319" s="18">
        <f t="shared" si="964"/>
        <v>0</v>
      </c>
      <c r="CL319" s="18">
        <f t="shared" si="964"/>
        <v>0</v>
      </c>
      <c r="CM319" s="18">
        <f t="shared" si="964"/>
        <v>0</v>
      </c>
      <c r="CN319" s="18">
        <f t="shared" si="964"/>
        <v>0</v>
      </c>
      <c r="CO319" s="18"/>
      <c r="CP319" s="18"/>
      <c r="CQ319" s="18"/>
      <c r="CR319" s="18"/>
      <c r="CS319" s="18">
        <f t="shared" si="964"/>
        <v>0</v>
      </c>
      <c r="CT319" s="18"/>
      <c r="CU319" s="18"/>
      <c r="CV319" s="18"/>
      <c r="CW319" s="18">
        <f t="shared" si="964"/>
        <v>0</v>
      </c>
      <c r="CX319" s="18">
        <f t="shared" si="964"/>
        <v>0</v>
      </c>
      <c r="CY319" s="18">
        <f t="shared" ref="CY319:CZ319" si="965">SUM(CY320)</f>
        <v>0</v>
      </c>
      <c r="CZ319" s="46">
        <f t="shared" si="965"/>
        <v>0</v>
      </c>
      <c r="DA319" s="57"/>
    </row>
    <row r="320" spans="1:105" ht="15.75" x14ac:dyDescent="0.25">
      <c r="A320" s="80" t="s">
        <v>1</v>
      </c>
      <c r="B320" s="21" t="s">
        <v>92</v>
      </c>
      <c r="C320" s="31" t="s">
        <v>353</v>
      </c>
      <c r="D320" s="18">
        <f>SUM(E320+BZ320+CW320)</f>
        <v>21928850</v>
      </c>
      <c r="E320" s="19">
        <f>SUM(F320+BA320)</f>
        <v>21928850</v>
      </c>
      <c r="F320" s="19">
        <f>SUM(G320+H320+I320+P320+S320+T320+U320+AD320)</f>
        <v>21928850</v>
      </c>
      <c r="G320" s="19"/>
      <c r="H320" s="19"/>
      <c r="I320" s="19">
        <f>SUM(J320:O320)</f>
        <v>0</v>
      </c>
      <c r="J320" s="19"/>
      <c r="K320" s="19"/>
      <c r="L320" s="19"/>
      <c r="M320" s="19"/>
      <c r="N320" s="19"/>
      <c r="O320" s="19"/>
      <c r="P320" s="19">
        <f>SUM(Q320:R320)</f>
        <v>0</v>
      </c>
      <c r="Q320" s="19"/>
      <c r="R320" s="19"/>
      <c r="S320" s="19"/>
      <c r="T320" s="19"/>
      <c r="U320" s="19">
        <f t="shared" ref="U320" si="966">SUM(V320:AC320)</f>
        <v>0</v>
      </c>
      <c r="V320" s="19"/>
      <c r="W320" s="19"/>
      <c r="X320" s="19"/>
      <c r="Y320" s="19"/>
      <c r="Z320" s="19"/>
      <c r="AA320" s="19"/>
      <c r="AB320" s="19"/>
      <c r="AC320" s="19"/>
      <c r="AD320" s="19">
        <f>SUM(AE320:AZ320)</f>
        <v>21928850</v>
      </c>
      <c r="AE320" s="19">
        <v>0</v>
      </c>
      <c r="AF320" s="19">
        <v>0</v>
      </c>
      <c r="AG320" s="19">
        <v>0</v>
      </c>
      <c r="AH320" s="19">
        <v>0</v>
      </c>
      <c r="AI320" s="19">
        <v>0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/>
      <c r="AQ320" s="19">
        <v>0</v>
      </c>
      <c r="AR320" s="19">
        <v>0</v>
      </c>
      <c r="AS320" s="19">
        <v>0</v>
      </c>
      <c r="AT320" s="19">
        <v>0</v>
      </c>
      <c r="AU320" s="19">
        <v>0</v>
      </c>
      <c r="AV320" s="19">
        <v>0</v>
      </c>
      <c r="AW320" s="19">
        <v>0</v>
      </c>
      <c r="AX320" s="19">
        <v>0</v>
      </c>
      <c r="AY320" s="19">
        <v>0</v>
      </c>
      <c r="AZ320" s="24">
        <v>21928850</v>
      </c>
      <c r="BA320" s="19">
        <f>SUM(BB320+BF320+BI320+BK320+BN320)</f>
        <v>0</v>
      </c>
      <c r="BB320" s="19">
        <f>SUM(BC320:BE320)</f>
        <v>0</v>
      </c>
      <c r="BC320" s="24"/>
      <c r="BD320" s="19">
        <v>0</v>
      </c>
      <c r="BE320" s="19">
        <v>0</v>
      </c>
      <c r="BF320" s="19">
        <f>SUM(BH320:BH320)</f>
        <v>0</v>
      </c>
      <c r="BG320" s="19">
        <v>0</v>
      </c>
      <c r="BH320" s="19">
        <v>0</v>
      </c>
      <c r="BI320" s="19">
        <v>0</v>
      </c>
      <c r="BJ320" s="19">
        <v>0</v>
      </c>
      <c r="BK320" s="19">
        <f>SUM(BL320)</f>
        <v>0</v>
      </c>
      <c r="BL320" s="19">
        <v>0</v>
      </c>
      <c r="BM320" s="19">
        <v>0</v>
      </c>
      <c r="BN320" s="19">
        <f>SUM(BO320:BY320)</f>
        <v>0</v>
      </c>
      <c r="BO320" s="19">
        <v>0</v>
      </c>
      <c r="BP320" s="19">
        <v>0</v>
      </c>
      <c r="BQ320" s="19">
        <v>0</v>
      </c>
      <c r="BR320" s="19">
        <v>0</v>
      </c>
      <c r="BS320" s="19">
        <v>0</v>
      </c>
      <c r="BT320" s="19">
        <v>0</v>
      </c>
      <c r="BU320" s="19">
        <v>0</v>
      </c>
      <c r="BV320" s="19">
        <v>0</v>
      </c>
      <c r="BW320" s="19">
        <v>0</v>
      </c>
      <c r="BX320" s="19"/>
      <c r="BY320" s="19"/>
      <c r="BZ320" s="19">
        <f t="shared" si="858"/>
        <v>0</v>
      </c>
      <c r="CA320" s="19">
        <f>SUM(CB320+CE320+CK320)</f>
        <v>0</v>
      </c>
      <c r="CB320" s="19">
        <f>SUM(CC320:CD320)</f>
        <v>0</v>
      </c>
      <c r="CC320" s="19">
        <v>0</v>
      </c>
      <c r="CD320" s="19"/>
      <c r="CE320" s="19">
        <f>SUM(CF320:CJ320)</f>
        <v>0</v>
      </c>
      <c r="CF320" s="19">
        <v>0</v>
      </c>
      <c r="CG320" s="19">
        <v>0</v>
      </c>
      <c r="CH320" s="19"/>
      <c r="CI320" s="19"/>
      <c r="CJ320" s="19"/>
      <c r="CK320" s="19">
        <f>SUM(CL320:CP320)</f>
        <v>0</v>
      </c>
      <c r="CL320" s="19"/>
      <c r="CM320" s="19"/>
      <c r="CN320" s="19"/>
      <c r="CO320" s="19"/>
      <c r="CP320" s="19"/>
      <c r="CQ320" s="19"/>
      <c r="CR320" s="19"/>
      <c r="CS320" s="19">
        <v>0</v>
      </c>
      <c r="CT320" s="19"/>
      <c r="CU320" s="19"/>
      <c r="CV320" s="19"/>
      <c r="CW320" s="19">
        <f>SUM(CX320)</f>
        <v>0</v>
      </c>
      <c r="CX320" s="19">
        <f>SUM(CY320:CZ320)</f>
        <v>0</v>
      </c>
      <c r="CY320" s="19">
        <v>0</v>
      </c>
      <c r="CZ320" s="20">
        <v>0</v>
      </c>
    </row>
    <row r="321" spans="1:105" s="58" customFormat="1" ht="31.5" x14ac:dyDescent="0.25">
      <c r="A321" s="79" t="s">
        <v>354</v>
      </c>
      <c r="B321" s="16" t="s">
        <v>1</v>
      </c>
      <c r="C321" s="30" t="s">
        <v>355</v>
      </c>
      <c r="D321" s="18">
        <f t="shared" ref="D321:AJ321" si="967">SUM(D322)</f>
        <v>46487857</v>
      </c>
      <c r="E321" s="18">
        <f t="shared" si="967"/>
        <v>46487857</v>
      </c>
      <c r="F321" s="18">
        <f t="shared" si="967"/>
        <v>14482857</v>
      </c>
      <c r="G321" s="18">
        <f t="shared" si="967"/>
        <v>0</v>
      </c>
      <c r="H321" s="18">
        <f t="shared" si="967"/>
        <v>0</v>
      </c>
      <c r="I321" s="18">
        <f t="shared" si="967"/>
        <v>0</v>
      </c>
      <c r="J321" s="18">
        <f t="shared" si="967"/>
        <v>0</v>
      </c>
      <c r="K321" s="18">
        <f t="shared" si="967"/>
        <v>0</v>
      </c>
      <c r="L321" s="18">
        <f t="shared" si="967"/>
        <v>0</v>
      </c>
      <c r="M321" s="18">
        <f t="shared" si="967"/>
        <v>0</v>
      </c>
      <c r="N321" s="18">
        <f t="shared" si="967"/>
        <v>0</v>
      </c>
      <c r="O321" s="18">
        <f t="shared" si="967"/>
        <v>0</v>
      </c>
      <c r="P321" s="18">
        <f t="shared" si="967"/>
        <v>0</v>
      </c>
      <c r="Q321" s="18">
        <f t="shared" si="967"/>
        <v>0</v>
      </c>
      <c r="R321" s="18">
        <f t="shared" si="967"/>
        <v>0</v>
      </c>
      <c r="S321" s="18">
        <f t="shared" si="967"/>
        <v>0</v>
      </c>
      <c r="T321" s="18">
        <f t="shared" si="967"/>
        <v>0</v>
      </c>
      <c r="U321" s="18">
        <f t="shared" si="967"/>
        <v>0</v>
      </c>
      <c r="V321" s="18">
        <f t="shared" si="967"/>
        <v>0</v>
      </c>
      <c r="W321" s="18">
        <f t="shared" si="967"/>
        <v>0</v>
      </c>
      <c r="X321" s="18">
        <f t="shared" si="967"/>
        <v>0</v>
      </c>
      <c r="Y321" s="18">
        <f t="shared" si="967"/>
        <v>0</v>
      </c>
      <c r="Z321" s="18">
        <f t="shared" si="967"/>
        <v>0</v>
      </c>
      <c r="AA321" s="18">
        <f t="shared" si="967"/>
        <v>0</v>
      </c>
      <c r="AB321" s="18">
        <f t="shared" si="967"/>
        <v>0</v>
      </c>
      <c r="AC321" s="18">
        <f t="shared" si="967"/>
        <v>0</v>
      </c>
      <c r="AD321" s="18">
        <f t="shared" si="967"/>
        <v>14482857</v>
      </c>
      <c r="AE321" s="18">
        <f t="shared" si="967"/>
        <v>0</v>
      </c>
      <c r="AF321" s="18">
        <f t="shared" si="967"/>
        <v>0</v>
      </c>
      <c r="AG321" s="18">
        <f t="shared" si="967"/>
        <v>0</v>
      </c>
      <c r="AH321" s="18">
        <f t="shared" si="967"/>
        <v>0</v>
      </c>
      <c r="AI321" s="18">
        <f t="shared" si="967"/>
        <v>0</v>
      </c>
      <c r="AJ321" s="18">
        <f t="shared" si="967"/>
        <v>0</v>
      </c>
      <c r="AK321" s="18">
        <f t="shared" ref="AK321:CZ321" si="968">SUM(AK322)</f>
        <v>0</v>
      </c>
      <c r="AL321" s="18">
        <f t="shared" si="968"/>
        <v>0</v>
      </c>
      <c r="AM321" s="18">
        <f t="shared" si="968"/>
        <v>0</v>
      </c>
      <c r="AN321" s="18">
        <f t="shared" si="968"/>
        <v>0</v>
      </c>
      <c r="AO321" s="18">
        <f t="shared" si="968"/>
        <v>0</v>
      </c>
      <c r="AP321" s="18"/>
      <c r="AQ321" s="18">
        <f t="shared" si="968"/>
        <v>0</v>
      </c>
      <c r="AR321" s="18">
        <f t="shared" si="968"/>
        <v>0</v>
      </c>
      <c r="AS321" s="18">
        <f t="shared" si="968"/>
        <v>0</v>
      </c>
      <c r="AT321" s="18">
        <f t="shared" si="968"/>
        <v>0</v>
      </c>
      <c r="AU321" s="18">
        <f t="shared" si="968"/>
        <v>0</v>
      </c>
      <c r="AV321" s="18">
        <f t="shared" si="968"/>
        <v>0</v>
      </c>
      <c r="AW321" s="18">
        <f t="shared" si="968"/>
        <v>0</v>
      </c>
      <c r="AX321" s="18">
        <f t="shared" si="968"/>
        <v>0</v>
      </c>
      <c r="AY321" s="18"/>
      <c r="AZ321" s="18">
        <f t="shared" si="968"/>
        <v>14482857</v>
      </c>
      <c r="BA321" s="18">
        <f t="shared" si="968"/>
        <v>32005000</v>
      </c>
      <c r="BB321" s="18">
        <f t="shared" si="968"/>
        <v>32005000</v>
      </c>
      <c r="BC321" s="18">
        <f t="shared" si="968"/>
        <v>32005000</v>
      </c>
      <c r="BD321" s="18">
        <f t="shared" si="968"/>
        <v>0</v>
      </c>
      <c r="BE321" s="18">
        <f t="shared" si="968"/>
        <v>0</v>
      </c>
      <c r="BF321" s="18">
        <f t="shared" si="968"/>
        <v>0</v>
      </c>
      <c r="BG321" s="18">
        <f t="shared" si="968"/>
        <v>0</v>
      </c>
      <c r="BH321" s="18">
        <f t="shared" si="968"/>
        <v>0</v>
      </c>
      <c r="BI321" s="18">
        <f t="shared" si="968"/>
        <v>0</v>
      </c>
      <c r="BJ321" s="18">
        <f t="shared" si="968"/>
        <v>0</v>
      </c>
      <c r="BK321" s="18">
        <f t="shared" si="968"/>
        <v>0</v>
      </c>
      <c r="BL321" s="18">
        <f t="shared" si="968"/>
        <v>0</v>
      </c>
      <c r="BM321" s="18">
        <f t="shared" si="968"/>
        <v>0</v>
      </c>
      <c r="BN321" s="18">
        <f t="shared" si="968"/>
        <v>0</v>
      </c>
      <c r="BO321" s="18">
        <f t="shared" si="968"/>
        <v>0</v>
      </c>
      <c r="BP321" s="18">
        <f t="shared" si="968"/>
        <v>0</v>
      </c>
      <c r="BQ321" s="18">
        <f t="shared" si="968"/>
        <v>0</v>
      </c>
      <c r="BR321" s="18">
        <f t="shared" si="968"/>
        <v>0</v>
      </c>
      <c r="BS321" s="18">
        <f t="shared" si="968"/>
        <v>0</v>
      </c>
      <c r="BT321" s="18">
        <f t="shared" si="968"/>
        <v>0</v>
      </c>
      <c r="BU321" s="18">
        <f t="shared" si="968"/>
        <v>0</v>
      </c>
      <c r="BV321" s="18">
        <f t="shared" si="968"/>
        <v>0</v>
      </c>
      <c r="BW321" s="18">
        <f t="shared" si="968"/>
        <v>0</v>
      </c>
      <c r="BX321" s="18">
        <f t="shared" si="968"/>
        <v>0</v>
      </c>
      <c r="BY321" s="18">
        <f t="shared" si="968"/>
        <v>0</v>
      </c>
      <c r="BZ321" s="18">
        <f t="shared" si="858"/>
        <v>0</v>
      </c>
      <c r="CA321" s="18">
        <f t="shared" si="968"/>
        <v>0</v>
      </c>
      <c r="CB321" s="18">
        <f t="shared" si="968"/>
        <v>0</v>
      </c>
      <c r="CC321" s="18">
        <f t="shared" si="968"/>
        <v>0</v>
      </c>
      <c r="CD321" s="18">
        <f t="shared" si="968"/>
        <v>0</v>
      </c>
      <c r="CE321" s="18">
        <f t="shared" si="968"/>
        <v>0</v>
      </c>
      <c r="CF321" s="18">
        <f t="shared" si="968"/>
        <v>0</v>
      </c>
      <c r="CG321" s="18">
        <f t="shared" si="968"/>
        <v>0</v>
      </c>
      <c r="CH321" s="18">
        <f t="shared" si="968"/>
        <v>0</v>
      </c>
      <c r="CI321" s="18">
        <f t="shared" si="968"/>
        <v>0</v>
      </c>
      <c r="CJ321" s="18">
        <f t="shared" si="968"/>
        <v>0</v>
      </c>
      <c r="CK321" s="18">
        <f t="shared" si="968"/>
        <v>0</v>
      </c>
      <c r="CL321" s="18">
        <f t="shared" si="968"/>
        <v>0</v>
      </c>
      <c r="CM321" s="18">
        <f t="shared" si="968"/>
        <v>0</v>
      </c>
      <c r="CN321" s="18">
        <f t="shared" si="968"/>
        <v>0</v>
      </c>
      <c r="CO321" s="18"/>
      <c r="CP321" s="18"/>
      <c r="CQ321" s="18"/>
      <c r="CR321" s="18"/>
      <c r="CS321" s="18">
        <f t="shared" si="968"/>
        <v>0</v>
      </c>
      <c r="CT321" s="18"/>
      <c r="CU321" s="18"/>
      <c r="CV321" s="18"/>
      <c r="CW321" s="18">
        <f t="shared" si="968"/>
        <v>0</v>
      </c>
      <c r="CX321" s="18">
        <f t="shared" si="968"/>
        <v>0</v>
      </c>
      <c r="CY321" s="18">
        <f t="shared" si="968"/>
        <v>0</v>
      </c>
      <c r="CZ321" s="46">
        <f t="shared" si="968"/>
        <v>0</v>
      </c>
      <c r="DA321" s="57"/>
    </row>
    <row r="322" spans="1:105" ht="31.5" x14ac:dyDescent="0.25">
      <c r="A322" s="80" t="s">
        <v>1</v>
      </c>
      <c r="B322" s="21" t="s">
        <v>92</v>
      </c>
      <c r="C322" s="31" t="s">
        <v>355</v>
      </c>
      <c r="D322" s="18">
        <f>SUM(E322+BZ322+CW322)</f>
        <v>46487857</v>
      </c>
      <c r="E322" s="19">
        <f>SUM(F322+BA322)</f>
        <v>46487857</v>
      </c>
      <c r="F322" s="19">
        <f>SUM(G322+H322+I322+P322+S322+T322+U322+AD322)</f>
        <v>14482857</v>
      </c>
      <c r="G322" s="19">
        <v>0</v>
      </c>
      <c r="H322" s="19">
        <v>0</v>
      </c>
      <c r="I322" s="19">
        <f t="shared" si="939"/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f t="shared" si="940"/>
        <v>0</v>
      </c>
      <c r="Q322" s="19">
        <v>0</v>
      </c>
      <c r="R322" s="19">
        <v>0</v>
      </c>
      <c r="S322" s="19">
        <v>0</v>
      </c>
      <c r="T322" s="19">
        <v>0</v>
      </c>
      <c r="U322" s="19">
        <f t="shared" ref="U322" si="969">SUM(V322:AC322)</f>
        <v>0</v>
      </c>
      <c r="V322" s="19">
        <v>0</v>
      </c>
      <c r="W322" s="19">
        <v>0</v>
      </c>
      <c r="X322" s="19">
        <v>0</v>
      </c>
      <c r="Y322" s="19">
        <v>0</v>
      </c>
      <c r="Z322" s="19">
        <v>0</v>
      </c>
      <c r="AA322" s="19">
        <v>0</v>
      </c>
      <c r="AB322" s="19">
        <v>0</v>
      </c>
      <c r="AC322" s="19">
        <v>0</v>
      </c>
      <c r="AD322" s="19">
        <f>SUM(AE322:AZ322)</f>
        <v>14482857</v>
      </c>
      <c r="AE322" s="19">
        <v>0</v>
      </c>
      <c r="AF322" s="19">
        <v>0</v>
      </c>
      <c r="AG322" s="19">
        <v>0</v>
      </c>
      <c r="AH322" s="19">
        <v>0</v>
      </c>
      <c r="AI322" s="19">
        <v>0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/>
      <c r="AQ322" s="19">
        <v>0</v>
      </c>
      <c r="AR322" s="19">
        <v>0</v>
      </c>
      <c r="AS322" s="19">
        <v>0</v>
      </c>
      <c r="AT322" s="19">
        <v>0</v>
      </c>
      <c r="AU322" s="19">
        <v>0</v>
      </c>
      <c r="AV322" s="19">
        <v>0</v>
      </c>
      <c r="AW322" s="19">
        <v>0</v>
      </c>
      <c r="AX322" s="19">
        <v>0</v>
      </c>
      <c r="AY322" s="19">
        <v>0</v>
      </c>
      <c r="AZ322" s="23">
        <f>14010000+472857</f>
        <v>14482857</v>
      </c>
      <c r="BA322" s="19">
        <f>SUM(BB322+BF322+BI322+BK322+BN322)</f>
        <v>32005000</v>
      </c>
      <c r="BB322" s="19">
        <f>SUM(BC322:BE322)</f>
        <v>32005000</v>
      </c>
      <c r="BC322" s="23">
        <v>32005000</v>
      </c>
      <c r="BD322" s="19">
        <v>0</v>
      </c>
      <c r="BE322" s="19">
        <v>0</v>
      </c>
      <c r="BF322" s="19">
        <f>SUM(BH322:BH322)</f>
        <v>0</v>
      </c>
      <c r="BG322" s="19">
        <v>0</v>
      </c>
      <c r="BH322" s="19">
        <v>0</v>
      </c>
      <c r="BI322" s="19"/>
      <c r="BJ322" s="19">
        <v>0</v>
      </c>
      <c r="BK322" s="19">
        <f t="shared" si="942"/>
        <v>0</v>
      </c>
      <c r="BL322" s="19">
        <v>0</v>
      </c>
      <c r="BM322" s="19">
        <v>0</v>
      </c>
      <c r="BN322" s="19">
        <f>SUM(BO322:BY322)</f>
        <v>0</v>
      </c>
      <c r="BO322" s="19">
        <v>0</v>
      </c>
      <c r="BP322" s="19">
        <v>0</v>
      </c>
      <c r="BQ322" s="19">
        <v>0</v>
      </c>
      <c r="BR322" s="19">
        <v>0</v>
      </c>
      <c r="BS322" s="19">
        <v>0</v>
      </c>
      <c r="BT322" s="19">
        <v>0</v>
      </c>
      <c r="BU322" s="19">
        <v>0</v>
      </c>
      <c r="BV322" s="19">
        <v>0</v>
      </c>
      <c r="BW322" s="19">
        <v>0</v>
      </c>
      <c r="BX322" s="19">
        <v>0</v>
      </c>
      <c r="BY322" s="19">
        <v>0</v>
      </c>
      <c r="BZ322" s="19">
        <f t="shared" si="858"/>
        <v>0</v>
      </c>
      <c r="CA322" s="19">
        <f>SUM(CB322+CE322+CK322)</f>
        <v>0</v>
      </c>
      <c r="CB322" s="19">
        <f t="shared" si="943"/>
        <v>0</v>
      </c>
      <c r="CC322" s="19">
        <v>0</v>
      </c>
      <c r="CD322" s="19">
        <v>0</v>
      </c>
      <c r="CE322" s="19">
        <f>SUM(CF322:CJ322)</f>
        <v>0</v>
      </c>
      <c r="CF322" s="19">
        <v>0</v>
      </c>
      <c r="CG322" s="19">
        <v>0</v>
      </c>
      <c r="CH322" s="19">
        <v>0</v>
      </c>
      <c r="CI322" s="19">
        <v>0</v>
      </c>
      <c r="CJ322" s="19">
        <v>0</v>
      </c>
      <c r="CK322" s="19">
        <f>SUM(CL322:CP322)</f>
        <v>0</v>
      </c>
      <c r="CL322" s="19">
        <v>0</v>
      </c>
      <c r="CM322" s="19">
        <v>0</v>
      </c>
      <c r="CN322" s="19">
        <v>0</v>
      </c>
      <c r="CO322" s="19"/>
      <c r="CP322" s="19"/>
      <c r="CQ322" s="19"/>
      <c r="CR322" s="19"/>
      <c r="CS322" s="19">
        <v>0</v>
      </c>
      <c r="CT322" s="19"/>
      <c r="CU322" s="19"/>
      <c r="CV322" s="19"/>
      <c r="CW322" s="19">
        <f t="shared" si="944"/>
        <v>0</v>
      </c>
      <c r="CX322" s="19">
        <f t="shared" si="945"/>
        <v>0</v>
      </c>
      <c r="CY322" s="19">
        <v>0</v>
      </c>
      <c r="CZ322" s="20">
        <v>0</v>
      </c>
    </row>
    <row r="323" spans="1:105" s="58" customFormat="1" ht="16.5" thickBot="1" x14ac:dyDescent="0.3">
      <c r="A323" s="85" t="s">
        <v>1</v>
      </c>
      <c r="B323" s="47" t="s">
        <v>1</v>
      </c>
      <c r="C323" s="48" t="s">
        <v>356</v>
      </c>
      <c r="D323" s="49">
        <f>D16+D48+D59+D62+D67+D85+D99+D102+D105+D112+D124+D145+D159+D168+D181+D215+D221+D225+D290+D293+D218</f>
        <v>5555280442</v>
      </c>
      <c r="E323" s="49">
        <f t="shared" ref="E323:AJ323" si="970">E16+E48+E59+E62+E67+E85+E99+E102+E105+E112+E124+E145+E159+E168+E181+E215+E221+E225+E290+E293</f>
        <v>4833437473</v>
      </c>
      <c r="F323" s="49">
        <f t="shared" si="970"/>
        <v>3287723160</v>
      </c>
      <c r="G323" s="49">
        <f t="shared" si="970"/>
        <v>1884580083</v>
      </c>
      <c r="H323" s="49">
        <f t="shared" si="970"/>
        <v>302712340</v>
      </c>
      <c r="I323" s="49">
        <f t="shared" si="970"/>
        <v>481173425</v>
      </c>
      <c r="J323" s="49">
        <f t="shared" si="970"/>
        <v>135881346</v>
      </c>
      <c r="K323" s="49">
        <f t="shared" si="970"/>
        <v>71251544</v>
      </c>
      <c r="L323" s="49">
        <f t="shared" si="970"/>
        <v>98668366</v>
      </c>
      <c r="M323" s="49">
        <f t="shared" si="970"/>
        <v>9479589</v>
      </c>
      <c r="N323" s="49">
        <f t="shared" si="970"/>
        <v>109564812</v>
      </c>
      <c r="O323" s="49">
        <f t="shared" si="970"/>
        <v>56327768</v>
      </c>
      <c r="P323" s="49">
        <f t="shared" si="970"/>
        <v>10489843</v>
      </c>
      <c r="Q323" s="49">
        <f t="shared" si="970"/>
        <v>328154</v>
      </c>
      <c r="R323" s="49">
        <f t="shared" si="970"/>
        <v>10161689</v>
      </c>
      <c r="S323" s="49">
        <f t="shared" si="970"/>
        <v>390509</v>
      </c>
      <c r="T323" s="49">
        <f t="shared" si="970"/>
        <v>16135828</v>
      </c>
      <c r="U323" s="49">
        <f t="shared" si="970"/>
        <v>193706453</v>
      </c>
      <c r="V323" s="49">
        <f t="shared" si="970"/>
        <v>8022398</v>
      </c>
      <c r="W323" s="49">
        <f t="shared" si="970"/>
        <v>28566933</v>
      </c>
      <c r="X323" s="49">
        <f t="shared" si="970"/>
        <v>23942669</v>
      </c>
      <c r="Y323" s="49">
        <f t="shared" si="970"/>
        <v>12839976</v>
      </c>
      <c r="Z323" s="49">
        <f t="shared" si="970"/>
        <v>2553533</v>
      </c>
      <c r="AA323" s="49">
        <f t="shared" si="970"/>
        <v>1461059</v>
      </c>
      <c r="AB323" s="49">
        <f t="shared" si="970"/>
        <v>114696971</v>
      </c>
      <c r="AC323" s="49">
        <f t="shared" si="970"/>
        <v>1622914</v>
      </c>
      <c r="AD323" s="49">
        <f t="shared" si="970"/>
        <v>398534679</v>
      </c>
      <c r="AE323" s="49">
        <f t="shared" si="970"/>
        <v>76256</v>
      </c>
      <c r="AF323" s="49">
        <f t="shared" si="970"/>
        <v>12156937</v>
      </c>
      <c r="AG323" s="49">
        <f t="shared" si="970"/>
        <v>5584773</v>
      </c>
      <c r="AH323" s="49">
        <f t="shared" si="970"/>
        <v>20259879</v>
      </c>
      <c r="AI323" s="49">
        <f t="shared" si="970"/>
        <v>1108363</v>
      </c>
      <c r="AJ323" s="49">
        <f t="shared" si="970"/>
        <v>2695229</v>
      </c>
      <c r="AK323" s="49">
        <f t="shared" ref="AK323:BP323" si="971">AK16+AK48+AK59+AK62+AK67+AK85+AK99+AK102+AK105+AK112+AK124+AK145+AK159+AK168+AK181+AK215+AK221+AK225+AK290+AK293</f>
        <v>1183944</v>
      </c>
      <c r="AL323" s="49">
        <f t="shared" si="971"/>
        <v>1679728</v>
      </c>
      <c r="AM323" s="49">
        <f t="shared" si="971"/>
        <v>8604798</v>
      </c>
      <c r="AN323" s="49">
        <f t="shared" si="971"/>
        <v>8831208</v>
      </c>
      <c r="AO323" s="49">
        <f t="shared" si="971"/>
        <v>169844</v>
      </c>
      <c r="AP323" s="49">
        <f t="shared" si="971"/>
        <v>50000</v>
      </c>
      <c r="AQ323" s="49">
        <f t="shared" si="971"/>
        <v>23408705</v>
      </c>
      <c r="AR323" s="49">
        <f t="shared" si="971"/>
        <v>7436994</v>
      </c>
      <c r="AS323" s="49">
        <f t="shared" si="971"/>
        <v>1770717</v>
      </c>
      <c r="AT323" s="49">
        <f t="shared" si="971"/>
        <v>689268</v>
      </c>
      <c r="AU323" s="49">
        <f t="shared" si="971"/>
        <v>1836609</v>
      </c>
      <c r="AV323" s="49">
        <f t="shared" si="971"/>
        <v>20969911</v>
      </c>
      <c r="AW323" s="49">
        <f t="shared" si="971"/>
        <v>53622111</v>
      </c>
      <c r="AX323" s="49">
        <f t="shared" si="971"/>
        <v>4471233</v>
      </c>
      <c r="AY323" s="49">
        <f t="shared" si="971"/>
        <v>24779702</v>
      </c>
      <c r="AZ323" s="49">
        <f t="shared" si="971"/>
        <v>197148470</v>
      </c>
      <c r="BA323" s="49">
        <f t="shared" si="971"/>
        <v>1545714313</v>
      </c>
      <c r="BB323" s="49">
        <f t="shared" si="971"/>
        <v>283927261</v>
      </c>
      <c r="BC323" s="49">
        <f t="shared" si="971"/>
        <v>259620170</v>
      </c>
      <c r="BD323" s="49">
        <f t="shared" si="971"/>
        <v>5582989</v>
      </c>
      <c r="BE323" s="49">
        <f t="shared" si="971"/>
        <v>18724102</v>
      </c>
      <c r="BF323" s="49">
        <f t="shared" si="971"/>
        <v>28061460</v>
      </c>
      <c r="BG323" s="49">
        <f t="shared" si="971"/>
        <v>18783700</v>
      </c>
      <c r="BH323" s="49">
        <f t="shared" si="971"/>
        <v>9277760</v>
      </c>
      <c r="BI323" s="49">
        <f t="shared" si="971"/>
        <v>638037825</v>
      </c>
      <c r="BJ323" s="49">
        <f t="shared" si="971"/>
        <v>12969667</v>
      </c>
      <c r="BK323" s="49">
        <f t="shared" si="971"/>
        <v>3354298</v>
      </c>
      <c r="BL323" s="49">
        <f t="shared" si="971"/>
        <v>1103479</v>
      </c>
      <c r="BM323" s="49">
        <f t="shared" si="971"/>
        <v>2250819</v>
      </c>
      <c r="BN323" s="49">
        <f t="shared" si="971"/>
        <v>592333469</v>
      </c>
      <c r="BO323" s="49">
        <f t="shared" si="971"/>
        <v>61711662</v>
      </c>
      <c r="BP323" s="49">
        <f t="shared" si="971"/>
        <v>4471200</v>
      </c>
      <c r="BQ323" s="49">
        <f t="shared" ref="BQ323:BY323" si="972">BQ16+BQ48+BQ59+BQ62+BQ67+BQ85+BQ99+BQ102+BQ105+BQ112+BQ124+BQ145+BQ159+BQ168+BQ181+BQ215+BQ221+BQ225+BQ290+BQ293</f>
        <v>17228769</v>
      </c>
      <c r="BR323" s="49">
        <f t="shared" si="972"/>
        <v>25504374</v>
      </c>
      <c r="BS323" s="49">
        <f t="shared" si="972"/>
        <v>100000</v>
      </c>
      <c r="BT323" s="49">
        <f t="shared" si="972"/>
        <v>328732</v>
      </c>
      <c r="BU323" s="49">
        <f t="shared" si="972"/>
        <v>177892396</v>
      </c>
      <c r="BV323" s="49">
        <f t="shared" si="972"/>
        <v>1910000</v>
      </c>
      <c r="BW323" s="49">
        <f t="shared" si="972"/>
        <v>296784</v>
      </c>
      <c r="BX323" s="49">
        <f t="shared" si="972"/>
        <v>209737286</v>
      </c>
      <c r="BY323" s="49">
        <f t="shared" si="972"/>
        <v>93152266</v>
      </c>
      <c r="BZ323" s="49">
        <f>BZ16+BZ48+BZ59+BZ62+BZ67+BZ85+BZ99+BZ102+BZ105+BZ112+BZ124+BZ145+BZ159+BZ168+BZ181+BZ215+BZ221+BZ225+BZ290+BZ293+BZ218</f>
        <v>621045485</v>
      </c>
      <c r="CA323" s="49">
        <f t="shared" ref="CA323:CP323" si="973">CA16+CA48+CA59+CA62+CA67+CA85+CA99+CA102+CA105+CA112+CA124+CA145+CA159+CA168+CA181+CA215+CA221+CA225+CA290+CA293</f>
        <v>452506335</v>
      </c>
      <c r="CB323" s="49">
        <f t="shared" si="973"/>
        <v>131477438</v>
      </c>
      <c r="CC323" s="49">
        <f t="shared" si="973"/>
        <v>220580</v>
      </c>
      <c r="CD323" s="49">
        <f t="shared" si="973"/>
        <v>131256858</v>
      </c>
      <c r="CE323" s="49">
        <f t="shared" si="973"/>
        <v>182356789</v>
      </c>
      <c r="CF323" s="49">
        <f t="shared" si="973"/>
        <v>1921000</v>
      </c>
      <c r="CG323" s="49">
        <f t="shared" si="973"/>
        <v>146941834</v>
      </c>
      <c r="CH323" s="49">
        <f t="shared" si="973"/>
        <v>18096205</v>
      </c>
      <c r="CI323" s="49">
        <f t="shared" si="973"/>
        <v>12695250</v>
      </c>
      <c r="CJ323" s="49">
        <f t="shared" si="973"/>
        <v>2702500</v>
      </c>
      <c r="CK323" s="49">
        <f t="shared" si="973"/>
        <v>138672108</v>
      </c>
      <c r="CL323" s="49">
        <f t="shared" si="973"/>
        <v>100000</v>
      </c>
      <c r="CM323" s="49">
        <f t="shared" si="973"/>
        <v>94933770</v>
      </c>
      <c r="CN323" s="49">
        <f t="shared" si="973"/>
        <v>41563704</v>
      </c>
      <c r="CO323" s="49">
        <f t="shared" si="973"/>
        <v>74634</v>
      </c>
      <c r="CP323" s="49">
        <f t="shared" si="973"/>
        <v>2000000</v>
      </c>
      <c r="CQ323" s="49">
        <f>CQ16+CQ48+CQ59+CQ62+CQ67+CQ85+CQ99+CQ102+CQ105+CQ112+CQ124+CQ145+CQ159+CQ168+CQ181+CQ215+CQ221+CQ225+CQ290+CQ293+CQ218</f>
        <v>61520</v>
      </c>
      <c r="CR323" s="49">
        <f>CR16+CR48+CR59+CR62+CR67+CR85+CR99+CR102+CR105+CR112+CR124+CR145+CR159+CR168+CR181+CR215+CR221+CR225+CR290+CR293+CR218</f>
        <v>61520</v>
      </c>
      <c r="CS323" s="49">
        <f t="shared" ref="CS323:CZ323" si="974">CS16+CS48+CS59+CS62+CS67+CS85+CS99+CS102+CS105+CS112+CS124+CS145+CS159+CS168+CS181+CS215+CS221+CS225+CS290+CS293</f>
        <v>168477630</v>
      </c>
      <c r="CT323" s="49">
        <f t="shared" si="974"/>
        <v>8527451</v>
      </c>
      <c r="CU323" s="49">
        <f t="shared" si="974"/>
        <v>8527451</v>
      </c>
      <c r="CV323" s="49">
        <f t="shared" si="974"/>
        <v>8527451</v>
      </c>
      <c r="CW323" s="49">
        <f t="shared" si="974"/>
        <v>92270033</v>
      </c>
      <c r="CX323" s="49">
        <f t="shared" si="974"/>
        <v>92270033</v>
      </c>
      <c r="CY323" s="49">
        <f t="shared" si="974"/>
        <v>3793116</v>
      </c>
      <c r="CZ323" s="64">
        <f t="shared" si="974"/>
        <v>88476917</v>
      </c>
      <c r="DA323" s="57"/>
    </row>
    <row r="324" spans="1:105" x14ac:dyDescent="0.25">
      <c r="D324" s="61"/>
    </row>
    <row r="325" spans="1:105" ht="14.25" customHeight="1" x14ac:dyDescent="0.25"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  <c r="AA325" s="65"/>
      <c r="AB325" s="65"/>
      <c r="AC325" s="65"/>
      <c r="AD325" s="65"/>
      <c r="AE325" s="65"/>
      <c r="AF325" s="65"/>
      <c r="AG325" s="65"/>
      <c r="AH325" s="65"/>
      <c r="AI325" s="65"/>
      <c r="AJ325" s="65"/>
      <c r="AK325" s="65"/>
      <c r="AL325" s="65"/>
      <c r="AM325" s="65"/>
      <c r="AN325" s="65"/>
      <c r="AO325" s="65"/>
      <c r="AP325" s="65"/>
      <c r="AQ325" s="65"/>
      <c r="AR325" s="65"/>
      <c r="AS325" s="65"/>
      <c r="AT325" s="65"/>
      <c r="AU325" s="65"/>
      <c r="AV325" s="65"/>
      <c r="AW325" s="65"/>
      <c r="AX325" s="65"/>
      <c r="AY325" s="65"/>
      <c r="AZ325" s="65"/>
      <c r="BA325" s="65"/>
      <c r="BB325" s="65"/>
      <c r="BC325" s="65"/>
      <c r="BD325" s="65"/>
      <c r="BE325" s="65"/>
      <c r="BF325" s="65"/>
      <c r="BG325" s="65"/>
      <c r="BH325" s="65"/>
      <c r="BI325" s="65"/>
      <c r="BJ325" s="65"/>
      <c r="BK325" s="65"/>
      <c r="BL325" s="65"/>
      <c r="BM325" s="65"/>
      <c r="BN325" s="65"/>
      <c r="BO325" s="65"/>
      <c r="BP325" s="65"/>
      <c r="BQ325" s="65"/>
      <c r="BR325" s="65"/>
      <c r="BS325" s="65"/>
      <c r="BT325" s="65"/>
      <c r="BU325" s="65"/>
      <c r="BV325" s="65"/>
      <c r="BW325" s="65"/>
      <c r="BX325" s="65"/>
      <c r="BY325" s="65"/>
      <c r="BZ325" s="65"/>
      <c r="CA325" s="65"/>
      <c r="CB325" s="65"/>
      <c r="CC325" s="65"/>
      <c r="CD325" s="65"/>
      <c r="CE325" s="65"/>
      <c r="CF325" s="65"/>
      <c r="CG325" s="65"/>
      <c r="CH325" s="65"/>
      <c r="CI325" s="65"/>
      <c r="CJ325" s="65"/>
      <c r="CK325" s="65"/>
      <c r="CL325" s="65"/>
      <c r="CM325" s="65"/>
      <c r="CN325" s="65"/>
      <c r="CO325" s="65"/>
      <c r="CP325" s="65"/>
      <c r="CQ325" s="65"/>
      <c r="CR325" s="65"/>
      <c r="CS325" s="65"/>
      <c r="CT325" s="65"/>
      <c r="CU325" s="65"/>
      <c r="CV325" s="65"/>
      <c r="CW325" s="65"/>
      <c r="CX325" s="65"/>
      <c r="CY325" s="65"/>
      <c r="CZ325" s="65"/>
      <c r="DA325" s="65"/>
    </row>
    <row r="326" spans="1:105" x14ac:dyDescent="0.25"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  <c r="AA326" s="65"/>
      <c r="AB326" s="65"/>
      <c r="AC326" s="65"/>
      <c r="AD326" s="65"/>
      <c r="AE326" s="65"/>
      <c r="AF326" s="65"/>
      <c r="AG326" s="65"/>
      <c r="AH326" s="65"/>
      <c r="AI326" s="65"/>
      <c r="AJ326" s="65"/>
      <c r="AK326" s="65"/>
      <c r="AL326" s="65"/>
      <c r="AM326" s="65"/>
      <c r="AN326" s="65"/>
      <c r="AO326" s="65"/>
      <c r="AP326" s="65"/>
      <c r="AQ326" s="65"/>
      <c r="AR326" s="65"/>
      <c r="AS326" s="65"/>
      <c r="AT326" s="65"/>
      <c r="AU326" s="65"/>
      <c r="AV326" s="65"/>
      <c r="AW326" s="65"/>
      <c r="AX326" s="65"/>
      <c r="AY326" s="65"/>
      <c r="AZ326" s="65"/>
      <c r="BA326" s="65"/>
      <c r="BB326" s="65"/>
      <c r="BC326" s="65"/>
      <c r="BD326" s="65"/>
      <c r="BE326" s="65"/>
      <c r="BF326" s="65"/>
      <c r="BG326" s="65"/>
      <c r="BH326" s="65"/>
      <c r="BI326" s="65"/>
      <c r="BJ326" s="65"/>
      <c r="BK326" s="65"/>
      <c r="BL326" s="65"/>
      <c r="BM326" s="65"/>
      <c r="BN326" s="65"/>
      <c r="BO326" s="65"/>
      <c r="BP326" s="65"/>
      <c r="BQ326" s="65"/>
      <c r="BR326" s="65"/>
      <c r="BS326" s="65"/>
      <c r="BT326" s="65"/>
      <c r="BU326" s="65"/>
      <c r="BV326" s="65"/>
      <c r="BW326" s="65"/>
      <c r="BX326" s="65"/>
      <c r="BY326" s="65"/>
      <c r="BZ326" s="65"/>
      <c r="CA326" s="65"/>
      <c r="CB326" s="65"/>
      <c r="CC326" s="65"/>
      <c r="CD326" s="65"/>
      <c r="CE326" s="65"/>
      <c r="CF326" s="65"/>
      <c r="CG326" s="65"/>
      <c r="CH326" s="65"/>
      <c r="CI326" s="65"/>
      <c r="CJ326" s="65"/>
      <c r="CK326" s="65"/>
      <c r="CL326" s="65"/>
      <c r="CM326" s="65"/>
      <c r="CN326" s="65"/>
      <c r="CO326" s="65"/>
      <c r="CP326" s="65"/>
      <c r="CQ326" s="65"/>
      <c r="CR326" s="65"/>
      <c r="CS326" s="65"/>
      <c r="CT326" s="65"/>
      <c r="CU326" s="65"/>
      <c r="CV326" s="65"/>
      <c r="CW326" s="65"/>
      <c r="CX326" s="65"/>
      <c r="CY326" s="65"/>
      <c r="CZ326" s="65"/>
      <c r="DA326" s="65"/>
    </row>
  </sheetData>
  <mergeCells count="109">
    <mergeCell ref="P13:P14"/>
    <mergeCell ref="Q13:Q14"/>
    <mergeCell ref="R13:R14"/>
    <mergeCell ref="S13:S14"/>
    <mergeCell ref="AH13:AH14"/>
    <mergeCell ref="M1:Q1"/>
    <mergeCell ref="B13:B15"/>
    <mergeCell ref="C13:C15"/>
    <mergeCell ref="D13:D15"/>
    <mergeCell ref="O13:O14"/>
    <mergeCell ref="J13:J14"/>
    <mergeCell ref="K13:K14"/>
    <mergeCell ref="L13:L14"/>
    <mergeCell ref="M13:M14"/>
    <mergeCell ref="N13:N14"/>
    <mergeCell ref="F13:F14"/>
    <mergeCell ref="G13:G14"/>
    <mergeCell ref="H13:H14"/>
    <mergeCell ref="E13:E14"/>
    <mergeCell ref="I13:I14"/>
    <mergeCell ref="BJ13:BJ14"/>
    <mergeCell ref="CQ13:CQ14"/>
    <mergeCell ref="AG13:AG14"/>
    <mergeCell ref="AI13:AI14"/>
    <mergeCell ref="X13:X14"/>
    <mergeCell ref="Y13:Y14"/>
    <mergeCell ref="Z13:Z14"/>
    <mergeCell ref="U13:U14"/>
    <mergeCell ref="V13:V14"/>
    <mergeCell ref="W13:W14"/>
    <mergeCell ref="AA13:AA14"/>
    <mergeCell ref="AB13:AB14"/>
    <mergeCell ref="AQ13:AQ14"/>
    <mergeCell ref="AL13:AL14"/>
    <mergeCell ref="AO13:AO14"/>
    <mergeCell ref="AJ13:AJ14"/>
    <mergeCell ref="AK13:AK14"/>
    <mergeCell ref="CR13:CR14"/>
    <mergeCell ref="CZ13:CZ14"/>
    <mergeCell ref="CO13:CO14"/>
    <mergeCell ref="CB13:CB14"/>
    <mergeCell ref="CC13:CC14"/>
    <mergeCell ref="CD13:CD14"/>
    <mergeCell ref="CE13:CE14"/>
    <mergeCell ref="CM13:CM14"/>
    <mergeCell ref="CJ13:CJ14"/>
    <mergeCell ref="CG13:CG14"/>
    <mergeCell ref="CT13:CT14"/>
    <mergeCell ref="CU13:CU14"/>
    <mergeCell ref="CV13:CV14"/>
    <mergeCell ref="CW13:CW14"/>
    <mergeCell ref="CX13:CX14"/>
    <mergeCell ref="CL13:CL14"/>
    <mergeCell ref="CN13:CN14"/>
    <mergeCell ref="CP13:CP14"/>
    <mergeCell ref="CF13:CF14"/>
    <mergeCell ref="CI13:CI14"/>
    <mergeCell ref="CK13:CK14"/>
    <mergeCell ref="CS13:CS14"/>
    <mergeCell ref="CY13:CY14"/>
    <mergeCell ref="CH13:CH14"/>
    <mergeCell ref="A14:A15"/>
    <mergeCell ref="BW13:BW14"/>
    <mergeCell ref="BX13:BX14"/>
    <mergeCell ref="BY13:BY14"/>
    <mergeCell ref="BZ13:BZ14"/>
    <mergeCell ref="BQ13:BQ14"/>
    <mergeCell ref="BN13:BN14"/>
    <mergeCell ref="BO13:BO14"/>
    <mergeCell ref="BP13:BP14"/>
    <mergeCell ref="BC13:BC14"/>
    <mergeCell ref="AR13:AR14"/>
    <mergeCell ref="BD13:BD14"/>
    <mergeCell ref="BE13:BE14"/>
    <mergeCell ref="BF13:BF14"/>
    <mergeCell ref="BR13:BR14"/>
    <mergeCell ref="BS13:BS14"/>
    <mergeCell ref="T13:T14"/>
    <mergeCell ref="BV13:BV14"/>
    <mergeCell ref="BU13:BU14"/>
    <mergeCell ref="BT13:BT14"/>
    <mergeCell ref="AM13:AM14"/>
    <mergeCell ref="AN13:AN14"/>
    <mergeCell ref="AC13:AC14"/>
    <mergeCell ref="AD13:AD14"/>
    <mergeCell ref="M5:Q5"/>
    <mergeCell ref="L2:Q2"/>
    <mergeCell ref="M3:Q3"/>
    <mergeCell ref="L4:Q4"/>
    <mergeCell ref="CA13:CA14"/>
    <mergeCell ref="AS13:AS14"/>
    <mergeCell ref="AT13:AT14"/>
    <mergeCell ref="AU13:AU14"/>
    <mergeCell ref="AV13:AV14"/>
    <mergeCell ref="AX13:AX14"/>
    <mergeCell ref="AW13:AW14"/>
    <mergeCell ref="AP13:AP14"/>
    <mergeCell ref="AE13:AE14"/>
    <mergeCell ref="AF13:AF14"/>
    <mergeCell ref="BM13:BM14"/>
    <mergeCell ref="BK13:BK14"/>
    <mergeCell ref="BB13:BB14"/>
    <mergeCell ref="AZ13:AZ14"/>
    <mergeCell ref="BA13:BA14"/>
    <mergeCell ref="AY13:AY14"/>
    <mergeCell ref="BL13:BL14"/>
    <mergeCell ref="BG13:BG14"/>
    <mergeCell ref="BH13:BH14"/>
    <mergeCell ref="BI13:BI14"/>
  </mergeCells>
  <pageMargins left="0.23622047244094491" right="0.15748031496062992" top="0.35433070866141736" bottom="0.23622047244094491" header="0.19685039370078741" footer="0.19685039370078741"/>
  <pageSetup paperSize="9" scale="70" firstPageNumber="8" fitToWidth="7" fitToHeight="12" orientation="landscape" useFirstPageNumber="1" r:id="rId1"/>
  <headerFooter>
    <oddHeader>&amp;C&amp;P</oddHeader>
  </headerFooter>
  <rowBreaks count="3" manualBreakCount="3">
    <brk id="72" max="16383" man="1"/>
    <brk id="167" max="16383" man="1"/>
    <brk id="2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 (1341)</vt:lpstr>
      <vt:lpstr>'Приложение № 2 (1341)'!Заголовки_для_печати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2024-06-06T09:29:30Z</dcterms:modified>
</cp:coreProperties>
</file>