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/>
  </bookViews>
  <sheets>
    <sheet name="Приложение № 1 (1341)" sheetId="1" r:id="rId1"/>
  </sheets>
  <definedNames>
    <definedName name="_xlnm.Print_Titles" localSheetId="0">'Приложение № 1 (1341)'!$13:$13</definedName>
    <definedName name="_xlnm.Print_Area" localSheetId="0">'Приложение № 1 (1341)'!$A$1:$K$82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1" i="1" l="1"/>
  <c r="C42" i="1"/>
  <c r="C81" i="1" l="1"/>
  <c r="C56" i="1" l="1"/>
  <c r="F18" i="1"/>
  <c r="F17" i="1"/>
  <c r="E81" i="1" l="1"/>
  <c r="D81" i="1"/>
  <c r="C79" i="1"/>
  <c r="C77" i="1"/>
  <c r="C75" i="1"/>
  <c r="C73" i="1"/>
  <c r="F65" i="1"/>
  <c r="F64" i="1"/>
  <c r="C64" i="1"/>
  <c r="C61" i="1"/>
  <c r="C57" i="1"/>
  <c r="E36" i="1"/>
  <c r="C36" i="1"/>
  <c r="E32" i="1"/>
  <c r="C32" i="1"/>
  <c r="E24" i="1"/>
  <c r="J24" i="1"/>
  <c r="I24" i="1"/>
  <c r="H24" i="1"/>
  <c r="G24" i="1"/>
  <c r="F24" i="1"/>
  <c r="D24" i="1"/>
  <c r="C24" i="1"/>
  <c r="J23" i="1"/>
  <c r="I23" i="1"/>
  <c r="H23" i="1"/>
  <c r="G23" i="1"/>
  <c r="F23" i="1"/>
  <c r="E23" i="1"/>
  <c r="D23" i="1"/>
  <c r="C23" i="1"/>
  <c r="F22" i="1"/>
  <c r="D22" i="1"/>
  <c r="C22" i="1"/>
  <c r="F21" i="1"/>
  <c r="D21" i="1"/>
  <c r="C21" i="1"/>
  <c r="F20" i="1"/>
  <c r="D20" i="1"/>
  <c r="C20" i="1"/>
  <c r="J45" i="1" l="1"/>
  <c r="I45" i="1"/>
  <c r="H45" i="1"/>
  <c r="G45" i="1"/>
  <c r="F45" i="1"/>
  <c r="E45" i="1"/>
  <c r="D45" i="1"/>
  <c r="C45" i="1"/>
  <c r="D47" i="1" l="1"/>
  <c r="E47" i="1"/>
  <c r="F47" i="1"/>
  <c r="G47" i="1"/>
  <c r="H47" i="1"/>
  <c r="I47" i="1"/>
  <c r="J47" i="1"/>
  <c r="C47" i="1"/>
  <c r="D15" i="1" l="1"/>
  <c r="E15" i="1"/>
  <c r="F15" i="1"/>
  <c r="G15" i="1"/>
  <c r="H15" i="1"/>
  <c r="I15" i="1"/>
  <c r="J15" i="1"/>
  <c r="C15" i="1"/>
  <c r="K24" i="1"/>
  <c r="K23" i="1" l="1"/>
  <c r="D41" i="1" l="1"/>
  <c r="E41" i="1"/>
  <c r="F41" i="1"/>
  <c r="G41" i="1"/>
  <c r="H41" i="1"/>
  <c r="I41" i="1"/>
  <c r="J41" i="1"/>
  <c r="C41" i="1"/>
  <c r="D26" i="1" l="1"/>
  <c r="E26" i="1"/>
  <c r="F26" i="1"/>
  <c r="G26" i="1"/>
  <c r="H26" i="1"/>
  <c r="I26" i="1"/>
  <c r="J26" i="1"/>
  <c r="C26" i="1"/>
  <c r="D33" i="1"/>
  <c r="E33" i="1"/>
  <c r="F33" i="1"/>
  <c r="G33" i="1"/>
  <c r="H33" i="1"/>
  <c r="I33" i="1"/>
  <c r="J33" i="1"/>
  <c r="C33" i="1"/>
  <c r="D44" i="1"/>
  <c r="E44" i="1"/>
  <c r="F44" i="1"/>
  <c r="G44" i="1"/>
  <c r="H44" i="1"/>
  <c r="I44" i="1"/>
  <c r="J44" i="1"/>
  <c r="C44" i="1"/>
  <c r="K81" i="1"/>
  <c r="K79" i="1"/>
  <c r="K77" i="1"/>
  <c r="K75" i="1"/>
  <c r="K73" i="1"/>
  <c r="K71" i="1"/>
  <c r="K69" i="1"/>
  <c r="K67" i="1"/>
  <c r="K65" i="1"/>
  <c r="K64" i="1"/>
  <c r="K61" i="1"/>
  <c r="K59" i="1"/>
  <c r="K57" i="1"/>
  <c r="K56" i="1"/>
  <c r="K54" i="1"/>
  <c r="K53" i="1"/>
  <c r="K52" i="1"/>
  <c r="K51" i="1"/>
  <c r="K50" i="1"/>
  <c r="K49" i="1"/>
  <c r="K48" i="1"/>
  <c r="K47" i="1"/>
  <c r="K45" i="1"/>
  <c r="K42" i="1"/>
  <c r="K39" i="1"/>
  <c r="K38" i="1"/>
  <c r="K37" i="1"/>
  <c r="K36" i="1"/>
  <c r="K35" i="1"/>
  <c r="K34" i="1"/>
  <c r="K32" i="1"/>
  <c r="K30" i="1"/>
  <c r="K29" i="1"/>
  <c r="K28" i="1"/>
  <c r="K27" i="1"/>
  <c r="K22" i="1"/>
  <c r="K21" i="1"/>
  <c r="K20" i="1"/>
  <c r="K19" i="1"/>
  <c r="K18" i="1"/>
  <c r="K17" i="1"/>
  <c r="D63" i="1"/>
  <c r="E63" i="1"/>
  <c r="F63" i="1"/>
  <c r="G63" i="1"/>
  <c r="H63" i="1"/>
  <c r="I63" i="1"/>
  <c r="J63" i="1"/>
  <c r="C63" i="1"/>
  <c r="J14" i="1" l="1"/>
  <c r="J82" i="1" s="1"/>
  <c r="I14" i="1"/>
  <c r="I82" i="1" s="1"/>
  <c r="E14" i="1"/>
  <c r="E82" i="1" s="1"/>
  <c r="C14" i="1"/>
  <c r="C82" i="1" s="1"/>
  <c r="G14" i="1"/>
  <c r="G82" i="1" s="1"/>
  <c r="F14" i="1"/>
  <c r="F82" i="1" s="1"/>
  <c r="H14" i="1"/>
  <c r="H82" i="1" s="1"/>
  <c r="D14" i="1"/>
  <c r="D82" i="1" s="1"/>
  <c r="K26" i="1"/>
  <c r="K33" i="1"/>
  <c r="K15" i="1"/>
  <c r="K63" i="1"/>
  <c r="K41" i="1"/>
  <c r="K44" i="1"/>
  <c r="K14" i="1" l="1"/>
  <c r="K82" i="1" l="1"/>
</calcChain>
</file>

<file path=xl/sharedStrings.xml><?xml version="1.0" encoding="utf-8"?>
<sst xmlns="http://schemas.openxmlformats.org/spreadsheetml/2006/main" count="73" uniqueCount="70">
  <si>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</si>
  <si>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</si>
  <si>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</si>
  <si>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</si>
  <si>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</si>
  <si>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</si>
  <si>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</si>
  <si>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</si>
  <si>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</si>
  <si>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</si>
  <si>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</si>
  <si>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</si>
  <si>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</si>
  <si>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</si>
  <si>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</si>
  <si>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</si>
  <si>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</si>
  <si>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</si>
  <si>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</si>
  <si>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</si>
  <si>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</si>
  <si>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</si>
  <si>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</si>
  <si>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</si>
  <si>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</si>
  <si>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</si>
  <si>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</si>
  <si>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</si>
  <si>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</si>
  <si>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</si>
  <si>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</si>
  <si>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</si>
  <si>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</si>
  <si>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</si>
  <si>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</si>
  <si>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</si>
  <si>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</si>
  <si>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</si>
  <si>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</si>
  <si>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</si>
  <si>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</si>
  <si>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</si>
  <si>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</si>
  <si>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</si>
  <si>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</si>
  <si>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</si>
  <si>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</si>
  <si>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</si>
  <si>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</si>
  <si>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</si>
  <si>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</si>
  <si>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</si>
  <si>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</si>
  <si>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</si>
  <si>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</si>
  <si>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</si>
  <si>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</si>
  <si>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</si>
  <si>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</si>
  <si>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</si>
  <si>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</si>
  <si>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</si>
  <si>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</si>
  <si>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Отчисления от единого социального налога на улучшение оснащенности учреждений здравоохранения медицинским оборудованием и приобретение специализированного медицинского автотранспорта</t>
  </si>
  <si>
    <t>Приложение № 1</t>
  </si>
  <si>
    <t xml:space="preserve">Отчисления средств от налога на доходы на цели пенсионного страхования (обеспечения) </t>
  </si>
  <si>
    <t>"О республиканском бюджете на 2024 год"</t>
  </si>
  <si>
    <t>Доходы республиканского бюджета в разрезе основных видов налоговых, неналоговых и иных обязательных платежей на 2024 год</t>
  </si>
  <si>
    <t>в Закон Приднестровской Молдавской Республики</t>
  </si>
  <si>
    <t>"О внесении изменений и дополнений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</si>
</sst>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77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4" fontId="2" fillId="4" borderId="8" xfId="1" applyNumberFormat="1" applyFont="1" applyFill="1" applyBorder="1" applyAlignment="1">
      <alignment horizontal="center" vertical="center"/>
    </xf>
    <xf numFmtId="164" fontId="2" fillId="4" borderId="9" xfId="1" applyNumberFormat="1" applyFont="1" applyFill="1" applyBorder="1" applyAlignment="1">
      <alignment horizontal="center" vertical="center"/>
    </xf>
    <xf numFmtId="164" fontId="2" fillId="2" borderId="11" xfId="1" applyNumberFormat="1" applyFont="1" applyFill="1" applyBorder="1" applyAlignment="1">
      <alignment horizontal="center" vertical="center"/>
    </xf>
    <xf numFmtId="164" fontId="2" fillId="2" borderId="12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horizontal="center" vertical="center"/>
    </xf>
    <xf numFmtId="164" fontId="2" fillId="2" borderId="8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4" fontId="6" fillId="2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1" fontId="6" fillId="2" borderId="10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 wrapText="1"/>
    </xf>
    <xf numFmtId="164" fontId="6" fillId="2" borderId="11" xfId="1" applyNumberFormat="1" applyFont="1" applyFill="1" applyBorder="1" applyAlignment="1">
      <alignment horizontal="center" vertical="center"/>
    </xf>
    <xf numFmtId="164" fontId="6" fillId="2" borderId="12" xfId="1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6" fillId="4" borderId="8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6" fillId="4" borderId="9" xfId="1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right" vertical="center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abSelected="1" view="pageBreakPreview" zoomScaleNormal="90" zoomScaleSheetLayoutView="100" workbookViewId="0">
      <pane xSplit="2" ySplit="13" topLeftCell="D80" activePane="bottomRight" state="frozen"/>
      <selection pane="topRight" activeCell="C1" sqref="C1"/>
      <selection pane="bottomLeft" activeCell="A10" sqref="A10"/>
      <selection pane="bottomRight" activeCell="B87" sqref="B87"/>
    </sheetView>
  </sheetViews>
  <sheetFormatPr defaultColWidth="58.28515625" defaultRowHeight="15.75" x14ac:dyDescent="0.25"/>
  <cols>
    <col min="1" max="1" width="9.140625" style="6" customWidth="1"/>
    <col min="2" max="2" width="49.7109375" style="12" customWidth="1"/>
    <col min="3" max="3" width="15.7109375" style="13" bestFit="1" customWidth="1"/>
    <col min="4" max="4" width="14" style="13" customWidth="1"/>
    <col min="5" max="5" width="14" style="13" bestFit="1" customWidth="1"/>
    <col min="6" max="6" width="12.7109375" style="13" customWidth="1"/>
    <col min="7" max="8" width="12.7109375" style="13" bestFit="1" customWidth="1"/>
    <col min="9" max="9" width="15.5703125" style="13" customWidth="1"/>
    <col min="10" max="10" width="12.7109375" style="13" bestFit="1" customWidth="1"/>
    <col min="11" max="11" width="15.7109375" style="13" bestFit="1" customWidth="1"/>
    <col min="12" max="12" width="17.85546875" style="13" customWidth="1"/>
    <col min="13" max="62" width="12.140625" style="13" customWidth="1"/>
    <col min="63" max="126" width="58.28515625" style="13"/>
    <col min="127" max="127" width="9" style="13" customWidth="1"/>
    <col min="128" max="128" width="60.28515625" style="13" customWidth="1"/>
    <col min="129" max="129" width="15.7109375" style="13" bestFit="1" customWidth="1"/>
    <col min="130" max="130" width="14.140625" style="13" bestFit="1" customWidth="1"/>
    <col min="131" max="131" width="14.140625" style="13" customWidth="1"/>
    <col min="132" max="132" width="14.140625" style="13" bestFit="1" customWidth="1"/>
    <col min="133" max="134" width="13.140625" style="13" bestFit="1" customWidth="1"/>
    <col min="135" max="135" width="14" style="13" customWidth="1"/>
    <col min="136" max="136" width="13.140625" style="13" customWidth="1"/>
    <col min="137" max="137" width="16.42578125" style="13" customWidth="1"/>
    <col min="138" max="138" width="18.5703125" style="13" customWidth="1"/>
    <col min="139" max="139" width="8.140625" style="13" bestFit="1" customWidth="1"/>
    <col min="140" max="382" width="58.28515625" style="13"/>
    <col min="383" max="383" width="9" style="13" customWidth="1"/>
    <col min="384" max="384" width="60.28515625" style="13" customWidth="1"/>
    <col min="385" max="385" width="15.7109375" style="13" bestFit="1" customWidth="1"/>
    <col min="386" max="386" width="14.140625" style="13" bestFit="1" customWidth="1"/>
    <col min="387" max="387" width="14.140625" style="13" customWidth="1"/>
    <col min="388" max="388" width="14.140625" style="13" bestFit="1" customWidth="1"/>
    <col min="389" max="390" width="13.140625" style="13" bestFit="1" customWidth="1"/>
    <col min="391" max="391" width="14" style="13" customWidth="1"/>
    <col min="392" max="392" width="13.140625" style="13" customWidth="1"/>
    <col min="393" max="393" width="16.42578125" style="13" customWidth="1"/>
    <col min="394" max="394" width="18.5703125" style="13" customWidth="1"/>
    <col min="395" max="395" width="8.140625" style="13" bestFit="1" customWidth="1"/>
    <col min="396" max="638" width="58.28515625" style="13"/>
    <col min="639" max="639" width="9" style="13" customWidth="1"/>
    <col min="640" max="640" width="60.28515625" style="13" customWidth="1"/>
    <col min="641" max="641" width="15.7109375" style="13" bestFit="1" customWidth="1"/>
    <col min="642" max="642" width="14.140625" style="13" bestFit="1" customWidth="1"/>
    <col min="643" max="643" width="14.140625" style="13" customWidth="1"/>
    <col min="644" max="644" width="14.140625" style="13" bestFit="1" customWidth="1"/>
    <col min="645" max="646" width="13.140625" style="13" bestFit="1" customWidth="1"/>
    <col min="647" max="647" width="14" style="13" customWidth="1"/>
    <col min="648" max="648" width="13.140625" style="13" customWidth="1"/>
    <col min="649" max="649" width="16.42578125" style="13" customWidth="1"/>
    <col min="650" max="650" width="18.5703125" style="13" customWidth="1"/>
    <col min="651" max="651" width="8.140625" style="13" bestFit="1" customWidth="1"/>
    <col min="652" max="894" width="58.28515625" style="13"/>
    <col min="895" max="895" width="9" style="13" customWidth="1"/>
    <col min="896" max="896" width="60.28515625" style="13" customWidth="1"/>
    <col min="897" max="897" width="15.7109375" style="13" bestFit="1" customWidth="1"/>
    <col min="898" max="898" width="14.140625" style="13" bestFit="1" customWidth="1"/>
    <col min="899" max="899" width="14.140625" style="13" customWidth="1"/>
    <col min="900" max="900" width="14.140625" style="13" bestFit="1" customWidth="1"/>
    <col min="901" max="902" width="13.140625" style="13" bestFit="1" customWidth="1"/>
    <col min="903" max="903" width="14" style="13" customWidth="1"/>
    <col min="904" max="904" width="13.140625" style="13" customWidth="1"/>
    <col min="905" max="905" width="16.42578125" style="13" customWidth="1"/>
    <col min="906" max="906" width="18.5703125" style="13" customWidth="1"/>
    <col min="907" max="907" width="8.140625" style="13" bestFit="1" customWidth="1"/>
    <col min="908" max="1150" width="58.28515625" style="13"/>
    <col min="1151" max="1151" width="9" style="13" customWidth="1"/>
    <col min="1152" max="1152" width="60.28515625" style="13" customWidth="1"/>
    <col min="1153" max="1153" width="15.7109375" style="13" bestFit="1" customWidth="1"/>
    <col min="1154" max="1154" width="14.140625" style="13" bestFit="1" customWidth="1"/>
    <col min="1155" max="1155" width="14.140625" style="13" customWidth="1"/>
    <col min="1156" max="1156" width="14.140625" style="13" bestFit="1" customWidth="1"/>
    <col min="1157" max="1158" width="13.140625" style="13" bestFit="1" customWidth="1"/>
    <col min="1159" max="1159" width="14" style="13" customWidth="1"/>
    <col min="1160" max="1160" width="13.140625" style="13" customWidth="1"/>
    <col min="1161" max="1161" width="16.42578125" style="13" customWidth="1"/>
    <col min="1162" max="1162" width="18.5703125" style="13" customWidth="1"/>
    <col min="1163" max="1163" width="8.140625" style="13" bestFit="1" customWidth="1"/>
    <col min="1164" max="1406" width="58.28515625" style="13"/>
    <col min="1407" max="1407" width="9" style="13" customWidth="1"/>
    <col min="1408" max="1408" width="60.28515625" style="13" customWidth="1"/>
    <col min="1409" max="1409" width="15.7109375" style="13" bestFit="1" customWidth="1"/>
    <col min="1410" max="1410" width="14.140625" style="13" bestFit="1" customWidth="1"/>
    <col min="1411" max="1411" width="14.140625" style="13" customWidth="1"/>
    <col min="1412" max="1412" width="14.140625" style="13" bestFit="1" customWidth="1"/>
    <col min="1413" max="1414" width="13.140625" style="13" bestFit="1" customWidth="1"/>
    <col min="1415" max="1415" width="14" style="13" customWidth="1"/>
    <col min="1416" max="1416" width="13.140625" style="13" customWidth="1"/>
    <col min="1417" max="1417" width="16.42578125" style="13" customWidth="1"/>
    <col min="1418" max="1418" width="18.5703125" style="13" customWidth="1"/>
    <col min="1419" max="1419" width="8.140625" style="13" bestFit="1" customWidth="1"/>
    <col min="1420" max="1662" width="58.28515625" style="13"/>
    <col min="1663" max="1663" width="9" style="13" customWidth="1"/>
    <col min="1664" max="1664" width="60.28515625" style="13" customWidth="1"/>
    <col min="1665" max="1665" width="15.7109375" style="13" bestFit="1" customWidth="1"/>
    <col min="1666" max="1666" width="14.140625" style="13" bestFit="1" customWidth="1"/>
    <col min="1667" max="1667" width="14.140625" style="13" customWidth="1"/>
    <col min="1668" max="1668" width="14.140625" style="13" bestFit="1" customWidth="1"/>
    <col min="1669" max="1670" width="13.140625" style="13" bestFit="1" customWidth="1"/>
    <col min="1671" max="1671" width="14" style="13" customWidth="1"/>
    <col min="1672" max="1672" width="13.140625" style="13" customWidth="1"/>
    <col min="1673" max="1673" width="16.42578125" style="13" customWidth="1"/>
    <col min="1674" max="1674" width="18.5703125" style="13" customWidth="1"/>
    <col min="1675" max="1675" width="8.140625" style="13" bestFit="1" customWidth="1"/>
    <col min="1676" max="1918" width="58.28515625" style="13"/>
    <col min="1919" max="1919" width="9" style="13" customWidth="1"/>
    <col min="1920" max="1920" width="60.28515625" style="13" customWidth="1"/>
    <col min="1921" max="1921" width="15.7109375" style="13" bestFit="1" customWidth="1"/>
    <col min="1922" max="1922" width="14.140625" style="13" bestFit="1" customWidth="1"/>
    <col min="1923" max="1923" width="14.140625" style="13" customWidth="1"/>
    <col min="1924" max="1924" width="14.140625" style="13" bestFit="1" customWidth="1"/>
    <col min="1925" max="1926" width="13.140625" style="13" bestFit="1" customWidth="1"/>
    <col min="1927" max="1927" width="14" style="13" customWidth="1"/>
    <col min="1928" max="1928" width="13.140625" style="13" customWidth="1"/>
    <col min="1929" max="1929" width="16.42578125" style="13" customWidth="1"/>
    <col min="1930" max="1930" width="18.5703125" style="13" customWidth="1"/>
    <col min="1931" max="1931" width="8.140625" style="13" bestFit="1" customWidth="1"/>
    <col min="1932" max="2174" width="58.28515625" style="13"/>
    <col min="2175" max="2175" width="9" style="13" customWidth="1"/>
    <col min="2176" max="2176" width="60.28515625" style="13" customWidth="1"/>
    <col min="2177" max="2177" width="15.7109375" style="13" bestFit="1" customWidth="1"/>
    <col min="2178" max="2178" width="14.140625" style="13" bestFit="1" customWidth="1"/>
    <col min="2179" max="2179" width="14.140625" style="13" customWidth="1"/>
    <col min="2180" max="2180" width="14.140625" style="13" bestFit="1" customWidth="1"/>
    <col min="2181" max="2182" width="13.140625" style="13" bestFit="1" customWidth="1"/>
    <col min="2183" max="2183" width="14" style="13" customWidth="1"/>
    <col min="2184" max="2184" width="13.140625" style="13" customWidth="1"/>
    <col min="2185" max="2185" width="16.42578125" style="13" customWidth="1"/>
    <col min="2186" max="2186" width="18.5703125" style="13" customWidth="1"/>
    <col min="2187" max="2187" width="8.140625" style="13" bestFit="1" customWidth="1"/>
    <col min="2188" max="2430" width="58.28515625" style="13"/>
    <col min="2431" max="2431" width="9" style="13" customWidth="1"/>
    <col min="2432" max="2432" width="60.28515625" style="13" customWidth="1"/>
    <col min="2433" max="2433" width="15.7109375" style="13" bestFit="1" customWidth="1"/>
    <col min="2434" max="2434" width="14.140625" style="13" bestFit="1" customWidth="1"/>
    <col min="2435" max="2435" width="14.140625" style="13" customWidth="1"/>
    <col min="2436" max="2436" width="14.140625" style="13" bestFit="1" customWidth="1"/>
    <col min="2437" max="2438" width="13.140625" style="13" bestFit="1" customWidth="1"/>
    <col min="2439" max="2439" width="14" style="13" customWidth="1"/>
    <col min="2440" max="2440" width="13.140625" style="13" customWidth="1"/>
    <col min="2441" max="2441" width="16.42578125" style="13" customWidth="1"/>
    <col min="2442" max="2442" width="18.5703125" style="13" customWidth="1"/>
    <col min="2443" max="2443" width="8.140625" style="13" bestFit="1" customWidth="1"/>
    <col min="2444" max="2686" width="58.28515625" style="13"/>
    <col min="2687" max="2687" width="9" style="13" customWidth="1"/>
    <col min="2688" max="2688" width="60.28515625" style="13" customWidth="1"/>
    <col min="2689" max="2689" width="15.7109375" style="13" bestFit="1" customWidth="1"/>
    <col min="2690" max="2690" width="14.140625" style="13" bestFit="1" customWidth="1"/>
    <col min="2691" max="2691" width="14.140625" style="13" customWidth="1"/>
    <col min="2692" max="2692" width="14.140625" style="13" bestFit="1" customWidth="1"/>
    <col min="2693" max="2694" width="13.140625" style="13" bestFit="1" customWidth="1"/>
    <col min="2695" max="2695" width="14" style="13" customWidth="1"/>
    <col min="2696" max="2696" width="13.140625" style="13" customWidth="1"/>
    <col min="2697" max="2697" width="16.42578125" style="13" customWidth="1"/>
    <col min="2698" max="2698" width="18.5703125" style="13" customWidth="1"/>
    <col min="2699" max="2699" width="8.140625" style="13" bestFit="1" customWidth="1"/>
    <col min="2700" max="2942" width="58.28515625" style="13"/>
    <col min="2943" max="2943" width="9" style="13" customWidth="1"/>
    <col min="2944" max="2944" width="60.28515625" style="13" customWidth="1"/>
    <col min="2945" max="2945" width="15.7109375" style="13" bestFit="1" customWidth="1"/>
    <col min="2946" max="2946" width="14.140625" style="13" bestFit="1" customWidth="1"/>
    <col min="2947" max="2947" width="14.140625" style="13" customWidth="1"/>
    <col min="2948" max="2948" width="14.140625" style="13" bestFit="1" customWidth="1"/>
    <col min="2949" max="2950" width="13.140625" style="13" bestFit="1" customWidth="1"/>
    <col min="2951" max="2951" width="14" style="13" customWidth="1"/>
    <col min="2952" max="2952" width="13.140625" style="13" customWidth="1"/>
    <col min="2953" max="2953" width="16.42578125" style="13" customWidth="1"/>
    <col min="2954" max="2954" width="18.5703125" style="13" customWidth="1"/>
    <col min="2955" max="2955" width="8.140625" style="13" bestFit="1" customWidth="1"/>
    <col min="2956" max="3198" width="58.28515625" style="13"/>
    <col min="3199" max="3199" width="9" style="13" customWidth="1"/>
    <col min="3200" max="3200" width="60.28515625" style="13" customWidth="1"/>
    <col min="3201" max="3201" width="15.7109375" style="13" bestFit="1" customWidth="1"/>
    <col min="3202" max="3202" width="14.140625" style="13" bestFit="1" customWidth="1"/>
    <col min="3203" max="3203" width="14.140625" style="13" customWidth="1"/>
    <col min="3204" max="3204" width="14.140625" style="13" bestFit="1" customWidth="1"/>
    <col min="3205" max="3206" width="13.140625" style="13" bestFit="1" customWidth="1"/>
    <col min="3207" max="3207" width="14" style="13" customWidth="1"/>
    <col min="3208" max="3208" width="13.140625" style="13" customWidth="1"/>
    <col min="3209" max="3209" width="16.42578125" style="13" customWidth="1"/>
    <col min="3210" max="3210" width="18.5703125" style="13" customWidth="1"/>
    <col min="3211" max="3211" width="8.140625" style="13" bestFit="1" customWidth="1"/>
    <col min="3212" max="3454" width="58.28515625" style="13"/>
    <col min="3455" max="3455" width="9" style="13" customWidth="1"/>
    <col min="3456" max="3456" width="60.28515625" style="13" customWidth="1"/>
    <col min="3457" max="3457" width="15.7109375" style="13" bestFit="1" customWidth="1"/>
    <col min="3458" max="3458" width="14.140625" style="13" bestFit="1" customWidth="1"/>
    <col min="3459" max="3459" width="14.140625" style="13" customWidth="1"/>
    <col min="3460" max="3460" width="14.140625" style="13" bestFit="1" customWidth="1"/>
    <col min="3461" max="3462" width="13.140625" style="13" bestFit="1" customWidth="1"/>
    <col min="3463" max="3463" width="14" style="13" customWidth="1"/>
    <col min="3464" max="3464" width="13.140625" style="13" customWidth="1"/>
    <col min="3465" max="3465" width="16.42578125" style="13" customWidth="1"/>
    <col min="3466" max="3466" width="18.5703125" style="13" customWidth="1"/>
    <col min="3467" max="3467" width="8.140625" style="13" bestFit="1" customWidth="1"/>
    <col min="3468" max="3710" width="58.28515625" style="13"/>
    <col min="3711" max="3711" width="9" style="13" customWidth="1"/>
    <col min="3712" max="3712" width="60.28515625" style="13" customWidth="1"/>
    <col min="3713" max="3713" width="15.7109375" style="13" bestFit="1" customWidth="1"/>
    <col min="3714" max="3714" width="14.140625" style="13" bestFit="1" customWidth="1"/>
    <col min="3715" max="3715" width="14.140625" style="13" customWidth="1"/>
    <col min="3716" max="3716" width="14.140625" style="13" bestFit="1" customWidth="1"/>
    <col min="3717" max="3718" width="13.140625" style="13" bestFit="1" customWidth="1"/>
    <col min="3719" max="3719" width="14" style="13" customWidth="1"/>
    <col min="3720" max="3720" width="13.140625" style="13" customWidth="1"/>
    <col min="3721" max="3721" width="16.42578125" style="13" customWidth="1"/>
    <col min="3722" max="3722" width="18.5703125" style="13" customWidth="1"/>
    <col min="3723" max="3723" width="8.140625" style="13" bestFit="1" customWidth="1"/>
    <col min="3724" max="3966" width="58.28515625" style="13"/>
    <col min="3967" max="3967" width="9" style="13" customWidth="1"/>
    <col min="3968" max="3968" width="60.28515625" style="13" customWidth="1"/>
    <col min="3969" max="3969" width="15.7109375" style="13" bestFit="1" customWidth="1"/>
    <col min="3970" max="3970" width="14.140625" style="13" bestFit="1" customWidth="1"/>
    <col min="3971" max="3971" width="14.140625" style="13" customWidth="1"/>
    <col min="3972" max="3972" width="14.140625" style="13" bestFit="1" customWidth="1"/>
    <col min="3973" max="3974" width="13.140625" style="13" bestFit="1" customWidth="1"/>
    <col min="3975" max="3975" width="14" style="13" customWidth="1"/>
    <col min="3976" max="3976" width="13.140625" style="13" customWidth="1"/>
    <col min="3977" max="3977" width="16.42578125" style="13" customWidth="1"/>
    <col min="3978" max="3978" width="18.5703125" style="13" customWidth="1"/>
    <col min="3979" max="3979" width="8.140625" style="13" bestFit="1" customWidth="1"/>
    <col min="3980" max="4222" width="58.28515625" style="13"/>
    <col min="4223" max="4223" width="9" style="13" customWidth="1"/>
    <col min="4224" max="4224" width="60.28515625" style="13" customWidth="1"/>
    <col min="4225" max="4225" width="15.7109375" style="13" bestFit="1" customWidth="1"/>
    <col min="4226" max="4226" width="14.140625" style="13" bestFit="1" customWidth="1"/>
    <col min="4227" max="4227" width="14.140625" style="13" customWidth="1"/>
    <col min="4228" max="4228" width="14.140625" style="13" bestFit="1" customWidth="1"/>
    <col min="4229" max="4230" width="13.140625" style="13" bestFit="1" customWidth="1"/>
    <col min="4231" max="4231" width="14" style="13" customWidth="1"/>
    <col min="4232" max="4232" width="13.140625" style="13" customWidth="1"/>
    <col min="4233" max="4233" width="16.42578125" style="13" customWidth="1"/>
    <col min="4234" max="4234" width="18.5703125" style="13" customWidth="1"/>
    <col min="4235" max="4235" width="8.140625" style="13" bestFit="1" customWidth="1"/>
    <col min="4236" max="4478" width="58.28515625" style="13"/>
    <col min="4479" max="4479" width="9" style="13" customWidth="1"/>
    <col min="4480" max="4480" width="60.28515625" style="13" customWidth="1"/>
    <col min="4481" max="4481" width="15.7109375" style="13" bestFit="1" customWidth="1"/>
    <col min="4482" max="4482" width="14.140625" style="13" bestFit="1" customWidth="1"/>
    <col min="4483" max="4483" width="14.140625" style="13" customWidth="1"/>
    <col min="4484" max="4484" width="14.140625" style="13" bestFit="1" customWidth="1"/>
    <col min="4485" max="4486" width="13.140625" style="13" bestFit="1" customWidth="1"/>
    <col min="4487" max="4487" width="14" style="13" customWidth="1"/>
    <col min="4488" max="4488" width="13.140625" style="13" customWidth="1"/>
    <col min="4489" max="4489" width="16.42578125" style="13" customWidth="1"/>
    <col min="4490" max="4490" width="18.5703125" style="13" customWidth="1"/>
    <col min="4491" max="4491" width="8.140625" style="13" bestFit="1" customWidth="1"/>
    <col min="4492" max="4734" width="58.28515625" style="13"/>
    <col min="4735" max="4735" width="9" style="13" customWidth="1"/>
    <col min="4736" max="4736" width="60.28515625" style="13" customWidth="1"/>
    <col min="4737" max="4737" width="15.7109375" style="13" bestFit="1" customWidth="1"/>
    <col min="4738" max="4738" width="14.140625" style="13" bestFit="1" customWidth="1"/>
    <col min="4739" max="4739" width="14.140625" style="13" customWidth="1"/>
    <col min="4740" max="4740" width="14.140625" style="13" bestFit="1" customWidth="1"/>
    <col min="4741" max="4742" width="13.140625" style="13" bestFit="1" customWidth="1"/>
    <col min="4743" max="4743" width="14" style="13" customWidth="1"/>
    <col min="4744" max="4744" width="13.140625" style="13" customWidth="1"/>
    <col min="4745" max="4745" width="16.42578125" style="13" customWidth="1"/>
    <col min="4746" max="4746" width="18.5703125" style="13" customWidth="1"/>
    <col min="4747" max="4747" width="8.140625" style="13" bestFit="1" customWidth="1"/>
    <col min="4748" max="4990" width="58.28515625" style="13"/>
    <col min="4991" max="4991" width="9" style="13" customWidth="1"/>
    <col min="4992" max="4992" width="60.28515625" style="13" customWidth="1"/>
    <col min="4993" max="4993" width="15.7109375" style="13" bestFit="1" customWidth="1"/>
    <col min="4994" max="4994" width="14.140625" style="13" bestFit="1" customWidth="1"/>
    <col min="4995" max="4995" width="14.140625" style="13" customWidth="1"/>
    <col min="4996" max="4996" width="14.140625" style="13" bestFit="1" customWidth="1"/>
    <col min="4997" max="4998" width="13.140625" style="13" bestFit="1" customWidth="1"/>
    <col min="4999" max="4999" width="14" style="13" customWidth="1"/>
    <col min="5000" max="5000" width="13.140625" style="13" customWidth="1"/>
    <col min="5001" max="5001" width="16.42578125" style="13" customWidth="1"/>
    <col min="5002" max="5002" width="18.5703125" style="13" customWidth="1"/>
    <col min="5003" max="5003" width="8.140625" style="13" bestFit="1" customWidth="1"/>
    <col min="5004" max="5246" width="58.28515625" style="13"/>
    <col min="5247" max="5247" width="9" style="13" customWidth="1"/>
    <col min="5248" max="5248" width="60.28515625" style="13" customWidth="1"/>
    <col min="5249" max="5249" width="15.7109375" style="13" bestFit="1" customWidth="1"/>
    <col min="5250" max="5250" width="14.140625" style="13" bestFit="1" customWidth="1"/>
    <col min="5251" max="5251" width="14.140625" style="13" customWidth="1"/>
    <col min="5252" max="5252" width="14.140625" style="13" bestFit="1" customWidth="1"/>
    <col min="5253" max="5254" width="13.140625" style="13" bestFit="1" customWidth="1"/>
    <col min="5255" max="5255" width="14" style="13" customWidth="1"/>
    <col min="5256" max="5256" width="13.140625" style="13" customWidth="1"/>
    <col min="5257" max="5257" width="16.42578125" style="13" customWidth="1"/>
    <col min="5258" max="5258" width="18.5703125" style="13" customWidth="1"/>
    <col min="5259" max="5259" width="8.140625" style="13" bestFit="1" customWidth="1"/>
    <col min="5260" max="5502" width="58.28515625" style="13"/>
    <col min="5503" max="5503" width="9" style="13" customWidth="1"/>
    <col min="5504" max="5504" width="60.28515625" style="13" customWidth="1"/>
    <col min="5505" max="5505" width="15.7109375" style="13" bestFit="1" customWidth="1"/>
    <col min="5506" max="5506" width="14.140625" style="13" bestFit="1" customWidth="1"/>
    <col min="5507" max="5507" width="14.140625" style="13" customWidth="1"/>
    <col min="5508" max="5508" width="14.140625" style="13" bestFit="1" customWidth="1"/>
    <col min="5509" max="5510" width="13.140625" style="13" bestFit="1" customWidth="1"/>
    <col min="5511" max="5511" width="14" style="13" customWidth="1"/>
    <col min="5512" max="5512" width="13.140625" style="13" customWidth="1"/>
    <col min="5513" max="5513" width="16.42578125" style="13" customWidth="1"/>
    <col min="5514" max="5514" width="18.5703125" style="13" customWidth="1"/>
    <col min="5515" max="5515" width="8.140625" style="13" bestFit="1" customWidth="1"/>
    <col min="5516" max="5758" width="58.28515625" style="13"/>
    <col min="5759" max="5759" width="9" style="13" customWidth="1"/>
    <col min="5760" max="5760" width="60.28515625" style="13" customWidth="1"/>
    <col min="5761" max="5761" width="15.7109375" style="13" bestFit="1" customWidth="1"/>
    <col min="5762" max="5762" width="14.140625" style="13" bestFit="1" customWidth="1"/>
    <col min="5763" max="5763" width="14.140625" style="13" customWidth="1"/>
    <col min="5764" max="5764" width="14.140625" style="13" bestFit="1" customWidth="1"/>
    <col min="5765" max="5766" width="13.140625" style="13" bestFit="1" customWidth="1"/>
    <col min="5767" max="5767" width="14" style="13" customWidth="1"/>
    <col min="5768" max="5768" width="13.140625" style="13" customWidth="1"/>
    <col min="5769" max="5769" width="16.42578125" style="13" customWidth="1"/>
    <col min="5770" max="5770" width="18.5703125" style="13" customWidth="1"/>
    <col min="5771" max="5771" width="8.140625" style="13" bestFit="1" customWidth="1"/>
    <col min="5772" max="6014" width="58.28515625" style="13"/>
    <col min="6015" max="6015" width="9" style="13" customWidth="1"/>
    <col min="6016" max="6016" width="60.28515625" style="13" customWidth="1"/>
    <col min="6017" max="6017" width="15.7109375" style="13" bestFit="1" customWidth="1"/>
    <col min="6018" max="6018" width="14.140625" style="13" bestFit="1" customWidth="1"/>
    <col min="6019" max="6019" width="14.140625" style="13" customWidth="1"/>
    <col min="6020" max="6020" width="14.140625" style="13" bestFit="1" customWidth="1"/>
    <col min="6021" max="6022" width="13.140625" style="13" bestFit="1" customWidth="1"/>
    <col min="6023" max="6023" width="14" style="13" customWidth="1"/>
    <col min="6024" max="6024" width="13.140625" style="13" customWidth="1"/>
    <col min="6025" max="6025" width="16.42578125" style="13" customWidth="1"/>
    <col min="6026" max="6026" width="18.5703125" style="13" customWidth="1"/>
    <col min="6027" max="6027" width="8.140625" style="13" bestFit="1" customWidth="1"/>
    <col min="6028" max="6270" width="58.28515625" style="13"/>
    <col min="6271" max="6271" width="9" style="13" customWidth="1"/>
    <col min="6272" max="6272" width="60.28515625" style="13" customWidth="1"/>
    <col min="6273" max="6273" width="15.7109375" style="13" bestFit="1" customWidth="1"/>
    <col min="6274" max="6274" width="14.140625" style="13" bestFit="1" customWidth="1"/>
    <col min="6275" max="6275" width="14.140625" style="13" customWidth="1"/>
    <col min="6276" max="6276" width="14.140625" style="13" bestFit="1" customWidth="1"/>
    <col min="6277" max="6278" width="13.140625" style="13" bestFit="1" customWidth="1"/>
    <col min="6279" max="6279" width="14" style="13" customWidth="1"/>
    <col min="6280" max="6280" width="13.140625" style="13" customWidth="1"/>
    <col min="6281" max="6281" width="16.42578125" style="13" customWidth="1"/>
    <col min="6282" max="6282" width="18.5703125" style="13" customWidth="1"/>
    <col min="6283" max="6283" width="8.140625" style="13" bestFit="1" customWidth="1"/>
    <col min="6284" max="6526" width="58.28515625" style="13"/>
    <col min="6527" max="6527" width="9" style="13" customWidth="1"/>
    <col min="6528" max="6528" width="60.28515625" style="13" customWidth="1"/>
    <col min="6529" max="6529" width="15.7109375" style="13" bestFit="1" customWidth="1"/>
    <col min="6530" max="6530" width="14.140625" style="13" bestFit="1" customWidth="1"/>
    <col min="6531" max="6531" width="14.140625" style="13" customWidth="1"/>
    <col min="6532" max="6532" width="14.140625" style="13" bestFit="1" customWidth="1"/>
    <col min="6533" max="6534" width="13.140625" style="13" bestFit="1" customWidth="1"/>
    <col min="6535" max="6535" width="14" style="13" customWidth="1"/>
    <col min="6536" max="6536" width="13.140625" style="13" customWidth="1"/>
    <col min="6537" max="6537" width="16.42578125" style="13" customWidth="1"/>
    <col min="6538" max="6538" width="18.5703125" style="13" customWidth="1"/>
    <col min="6539" max="6539" width="8.140625" style="13" bestFit="1" customWidth="1"/>
    <col min="6540" max="6782" width="58.28515625" style="13"/>
    <col min="6783" max="6783" width="9" style="13" customWidth="1"/>
    <col min="6784" max="6784" width="60.28515625" style="13" customWidth="1"/>
    <col min="6785" max="6785" width="15.7109375" style="13" bestFit="1" customWidth="1"/>
    <col min="6786" max="6786" width="14.140625" style="13" bestFit="1" customWidth="1"/>
    <col min="6787" max="6787" width="14.140625" style="13" customWidth="1"/>
    <col min="6788" max="6788" width="14.140625" style="13" bestFit="1" customWidth="1"/>
    <col min="6789" max="6790" width="13.140625" style="13" bestFit="1" customWidth="1"/>
    <col min="6791" max="6791" width="14" style="13" customWidth="1"/>
    <col min="6792" max="6792" width="13.140625" style="13" customWidth="1"/>
    <col min="6793" max="6793" width="16.42578125" style="13" customWidth="1"/>
    <col min="6794" max="6794" width="18.5703125" style="13" customWidth="1"/>
    <col min="6795" max="6795" width="8.140625" style="13" bestFit="1" customWidth="1"/>
    <col min="6796" max="7038" width="58.28515625" style="13"/>
    <col min="7039" max="7039" width="9" style="13" customWidth="1"/>
    <col min="7040" max="7040" width="60.28515625" style="13" customWidth="1"/>
    <col min="7041" max="7041" width="15.7109375" style="13" bestFit="1" customWidth="1"/>
    <col min="7042" max="7042" width="14.140625" style="13" bestFit="1" customWidth="1"/>
    <col min="7043" max="7043" width="14.140625" style="13" customWidth="1"/>
    <col min="7044" max="7044" width="14.140625" style="13" bestFit="1" customWidth="1"/>
    <col min="7045" max="7046" width="13.140625" style="13" bestFit="1" customWidth="1"/>
    <col min="7047" max="7047" width="14" style="13" customWidth="1"/>
    <col min="7048" max="7048" width="13.140625" style="13" customWidth="1"/>
    <col min="7049" max="7049" width="16.42578125" style="13" customWidth="1"/>
    <col min="7050" max="7050" width="18.5703125" style="13" customWidth="1"/>
    <col min="7051" max="7051" width="8.140625" style="13" bestFit="1" customWidth="1"/>
    <col min="7052" max="7294" width="58.28515625" style="13"/>
    <col min="7295" max="7295" width="9" style="13" customWidth="1"/>
    <col min="7296" max="7296" width="60.28515625" style="13" customWidth="1"/>
    <col min="7297" max="7297" width="15.7109375" style="13" bestFit="1" customWidth="1"/>
    <col min="7298" max="7298" width="14.140625" style="13" bestFit="1" customWidth="1"/>
    <col min="7299" max="7299" width="14.140625" style="13" customWidth="1"/>
    <col min="7300" max="7300" width="14.140625" style="13" bestFit="1" customWidth="1"/>
    <col min="7301" max="7302" width="13.140625" style="13" bestFit="1" customWidth="1"/>
    <col min="7303" max="7303" width="14" style="13" customWidth="1"/>
    <col min="7304" max="7304" width="13.140625" style="13" customWidth="1"/>
    <col min="7305" max="7305" width="16.42578125" style="13" customWidth="1"/>
    <col min="7306" max="7306" width="18.5703125" style="13" customWidth="1"/>
    <col min="7307" max="7307" width="8.140625" style="13" bestFit="1" customWidth="1"/>
    <col min="7308" max="7550" width="58.28515625" style="13"/>
    <col min="7551" max="7551" width="9" style="13" customWidth="1"/>
    <col min="7552" max="7552" width="60.28515625" style="13" customWidth="1"/>
    <col min="7553" max="7553" width="15.7109375" style="13" bestFit="1" customWidth="1"/>
    <col min="7554" max="7554" width="14.140625" style="13" bestFit="1" customWidth="1"/>
    <col min="7555" max="7555" width="14.140625" style="13" customWidth="1"/>
    <col min="7556" max="7556" width="14.140625" style="13" bestFit="1" customWidth="1"/>
    <col min="7557" max="7558" width="13.140625" style="13" bestFit="1" customWidth="1"/>
    <col min="7559" max="7559" width="14" style="13" customWidth="1"/>
    <col min="7560" max="7560" width="13.140625" style="13" customWidth="1"/>
    <col min="7561" max="7561" width="16.42578125" style="13" customWidth="1"/>
    <col min="7562" max="7562" width="18.5703125" style="13" customWidth="1"/>
    <col min="7563" max="7563" width="8.140625" style="13" bestFit="1" customWidth="1"/>
    <col min="7564" max="7806" width="58.28515625" style="13"/>
    <col min="7807" max="7807" width="9" style="13" customWidth="1"/>
    <col min="7808" max="7808" width="60.28515625" style="13" customWidth="1"/>
    <col min="7809" max="7809" width="15.7109375" style="13" bestFit="1" customWidth="1"/>
    <col min="7810" max="7810" width="14.140625" style="13" bestFit="1" customWidth="1"/>
    <col min="7811" max="7811" width="14.140625" style="13" customWidth="1"/>
    <col min="7812" max="7812" width="14.140625" style="13" bestFit="1" customWidth="1"/>
    <col min="7813" max="7814" width="13.140625" style="13" bestFit="1" customWidth="1"/>
    <col min="7815" max="7815" width="14" style="13" customWidth="1"/>
    <col min="7816" max="7816" width="13.140625" style="13" customWidth="1"/>
    <col min="7817" max="7817" width="16.42578125" style="13" customWidth="1"/>
    <col min="7818" max="7818" width="18.5703125" style="13" customWidth="1"/>
    <col min="7819" max="7819" width="8.140625" style="13" bestFit="1" customWidth="1"/>
    <col min="7820" max="8062" width="58.28515625" style="13"/>
    <col min="8063" max="8063" width="9" style="13" customWidth="1"/>
    <col min="8064" max="8064" width="60.28515625" style="13" customWidth="1"/>
    <col min="8065" max="8065" width="15.7109375" style="13" bestFit="1" customWidth="1"/>
    <col min="8066" max="8066" width="14.140625" style="13" bestFit="1" customWidth="1"/>
    <col min="8067" max="8067" width="14.140625" style="13" customWidth="1"/>
    <col min="8068" max="8068" width="14.140625" style="13" bestFit="1" customWidth="1"/>
    <col min="8069" max="8070" width="13.140625" style="13" bestFit="1" customWidth="1"/>
    <col min="8071" max="8071" width="14" style="13" customWidth="1"/>
    <col min="8072" max="8072" width="13.140625" style="13" customWidth="1"/>
    <col min="8073" max="8073" width="16.42578125" style="13" customWidth="1"/>
    <col min="8074" max="8074" width="18.5703125" style="13" customWidth="1"/>
    <col min="8075" max="8075" width="8.140625" style="13" bestFit="1" customWidth="1"/>
    <col min="8076" max="8318" width="58.28515625" style="13"/>
    <col min="8319" max="8319" width="9" style="13" customWidth="1"/>
    <col min="8320" max="8320" width="60.28515625" style="13" customWidth="1"/>
    <col min="8321" max="8321" width="15.7109375" style="13" bestFit="1" customWidth="1"/>
    <col min="8322" max="8322" width="14.140625" style="13" bestFit="1" customWidth="1"/>
    <col min="8323" max="8323" width="14.140625" style="13" customWidth="1"/>
    <col min="8324" max="8324" width="14.140625" style="13" bestFit="1" customWidth="1"/>
    <col min="8325" max="8326" width="13.140625" style="13" bestFit="1" customWidth="1"/>
    <col min="8327" max="8327" width="14" style="13" customWidth="1"/>
    <col min="8328" max="8328" width="13.140625" style="13" customWidth="1"/>
    <col min="8329" max="8329" width="16.42578125" style="13" customWidth="1"/>
    <col min="8330" max="8330" width="18.5703125" style="13" customWidth="1"/>
    <col min="8331" max="8331" width="8.140625" style="13" bestFit="1" customWidth="1"/>
    <col min="8332" max="8574" width="58.28515625" style="13"/>
    <col min="8575" max="8575" width="9" style="13" customWidth="1"/>
    <col min="8576" max="8576" width="60.28515625" style="13" customWidth="1"/>
    <col min="8577" max="8577" width="15.7109375" style="13" bestFit="1" customWidth="1"/>
    <col min="8578" max="8578" width="14.140625" style="13" bestFit="1" customWidth="1"/>
    <col min="8579" max="8579" width="14.140625" style="13" customWidth="1"/>
    <col min="8580" max="8580" width="14.140625" style="13" bestFit="1" customWidth="1"/>
    <col min="8581" max="8582" width="13.140625" style="13" bestFit="1" customWidth="1"/>
    <col min="8583" max="8583" width="14" style="13" customWidth="1"/>
    <col min="8584" max="8584" width="13.140625" style="13" customWidth="1"/>
    <col min="8585" max="8585" width="16.42578125" style="13" customWidth="1"/>
    <col min="8586" max="8586" width="18.5703125" style="13" customWidth="1"/>
    <col min="8587" max="8587" width="8.140625" style="13" bestFit="1" customWidth="1"/>
    <col min="8588" max="8830" width="58.28515625" style="13"/>
    <col min="8831" max="8831" width="9" style="13" customWidth="1"/>
    <col min="8832" max="8832" width="60.28515625" style="13" customWidth="1"/>
    <col min="8833" max="8833" width="15.7109375" style="13" bestFit="1" customWidth="1"/>
    <col min="8834" max="8834" width="14.140625" style="13" bestFit="1" customWidth="1"/>
    <col min="8835" max="8835" width="14.140625" style="13" customWidth="1"/>
    <col min="8836" max="8836" width="14.140625" style="13" bestFit="1" customWidth="1"/>
    <col min="8837" max="8838" width="13.140625" style="13" bestFit="1" customWidth="1"/>
    <col min="8839" max="8839" width="14" style="13" customWidth="1"/>
    <col min="8840" max="8840" width="13.140625" style="13" customWidth="1"/>
    <col min="8841" max="8841" width="16.42578125" style="13" customWidth="1"/>
    <col min="8842" max="8842" width="18.5703125" style="13" customWidth="1"/>
    <col min="8843" max="8843" width="8.140625" style="13" bestFit="1" customWidth="1"/>
    <col min="8844" max="9086" width="58.28515625" style="13"/>
    <col min="9087" max="9087" width="9" style="13" customWidth="1"/>
    <col min="9088" max="9088" width="60.28515625" style="13" customWidth="1"/>
    <col min="9089" max="9089" width="15.7109375" style="13" bestFit="1" customWidth="1"/>
    <col min="9090" max="9090" width="14.140625" style="13" bestFit="1" customWidth="1"/>
    <col min="9091" max="9091" width="14.140625" style="13" customWidth="1"/>
    <col min="9092" max="9092" width="14.140625" style="13" bestFit="1" customWidth="1"/>
    <col min="9093" max="9094" width="13.140625" style="13" bestFit="1" customWidth="1"/>
    <col min="9095" max="9095" width="14" style="13" customWidth="1"/>
    <col min="9096" max="9096" width="13.140625" style="13" customWidth="1"/>
    <col min="9097" max="9097" width="16.42578125" style="13" customWidth="1"/>
    <col min="9098" max="9098" width="18.5703125" style="13" customWidth="1"/>
    <col min="9099" max="9099" width="8.140625" style="13" bestFit="1" customWidth="1"/>
    <col min="9100" max="9342" width="58.28515625" style="13"/>
    <col min="9343" max="9343" width="9" style="13" customWidth="1"/>
    <col min="9344" max="9344" width="60.28515625" style="13" customWidth="1"/>
    <col min="9345" max="9345" width="15.7109375" style="13" bestFit="1" customWidth="1"/>
    <col min="9346" max="9346" width="14.140625" style="13" bestFit="1" customWidth="1"/>
    <col min="9347" max="9347" width="14.140625" style="13" customWidth="1"/>
    <col min="9348" max="9348" width="14.140625" style="13" bestFit="1" customWidth="1"/>
    <col min="9349" max="9350" width="13.140625" style="13" bestFit="1" customWidth="1"/>
    <col min="9351" max="9351" width="14" style="13" customWidth="1"/>
    <col min="9352" max="9352" width="13.140625" style="13" customWidth="1"/>
    <col min="9353" max="9353" width="16.42578125" style="13" customWidth="1"/>
    <col min="9354" max="9354" width="18.5703125" style="13" customWidth="1"/>
    <col min="9355" max="9355" width="8.140625" style="13" bestFit="1" customWidth="1"/>
    <col min="9356" max="9598" width="58.28515625" style="13"/>
    <col min="9599" max="9599" width="9" style="13" customWidth="1"/>
    <col min="9600" max="9600" width="60.28515625" style="13" customWidth="1"/>
    <col min="9601" max="9601" width="15.7109375" style="13" bestFit="1" customWidth="1"/>
    <col min="9602" max="9602" width="14.140625" style="13" bestFit="1" customWidth="1"/>
    <col min="9603" max="9603" width="14.140625" style="13" customWidth="1"/>
    <col min="9604" max="9604" width="14.140625" style="13" bestFit="1" customWidth="1"/>
    <col min="9605" max="9606" width="13.140625" style="13" bestFit="1" customWidth="1"/>
    <col min="9607" max="9607" width="14" style="13" customWidth="1"/>
    <col min="9608" max="9608" width="13.140625" style="13" customWidth="1"/>
    <col min="9609" max="9609" width="16.42578125" style="13" customWidth="1"/>
    <col min="9610" max="9610" width="18.5703125" style="13" customWidth="1"/>
    <col min="9611" max="9611" width="8.140625" style="13" bestFit="1" customWidth="1"/>
    <col min="9612" max="9854" width="58.28515625" style="13"/>
    <col min="9855" max="9855" width="9" style="13" customWidth="1"/>
    <col min="9856" max="9856" width="60.28515625" style="13" customWidth="1"/>
    <col min="9857" max="9857" width="15.7109375" style="13" bestFit="1" customWidth="1"/>
    <col min="9858" max="9858" width="14.140625" style="13" bestFit="1" customWidth="1"/>
    <col min="9859" max="9859" width="14.140625" style="13" customWidth="1"/>
    <col min="9860" max="9860" width="14.140625" style="13" bestFit="1" customWidth="1"/>
    <col min="9861" max="9862" width="13.140625" style="13" bestFit="1" customWidth="1"/>
    <col min="9863" max="9863" width="14" style="13" customWidth="1"/>
    <col min="9864" max="9864" width="13.140625" style="13" customWidth="1"/>
    <col min="9865" max="9865" width="16.42578125" style="13" customWidth="1"/>
    <col min="9866" max="9866" width="18.5703125" style="13" customWidth="1"/>
    <col min="9867" max="9867" width="8.140625" style="13" bestFit="1" customWidth="1"/>
    <col min="9868" max="10110" width="58.28515625" style="13"/>
    <col min="10111" max="10111" width="9" style="13" customWidth="1"/>
    <col min="10112" max="10112" width="60.28515625" style="13" customWidth="1"/>
    <col min="10113" max="10113" width="15.7109375" style="13" bestFit="1" customWidth="1"/>
    <col min="10114" max="10114" width="14.140625" style="13" bestFit="1" customWidth="1"/>
    <col min="10115" max="10115" width="14.140625" style="13" customWidth="1"/>
    <col min="10116" max="10116" width="14.140625" style="13" bestFit="1" customWidth="1"/>
    <col min="10117" max="10118" width="13.140625" style="13" bestFit="1" customWidth="1"/>
    <col min="10119" max="10119" width="14" style="13" customWidth="1"/>
    <col min="10120" max="10120" width="13.140625" style="13" customWidth="1"/>
    <col min="10121" max="10121" width="16.42578125" style="13" customWidth="1"/>
    <col min="10122" max="10122" width="18.5703125" style="13" customWidth="1"/>
    <col min="10123" max="10123" width="8.140625" style="13" bestFit="1" customWidth="1"/>
    <col min="10124" max="10366" width="58.28515625" style="13"/>
    <col min="10367" max="10367" width="9" style="13" customWidth="1"/>
    <col min="10368" max="10368" width="60.28515625" style="13" customWidth="1"/>
    <col min="10369" max="10369" width="15.7109375" style="13" bestFit="1" customWidth="1"/>
    <col min="10370" max="10370" width="14.140625" style="13" bestFit="1" customWidth="1"/>
    <col min="10371" max="10371" width="14.140625" style="13" customWidth="1"/>
    <col min="10372" max="10372" width="14.140625" style="13" bestFit="1" customWidth="1"/>
    <col min="10373" max="10374" width="13.140625" style="13" bestFit="1" customWidth="1"/>
    <col min="10375" max="10375" width="14" style="13" customWidth="1"/>
    <col min="10376" max="10376" width="13.140625" style="13" customWidth="1"/>
    <col min="10377" max="10377" width="16.42578125" style="13" customWidth="1"/>
    <col min="10378" max="10378" width="18.5703125" style="13" customWidth="1"/>
    <col min="10379" max="10379" width="8.140625" style="13" bestFit="1" customWidth="1"/>
    <col min="10380" max="10622" width="58.28515625" style="13"/>
    <col min="10623" max="10623" width="9" style="13" customWidth="1"/>
    <col min="10624" max="10624" width="60.28515625" style="13" customWidth="1"/>
    <col min="10625" max="10625" width="15.7109375" style="13" bestFit="1" customWidth="1"/>
    <col min="10626" max="10626" width="14.140625" style="13" bestFit="1" customWidth="1"/>
    <col min="10627" max="10627" width="14.140625" style="13" customWidth="1"/>
    <col min="10628" max="10628" width="14.140625" style="13" bestFit="1" customWidth="1"/>
    <col min="10629" max="10630" width="13.140625" style="13" bestFit="1" customWidth="1"/>
    <col min="10631" max="10631" width="14" style="13" customWidth="1"/>
    <col min="10632" max="10632" width="13.140625" style="13" customWidth="1"/>
    <col min="10633" max="10633" width="16.42578125" style="13" customWidth="1"/>
    <col min="10634" max="10634" width="18.5703125" style="13" customWidth="1"/>
    <col min="10635" max="10635" width="8.140625" style="13" bestFit="1" customWidth="1"/>
    <col min="10636" max="10878" width="58.28515625" style="13"/>
    <col min="10879" max="10879" width="9" style="13" customWidth="1"/>
    <col min="10880" max="10880" width="60.28515625" style="13" customWidth="1"/>
    <col min="10881" max="10881" width="15.7109375" style="13" bestFit="1" customWidth="1"/>
    <col min="10882" max="10882" width="14.140625" style="13" bestFit="1" customWidth="1"/>
    <col min="10883" max="10883" width="14.140625" style="13" customWidth="1"/>
    <col min="10884" max="10884" width="14.140625" style="13" bestFit="1" customWidth="1"/>
    <col min="10885" max="10886" width="13.140625" style="13" bestFit="1" customWidth="1"/>
    <col min="10887" max="10887" width="14" style="13" customWidth="1"/>
    <col min="10888" max="10888" width="13.140625" style="13" customWidth="1"/>
    <col min="10889" max="10889" width="16.42578125" style="13" customWidth="1"/>
    <col min="10890" max="10890" width="18.5703125" style="13" customWidth="1"/>
    <col min="10891" max="10891" width="8.140625" style="13" bestFit="1" customWidth="1"/>
    <col min="10892" max="11134" width="58.28515625" style="13"/>
    <col min="11135" max="11135" width="9" style="13" customWidth="1"/>
    <col min="11136" max="11136" width="60.28515625" style="13" customWidth="1"/>
    <col min="11137" max="11137" width="15.7109375" style="13" bestFit="1" customWidth="1"/>
    <col min="11138" max="11138" width="14.140625" style="13" bestFit="1" customWidth="1"/>
    <col min="11139" max="11139" width="14.140625" style="13" customWidth="1"/>
    <col min="11140" max="11140" width="14.140625" style="13" bestFit="1" customWidth="1"/>
    <col min="11141" max="11142" width="13.140625" style="13" bestFit="1" customWidth="1"/>
    <col min="11143" max="11143" width="14" style="13" customWidth="1"/>
    <col min="11144" max="11144" width="13.140625" style="13" customWidth="1"/>
    <col min="11145" max="11145" width="16.42578125" style="13" customWidth="1"/>
    <col min="11146" max="11146" width="18.5703125" style="13" customWidth="1"/>
    <col min="11147" max="11147" width="8.140625" style="13" bestFit="1" customWidth="1"/>
    <col min="11148" max="11390" width="58.28515625" style="13"/>
    <col min="11391" max="11391" width="9" style="13" customWidth="1"/>
    <col min="11392" max="11392" width="60.28515625" style="13" customWidth="1"/>
    <col min="11393" max="11393" width="15.7109375" style="13" bestFit="1" customWidth="1"/>
    <col min="11394" max="11394" width="14.140625" style="13" bestFit="1" customWidth="1"/>
    <col min="11395" max="11395" width="14.140625" style="13" customWidth="1"/>
    <col min="11396" max="11396" width="14.140625" style="13" bestFit="1" customWidth="1"/>
    <col min="11397" max="11398" width="13.140625" style="13" bestFit="1" customWidth="1"/>
    <col min="11399" max="11399" width="14" style="13" customWidth="1"/>
    <col min="11400" max="11400" width="13.140625" style="13" customWidth="1"/>
    <col min="11401" max="11401" width="16.42578125" style="13" customWidth="1"/>
    <col min="11402" max="11402" width="18.5703125" style="13" customWidth="1"/>
    <col min="11403" max="11403" width="8.140625" style="13" bestFit="1" customWidth="1"/>
    <col min="11404" max="11646" width="58.28515625" style="13"/>
    <col min="11647" max="11647" width="9" style="13" customWidth="1"/>
    <col min="11648" max="11648" width="60.28515625" style="13" customWidth="1"/>
    <col min="11649" max="11649" width="15.7109375" style="13" bestFit="1" customWidth="1"/>
    <col min="11650" max="11650" width="14.140625" style="13" bestFit="1" customWidth="1"/>
    <col min="11651" max="11651" width="14.140625" style="13" customWidth="1"/>
    <col min="11652" max="11652" width="14.140625" style="13" bestFit="1" customWidth="1"/>
    <col min="11653" max="11654" width="13.140625" style="13" bestFit="1" customWidth="1"/>
    <col min="11655" max="11655" width="14" style="13" customWidth="1"/>
    <col min="11656" max="11656" width="13.140625" style="13" customWidth="1"/>
    <col min="11657" max="11657" width="16.42578125" style="13" customWidth="1"/>
    <col min="11658" max="11658" width="18.5703125" style="13" customWidth="1"/>
    <col min="11659" max="11659" width="8.140625" style="13" bestFit="1" customWidth="1"/>
    <col min="11660" max="11902" width="58.28515625" style="13"/>
    <col min="11903" max="11903" width="9" style="13" customWidth="1"/>
    <col min="11904" max="11904" width="60.28515625" style="13" customWidth="1"/>
    <col min="11905" max="11905" width="15.7109375" style="13" bestFit="1" customWidth="1"/>
    <col min="11906" max="11906" width="14.140625" style="13" bestFit="1" customWidth="1"/>
    <col min="11907" max="11907" width="14.140625" style="13" customWidth="1"/>
    <col min="11908" max="11908" width="14.140625" style="13" bestFit="1" customWidth="1"/>
    <col min="11909" max="11910" width="13.140625" style="13" bestFit="1" customWidth="1"/>
    <col min="11911" max="11911" width="14" style="13" customWidth="1"/>
    <col min="11912" max="11912" width="13.140625" style="13" customWidth="1"/>
    <col min="11913" max="11913" width="16.42578125" style="13" customWidth="1"/>
    <col min="11914" max="11914" width="18.5703125" style="13" customWidth="1"/>
    <col min="11915" max="11915" width="8.140625" style="13" bestFit="1" customWidth="1"/>
    <col min="11916" max="12158" width="58.28515625" style="13"/>
    <col min="12159" max="12159" width="9" style="13" customWidth="1"/>
    <col min="12160" max="12160" width="60.28515625" style="13" customWidth="1"/>
    <col min="12161" max="12161" width="15.7109375" style="13" bestFit="1" customWidth="1"/>
    <col min="12162" max="12162" width="14.140625" style="13" bestFit="1" customWidth="1"/>
    <col min="12163" max="12163" width="14.140625" style="13" customWidth="1"/>
    <col min="12164" max="12164" width="14.140625" style="13" bestFit="1" customWidth="1"/>
    <col min="12165" max="12166" width="13.140625" style="13" bestFit="1" customWidth="1"/>
    <col min="12167" max="12167" width="14" style="13" customWidth="1"/>
    <col min="12168" max="12168" width="13.140625" style="13" customWidth="1"/>
    <col min="12169" max="12169" width="16.42578125" style="13" customWidth="1"/>
    <col min="12170" max="12170" width="18.5703125" style="13" customWidth="1"/>
    <col min="12171" max="12171" width="8.140625" style="13" bestFit="1" customWidth="1"/>
    <col min="12172" max="12414" width="58.28515625" style="13"/>
    <col min="12415" max="12415" width="9" style="13" customWidth="1"/>
    <col min="12416" max="12416" width="60.28515625" style="13" customWidth="1"/>
    <col min="12417" max="12417" width="15.7109375" style="13" bestFit="1" customWidth="1"/>
    <col min="12418" max="12418" width="14.140625" style="13" bestFit="1" customWidth="1"/>
    <col min="12419" max="12419" width="14.140625" style="13" customWidth="1"/>
    <col min="12420" max="12420" width="14.140625" style="13" bestFit="1" customWidth="1"/>
    <col min="12421" max="12422" width="13.140625" style="13" bestFit="1" customWidth="1"/>
    <col min="12423" max="12423" width="14" style="13" customWidth="1"/>
    <col min="12424" max="12424" width="13.140625" style="13" customWidth="1"/>
    <col min="12425" max="12425" width="16.42578125" style="13" customWidth="1"/>
    <col min="12426" max="12426" width="18.5703125" style="13" customWidth="1"/>
    <col min="12427" max="12427" width="8.140625" style="13" bestFit="1" customWidth="1"/>
    <col min="12428" max="12670" width="58.28515625" style="13"/>
    <col min="12671" max="12671" width="9" style="13" customWidth="1"/>
    <col min="12672" max="12672" width="60.28515625" style="13" customWidth="1"/>
    <col min="12673" max="12673" width="15.7109375" style="13" bestFit="1" customWidth="1"/>
    <col min="12674" max="12674" width="14.140625" style="13" bestFit="1" customWidth="1"/>
    <col min="12675" max="12675" width="14.140625" style="13" customWidth="1"/>
    <col min="12676" max="12676" width="14.140625" style="13" bestFit="1" customWidth="1"/>
    <col min="12677" max="12678" width="13.140625" style="13" bestFit="1" customWidth="1"/>
    <col min="12679" max="12679" width="14" style="13" customWidth="1"/>
    <col min="12680" max="12680" width="13.140625" style="13" customWidth="1"/>
    <col min="12681" max="12681" width="16.42578125" style="13" customWidth="1"/>
    <col min="12682" max="12682" width="18.5703125" style="13" customWidth="1"/>
    <col min="12683" max="12683" width="8.140625" style="13" bestFit="1" customWidth="1"/>
    <col min="12684" max="12926" width="58.28515625" style="13"/>
    <col min="12927" max="12927" width="9" style="13" customWidth="1"/>
    <col min="12928" max="12928" width="60.28515625" style="13" customWidth="1"/>
    <col min="12929" max="12929" width="15.7109375" style="13" bestFit="1" customWidth="1"/>
    <col min="12930" max="12930" width="14.140625" style="13" bestFit="1" customWidth="1"/>
    <col min="12931" max="12931" width="14.140625" style="13" customWidth="1"/>
    <col min="12932" max="12932" width="14.140625" style="13" bestFit="1" customWidth="1"/>
    <col min="12933" max="12934" width="13.140625" style="13" bestFit="1" customWidth="1"/>
    <col min="12935" max="12935" width="14" style="13" customWidth="1"/>
    <col min="12936" max="12936" width="13.140625" style="13" customWidth="1"/>
    <col min="12937" max="12937" width="16.42578125" style="13" customWidth="1"/>
    <col min="12938" max="12938" width="18.5703125" style="13" customWidth="1"/>
    <col min="12939" max="12939" width="8.140625" style="13" bestFit="1" customWidth="1"/>
    <col min="12940" max="13182" width="58.28515625" style="13"/>
    <col min="13183" max="13183" width="9" style="13" customWidth="1"/>
    <col min="13184" max="13184" width="60.28515625" style="13" customWidth="1"/>
    <col min="13185" max="13185" width="15.7109375" style="13" bestFit="1" customWidth="1"/>
    <col min="13186" max="13186" width="14.140625" style="13" bestFit="1" customWidth="1"/>
    <col min="13187" max="13187" width="14.140625" style="13" customWidth="1"/>
    <col min="13188" max="13188" width="14.140625" style="13" bestFit="1" customWidth="1"/>
    <col min="13189" max="13190" width="13.140625" style="13" bestFit="1" customWidth="1"/>
    <col min="13191" max="13191" width="14" style="13" customWidth="1"/>
    <col min="13192" max="13192" width="13.140625" style="13" customWidth="1"/>
    <col min="13193" max="13193" width="16.42578125" style="13" customWidth="1"/>
    <col min="13194" max="13194" width="18.5703125" style="13" customWidth="1"/>
    <col min="13195" max="13195" width="8.140625" style="13" bestFit="1" customWidth="1"/>
    <col min="13196" max="13438" width="58.28515625" style="13"/>
    <col min="13439" max="13439" width="9" style="13" customWidth="1"/>
    <col min="13440" max="13440" width="60.28515625" style="13" customWidth="1"/>
    <col min="13441" max="13441" width="15.7109375" style="13" bestFit="1" customWidth="1"/>
    <col min="13442" max="13442" width="14.140625" style="13" bestFit="1" customWidth="1"/>
    <col min="13443" max="13443" width="14.140625" style="13" customWidth="1"/>
    <col min="13444" max="13444" width="14.140625" style="13" bestFit="1" customWidth="1"/>
    <col min="13445" max="13446" width="13.140625" style="13" bestFit="1" customWidth="1"/>
    <col min="13447" max="13447" width="14" style="13" customWidth="1"/>
    <col min="13448" max="13448" width="13.140625" style="13" customWidth="1"/>
    <col min="13449" max="13449" width="16.42578125" style="13" customWidth="1"/>
    <col min="13450" max="13450" width="18.5703125" style="13" customWidth="1"/>
    <col min="13451" max="13451" width="8.140625" style="13" bestFit="1" customWidth="1"/>
    <col min="13452" max="13694" width="58.28515625" style="13"/>
    <col min="13695" max="13695" width="9" style="13" customWidth="1"/>
    <col min="13696" max="13696" width="60.28515625" style="13" customWidth="1"/>
    <col min="13697" max="13697" width="15.7109375" style="13" bestFit="1" customWidth="1"/>
    <col min="13698" max="13698" width="14.140625" style="13" bestFit="1" customWidth="1"/>
    <col min="13699" max="13699" width="14.140625" style="13" customWidth="1"/>
    <col min="13700" max="13700" width="14.140625" style="13" bestFit="1" customWidth="1"/>
    <col min="13701" max="13702" width="13.140625" style="13" bestFit="1" customWidth="1"/>
    <col min="13703" max="13703" width="14" style="13" customWidth="1"/>
    <col min="13704" max="13704" width="13.140625" style="13" customWidth="1"/>
    <col min="13705" max="13705" width="16.42578125" style="13" customWidth="1"/>
    <col min="13706" max="13706" width="18.5703125" style="13" customWidth="1"/>
    <col min="13707" max="13707" width="8.140625" style="13" bestFit="1" customWidth="1"/>
    <col min="13708" max="13950" width="58.28515625" style="13"/>
    <col min="13951" max="13951" width="9" style="13" customWidth="1"/>
    <col min="13952" max="13952" width="60.28515625" style="13" customWidth="1"/>
    <col min="13953" max="13953" width="15.7109375" style="13" bestFit="1" customWidth="1"/>
    <col min="13954" max="13954" width="14.140625" style="13" bestFit="1" customWidth="1"/>
    <col min="13955" max="13955" width="14.140625" style="13" customWidth="1"/>
    <col min="13956" max="13956" width="14.140625" style="13" bestFit="1" customWidth="1"/>
    <col min="13957" max="13958" width="13.140625" style="13" bestFit="1" customWidth="1"/>
    <col min="13959" max="13959" width="14" style="13" customWidth="1"/>
    <col min="13960" max="13960" width="13.140625" style="13" customWidth="1"/>
    <col min="13961" max="13961" width="16.42578125" style="13" customWidth="1"/>
    <col min="13962" max="13962" width="18.5703125" style="13" customWidth="1"/>
    <col min="13963" max="13963" width="8.140625" style="13" bestFit="1" customWidth="1"/>
    <col min="13964" max="14206" width="58.28515625" style="13"/>
    <col min="14207" max="14207" width="9" style="13" customWidth="1"/>
    <col min="14208" max="14208" width="60.28515625" style="13" customWidth="1"/>
    <col min="14209" max="14209" width="15.7109375" style="13" bestFit="1" customWidth="1"/>
    <col min="14210" max="14210" width="14.140625" style="13" bestFit="1" customWidth="1"/>
    <col min="14211" max="14211" width="14.140625" style="13" customWidth="1"/>
    <col min="14212" max="14212" width="14.140625" style="13" bestFit="1" customWidth="1"/>
    <col min="14213" max="14214" width="13.140625" style="13" bestFit="1" customWidth="1"/>
    <col min="14215" max="14215" width="14" style="13" customWidth="1"/>
    <col min="14216" max="14216" width="13.140625" style="13" customWidth="1"/>
    <col min="14217" max="14217" width="16.42578125" style="13" customWidth="1"/>
    <col min="14218" max="14218" width="18.5703125" style="13" customWidth="1"/>
    <col min="14219" max="14219" width="8.140625" style="13" bestFit="1" customWidth="1"/>
    <col min="14220" max="14462" width="58.28515625" style="13"/>
    <col min="14463" max="14463" width="9" style="13" customWidth="1"/>
    <col min="14464" max="14464" width="60.28515625" style="13" customWidth="1"/>
    <col min="14465" max="14465" width="15.7109375" style="13" bestFit="1" customWidth="1"/>
    <col min="14466" max="14466" width="14.140625" style="13" bestFit="1" customWidth="1"/>
    <col min="14467" max="14467" width="14.140625" style="13" customWidth="1"/>
    <col min="14468" max="14468" width="14.140625" style="13" bestFit="1" customWidth="1"/>
    <col min="14469" max="14470" width="13.140625" style="13" bestFit="1" customWidth="1"/>
    <col min="14471" max="14471" width="14" style="13" customWidth="1"/>
    <col min="14472" max="14472" width="13.140625" style="13" customWidth="1"/>
    <col min="14473" max="14473" width="16.42578125" style="13" customWidth="1"/>
    <col min="14474" max="14474" width="18.5703125" style="13" customWidth="1"/>
    <col min="14475" max="14475" width="8.140625" style="13" bestFit="1" customWidth="1"/>
    <col min="14476" max="14718" width="58.28515625" style="13"/>
    <col min="14719" max="14719" width="9" style="13" customWidth="1"/>
    <col min="14720" max="14720" width="60.28515625" style="13" customWidth="1"/>
    <col min="14721" max="14721" width="15.7109375" style="13" bestFit="1" customWidth="1"/>
    <col min="14722" max="14722" width="14.140625" style="13" bestFit="1" customWidth="1"/>
    <col min="14723" max="14723" width="14.140625" style="13" customWidth="1"/>
    <col min="14724" max="14724" width="14.140625" style="13" bestFit="1" customWidth="1"/>
    <col min="14725" max="14726" width="13.140625" style="13" bestFit="1" customWidth="1"/>
    <col min="14727" max="14727" width="14" style="13" customWidth="1"/>
    <col min="14728" max="14728" width="13.140625" style="13" customWidth="1"/>
    <col min="14729" max="14729" width="16.42578125" style="13" customWidth="1"/>
    <col min="14730" max="14730" width="18.5703125" style="13" customWidth="1"/>
    <col min="14731" max="14731" width="8.140625" style="13" bestFit="1" customWidth="1"/>
    <col min="14732" max="14974" width="58.28515625" style="13"/>
    <col min="14975" max="14975" width="9" style="13" customWidth="1"/>
    <col min="14976" max="14976" width="60.28515625" style="13" customWidth="1"/>
    <col min="14977" max="14977" width="15.7109375" style="13" bestFit="1" customWidth="1"/>
    <col min="14978" max="14978" width="14.140625" style="13" bestFit="1" customWidth="1"/>
    <col min="14979" max="14979" width="14.140625" style="13" customWidth="1"/>
    <col min="14980" max="14980" width="14.140625" style="13" bestFit="1" customWidth="1"/>
    <col min="14981" max="14982" width="13.140625" style="13" bestFit="1" customWidth="1"/>
    <col min="14983" max="14983" width="14" style="13" customWidth="1"/>
    <col min="14984" max="14984" width="13.140625" style="13" customWidth="1"/>
    <col min="14985" max="14985" width="16.42578125" style="13" customWidth="1"/>
    <col min="14986" max="14986" width="18.5703125" style="13" customWidth="1"/>
    <col min="14987" max="14987" width="8.140625" style="13" bestFit="1" customWidth="1"/>
    <col min="14988" max="15230" width="58.28515625" style="13"/>
    <col min="15231" max="15231" width="9" style="13" customWidth="1"/>
    <col min="15232" max="15232" width="60.28515625" style="13" customWidth="1"/>
    <col min="15233" max="15233" width="15.7109375" style="13" bestFit="1" customWidth="1"/>
    <col min="15234" max="15234" width="14.140625" style="13" bestFit="1" customWidth="1"/>
    <col min="15235" max="15235" width="14.140625" style="13" customWidth="1"/>
    <col min="15236" max="15236" width="14.140625" style="13" bestFit="1" customWidth="1"/>
    <col min="15237" max="15238" width="13.140625" style="13" bestFit="1" customWidth="1"/>
    <col min="15239" max="15239" width="14" style="13" customWidth="1"/>
    <col min="15240" max="15240" width="13.140625" style="13" customWidth="1"/>
    <col min="15241" max="15241" width="16.42578125" style="13" customWidth="1"/>
    <col min="15242" max="15242" width="18.5703125" style="13" customWidth="1"/>
    <col min="15243" max="15243" width="8.140625" style="13" bestFit="1" customWidth="1"/>
    <col min="15244" max="15486" width="58.28515625" style="13"/>
    <col min="15487" max="15487" width="9" style="13" customWidth="1"/>
    <col min="15488" max="15488" width="60.28515625" style="13" customWidth="1"/>
    <col min="15489" max="15489" width="15.7109375" style="13" bestFit="1" customWidth="1"/>
    <col min="15490" max="15490" width="14.140625" style="13" bestFit="1" customWidth="1"/>
    <col min="15491" max="15491" width="14.140625" style="13" customWidth="1"/>
    <col min="15492" max="15492" width="14.140625" style="13" bestFit="1" customWidth="1"/>
    <col min="15493" max="15494" width="13.140625" style="13" bestFit="1" customWidth="1"/>
    <col min="15495" max="15495" width="14" style="13" customWidth="1"/>
    <col min="15496" max="15496" width="13.140625" style="13" customWidth="1"/>
    <col min="15497" max="15497" width="16.42578125" style="13" customWidth="1"/>
    <col min="15498" max="15498" width="18.5703125" style="13" customWidth="1"/>
    <col min="15499" max="15499" width="8.140625" style="13" bestFit="1" customWidth="1"/>
    <col min="15500" max="15742" width="58.28515625" style="13"/>
    <col min="15743" max="15743" width="9" style="13" customWidth="1"/>
    <col min="15744" max="15744" width="60.28515625" style="13" customWidth="1"/>
    <col min="15745" max="15745" width="15.7109375" style="13" bestFit="1" customWidth="1"/>
    <col min="15746" max="15746" width="14.140625" style="13" bestFit="1" customWidth="1"/>
    <col min="15747" max="15747" width="14.140625" style="13" customWidth="1"/>
    <col min="15748" max="15748" width="14.140625" style="13" bestFit="1" customWidth="1"/>
    <col min="15749" max="15750" width="13.140625" style="13" bestFit="1" customWidth="1"/>
    <col min="15751" max="15751" width="14" style="13" customWidth="1"/>
    <col min="15752" max="15752" width="13.140625" style="13" customWidth="1"/>
    <col min="15753" max="15753" width="16.42578125" style="13" customWidth="1"/>
    <col min="15754" max="15754" width="18.5703125" style="13" customWidth="1"/>
    <col min="15755" max="15755" width="8.140625" style="13" bestFit="1" customWidth="1"/>
    <col min="15756" max="15998" width="58.28515625" style="13"/>
    <col min="15999" max="15999" width="9" style="13" customWidth="1"/>
    <col min="16000" max="16000" width="60.28515625" style="13" customWidth="1"/>
    <col min="16001" max="16001" width="15.7109375" style="13" bestFit="1" customWidth="1"/>
    <col min="16002" max="16002" width="14.140625" style="13" bestFit="1" customWidth="1"/>
    <col min="16003" max="16003" width="14.140625" style="13" customWidth="1"/>
    <col min="16004" max="16004" width="14.140625" style="13" bestFit="1" customWidth="1"/>
    <col min="16005" max="16006" width="13.140625" style="13" bestFit="1" customWidth="1"/>
    <col min="16007" max="16007" width="14" style="13" customWidth="1"/>
    <col min="16008" max="16008" width="13.140625" style="13" customWidth="1"/>
    <col min="16009" max="16009" width="16.42578125" style="13" customWidth="1"/>
    <col min="16010" max="16010" width="18.5703125" style="13" customWidth="1"/>
    <col min="16011" max="16011" width="8.140625" style="13" bestFit="1" customWidth="1"/>
    <col min="16012" max="16384" width="58.28515625" style="13"/>
  </cols>
  <sheetData>
    <row r="1" spans="1:11" x14ac:dyDescent="0.25">
      <c r="J1" s="76" t="s">
        <v>64</v>
      </c>
      <c r="K1" s="76"/>
    </row>
    <row r="2" spans="1:11" x14ac:dyDescent="0.25">
      <c r="H2" s="76" t="s">
        <v>59</v>
      </c>
      <c r="I2" s="76"/>
      <c r="J2" s="76"/>
      <c r="K2" s="76"/>
    </row>
    <row r="3" spans="1:11" x14ac:dyDescent="0.25">
      <c r="H3" s="76" t="s">
        <v>69</v>
      </c>
      <c r="I3" s="76"/>
      <c r="J3" s="76"/>
      <c r="K3" s="76"/>
    </row>
    <row r="4" spans="1:11" x14ac:dyDescent="0.25">
      <c r="H4" s="76" t="s">
        <v>68</v>
      </c>
      <c r="I4" s="76"/>
      <c r="J4" s="76"/>
      <c r="K4" s="76"/>
    </row>
    <row r="5" spans="1:11" x14ac:dyDescent="0.25">
      <c r="H5" s="76" t="s">
        <v>66</v>
      </c>
      <c r="I5" s="76"/>
      <c r="J5" s="76"/>
      <c r="K5" s="76"/>
    </row>
    <row r="7" spans="1:11" x14ac:dyDescent="0.25">
      <c r="H7" s="14"/>
      <c r="I7" s="74" t="s">
        <v>64</v>
      </c>
      <c r="J7" s="74"/>
      <c r="K7" s="74"/>
    </row>
    <row r="8" spans="1:11" x14ac:dyDescent="0.25">
      <c r="H8" s="74" t="s">
        <v>59</v>
      </c>
      <c r="I8" s="74"/>
      <c r="J8" s="74"/>
      <c r="K8" s="74"/>
    </row>
    <row r="9" spans="1:11" x14ac:dyDescent="0.25">
      <c r="H9" s="14"/>
      <c r="I9" s="74" t="s">
        <v>66</v>
      </c>
      <c r="J9" s="74"/>
      <c r="K9" s="74"/>
    </row>
    <row r="11" spans="1:11" x14ac:dyDescent="0.25">
      <c r="A11" s="75" t="s">
        <v>67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 ht="16.5" thickBot="1" x14ac:dyDescent="0.3">
      <c r="B12" s="65"/>
      <c r="D12" s="14"/>
      <c r="E12" s="14"/>
      <c r="F12" s="14"/>
      <c r="G12" s="14"/>
      <c r="H12" s="14"/>
      <c r="I12" s="15"/>
      <c r="J12" s="14"/>
      <c r="K12" s="14" t="s">
        <v>0</v>
      </c>
    </row>
    <row r="13" spans="1:11" s="1" customFormat="1" ht="32.25" thickBot="1" x14ac:dyDescent="0.3">
      <c r="A13" s="7" t="s">
        <v>1</v>
      </c>
      <c r="B13" s="3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5" t="s">
        <v>11</v>
      </c>
    </row>
    <row r="14" spans="1:11" s="1" customFormat="1" ht="16.5" thickBot="1" x14ac:dyDescent="0.3">
      <c r="A14" s="33">
        <v>1000000</v>
      </c>
      <c r="B14" s="35" t="s">
        <v>12</v>
      </c>
      <c r="C14" s="70">
        <f>SUM(C15+C26+C32+C41+C44)</f>
        <v>830657057</v>
      </c>
      <c r="D14" s="36">
        <f t="shared" ref="D14:J14" si="0">SUM(D15+D26+D32+D41+D44)</f>
        <v>203034576</v>
      </c>
      <c r="E14" s="36">
        <f t="shared" si="0"/>
        <v>49334693</v>
      </c>
      <c r="F14" s="36">
        <f t="shared" si="0"/>
        <v>44808073</v>
      </c>
      <c r="G14" s="36">
        <f t="shared" si="0"/>
        <v>17233837</v>
      </c>
      <c r="H14" s="36">
        <f t="shared" si="0"/>
        <v>17717373</v>
      </c>
      <c r="I14" s="36">
        <f t="shared" si="0"/>
        <v>15496325</v>
      </c>
      <c r="J14" s="36">
        <f t="shared" si="0"/>
        <v>4774931</v>
      </c>
      <c r="K14" s="72">
        <f>SUM(C14:J14)</f>
        <v>1183056865</v>
      </c>
    </row>
    <row r="15" spans="1:11" s="1" customFormat="1" x14ac:dyDescent="0.25">
      <c r="A15" s="16">
        <v>1010000</v>
      </c>
      <c r="B15" s="34" t="s">
        <v>13</v>
      </c>
      <c r="C15" s="38">
        <f>SUM(C16+C17+C19+C20+C21+C22+C23+C24)</f>
        <v>402687259</v>
      </c>
      <c r="D15" s="38">
        <f t="shared" ref="D15:J15" si="1">SUM(D16+D17+D19+D20+D21+D22+D23+D24)</f>
        <v>199484720</v>
      </c>
      <c r="E15" s="38">
        <f t="shared" si="1"/>
        <v>29706655</v>
      </c>
      <c r="F15" s="38">
        <f t="shared" si="1"/>
        <v>22238261</v>
      </c>
      <c r="G15" s="38">
        <f t="shared" si="1"/>
        <v>6342941</v>
      </c>
      <c r="H15" s="38">
        <f t="shared" si="1"/>
        <v>9844732</v>
      </c>
      <c r="I15" s="38">
        <f t="shared" si="1"/>
        <v>5227252</v>
      </c>
      <c r="J15" s="38">
        <f t="shared" si="1"/>
        <v>3235259</v>
      </c>
      <c r="K15" s="39">
        <f t="shared" ref="K15:K71" si="2">SUM(C15:J15)</f>
        <v>678767079</v>
      </c>
    </row>
    <row r="16" spans="1:11" s="1" customFormat="1" x14ac:dyDescent="0.25">
      <c r="A16" s="8">
        <v>1010100</v>
      </c>
      <c r="B16" s="11" t="s">
        <v>14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1:11" s="1" customFormat="1" ht="31.5" x14ac:dyDescent="0.25">
      <c r="A17" s="8">
        <v>1010200</v>
      </c>
      <c r="B17" s="11" t="s">
        <v>15</v>
      </c>
      <c r="C17" s="40">
        <v>250746157</v>
      </c>
      <c r="D17" s="40">
        <v>177829314</v>
      </c>
      <c r="E17" s="40">
        <v>20051441</v>
      </c>
      <c r="F17" s="40">
        <f>37758282-23318021</f>
        <v>14440261</v>
      </c>
      <c r="G17" s="40">
        <v>3764440</v>
      </c>
      <c r="H17" s="40">
        <v>6689576</v>
      </c>
      <c r="I17" s="40">
        <v>2604725</v>
      </c>
      <c r="J17" s="40">
        <v>1636789</v>
      </c>
      <c r="K17" s="41">
        <f t="shared" si="2"/>
        <v>477762703</v>
      </c>
    </row>
    <row r="18" spans="1:11" s="1" customFormat="1" ht="31.5" x14ac:dyDescent="0.25">
      <c r="A18" s="18">
        <v>1010290</v>
      </c>
      <c r="B18" s="19" t="s">
        <v>16</v>
      </c>
      <c r="C18" s="42">
        <v>125816420</v>
      </c>
      <c r="D18" s="42">
        <v>40540877</v>
      </c>
      <c r="E18" s="42">
        <v>20051441</v>
      </c>
      <c r="F18" s="42">
        <f>19380507-7785125</f>
        <v>11595382</v>
      </c>
      <c r="G18" s="42">
        <v>3764440</v>
      </c>
      <c r="H18" s="42">
        <v>6689576</v>
      </c>
      <c r="I18" s="42">
        <v>2604725</v>
      </c>
      <c r="J18" s="42">
        <v>1636789</v>
      </c>
      <c r="K18" s="43">
        <f t="shared" si="2"/>
        <v>212699650</v>
      </c>
    </row>
    <row r="19" spans="1:11" s="1" customFormat="1" x14ac:dyDescent="0.25">
      <c r="A19" s="8">
        <v>1010400</v>
      </c>
      <c r="B19" s="11" t="s">
        <v>17</v>
      </c>
      <c r="C19" s="40">
        <v>3845400</v>
      </c>
      <c r="D19" s="40">
        <v>0</v>
      </c>
      <c r="E19" s="40">
        <v>2035800</v>
      </c>
      <c r="F19" s="40">
        <v>765600</v>
      </c>
      <c r="G19" s="40">
        <v>870000</v>
      </c>
      <c r="H19" s="40">
        <v>243600</v>
      </c>
      <c r="I19" s="40">
        <v>382800</v>
      </c>
      <c r="J19" s="40">
        <v>452400</v>
      </c>
      <c r="K19" s="41">
        <f t="shared" si="2"/>
        <v>8595600</v>
      </c>
    </row>
    <row r="20" spans="1:11" s="1" customFormat="1" ht="47.25" x14ac:dyDescent="0.25">
      <c r="A20" s="8">
        <v>1010600</v>
      </c>
      <c r="B20" s="11" t="s">
        <v>18</v>
      </c>
      <c r="C20" s="40">
        <f>0+445821</f>
        <v>445821</v>
      </c>
      <c r="D20" s="40">
        <f>0+162076</f>
        <v>162076</v>
      </c>
      <c r="E20" s="40"/>
      <c r="F20" s="40">
        <f>0+119961</f>
        <v>119961</v>
      </c>
      <c r="G20" s="40"/>
      <c r="H20" s="40"/>
      <c r="I20" s="40"/>
      <c r="J20" s="40"/>
      <c r="K20" s="41">
        <f t="shared" si="2"/>
        <v>727858</v>
      </c>
    </row>
    <row r="21" spans="1:11" s="1" customFormat="1" ht="47.25" x14ac:dyDescent="0.25">
      <c r="A21" s="8">
        <v>1010601</v>
      </c>
      <c r="B21" s="11" t="s">
        <v>19</v>
      </c>
      <c r="C21" s="40">
        <f>0+3211290</f>
        <v>3211290</v>
      </c>
      <c r="D21" s="40">
        <f>0+75612</f>
        <v>75612</v>
      </c>
      <c r="E21" s="40"/>
      <c r="F21" s="40">
        <f>0+399840</f>
        <v>399840</v>
      </c>
      <c r="G21" s="40"/>
      <c r="H21" s="40"/>
      <c r="I21" s="40"/>
      <c r="J21" s="40"/>
      <c r="K21" s="41">
        <f t="shared" si="2"/>
        <v>3686742</v>
      </c>
    </row>
    <row r="22" spans="1:11" s="1" customFormat="1" x14ac:dyDescent="0.25">
      <c r="A22" s="8">
        <v>1010700</v>
      </c>
      <c r="B22" s="11" t="s">
        <v>20</v>
      </c>
      <c r="C22" s="40">
        <f>110034816-67017+6235040-5031797</f>
        <v>111171042</v>
      </c>
      <c r="D22" s="40">
        <f>20748965-1473854-205723</f>
        <v>19069388</v>
      </c>
      <c r="E22" s="40">
        <v>0</v>
      </c>
      <c r="F22" s="40">
        <f>3677792-1585903-1759717</f>
        <v>332172</v>
      </c>
      <c r="G22" s="40"/>
      <c r="H22" s="40"/>
      <c r="I22" s="40"/>
      <c r="J22" s="40"/>
      <c r="K22" s="41">
        <f t="shared" si="2"/>
        <v>130572602</v>
      </c>
    </row>
    <row r="23" spans="1:11" s="1" customFormat="1" ht="94.5" x14ac:dyDescent="0.25">
      <c r="A23" s="8">
        <v>1010800</v>
      </c>
      <c r="B23" s="67" t="s">
        <v>63</v>
      </c>
      <c r="C23" s="40">
        <f>24544517+1167469</f>
        <v>25711986</v>
      </c>
      <c r="D23" s="40">
        <f>2163484+87401</f>
        <v>2250885</v>
      </c>
      <c r="E23" s="40">
        <f>5450794+615876</f>
        <v>6066670</v>
      </c>
      <c r="F23" s="40">
        <f>5186097+463698</f>
        <v>5649795</v>
      </c>
      <c r="G23" s="40">
        <f>1353288+204075</f>
        <v>1557363</v>
      </c>
      <c r="H23" s="40">
        <f>2091310+332979</f>
        <v>2424289</v>
      </c>
      <c r="I23" s="40">
        <f>1677436+201660</f>
        <v>1879096</v>
      </c>
      <c r="J23" s="40">
        <f>774751+138149</f>
        <v>912900</v>
      </c>
      <c r="K23" s="41">
        <f t="shared" ref="K23:K24" si="3">SUM(C23:J23)</f>
        <v>46452984</v>
      </c>
    </row>
    <row r="24" spans="1:11" s="64" customFormat="1" ht="31.5" x14ac:dyDescent="0.25">
      <c r="A24" s="68">
        <v>1010900</v>
      </c>
      <c r="B24" s="69" t="s">
        <v>65</v>
      </c>
      <c r="C24" s="56">
        <f>0+7555563</f>
        <v>7555563</v>
      </c>
      <c r="D24" s="56">
        <f>0+97445</f>
        <v>97445</v>
      </c>
      <c r="E24" s="56">
        <f>0+1552744</f>
        <v>1552744</v>
      </c>
      <c r="F24" s="56">
        <f>0+530632</f>
        <v>530632</v>
      </c>
      <c r="G24" s="56">
        <f>0+151138</f>
        <v>151138</v>
      </c>
      <c r="H24" s="56">
        <f>0+487267</f>
        <v>487267</v>
      </c>
      <c r="I24" s="56">
        <f>0+360631</f>
        <v>360631</v>
      </c>
      <c r="J24" s="56">
        <f>0+233170</f>
        <v>233170</v>
      </c>
      <c r="K24" s="58">
        <f t="shared" si="3"/>
        <v>10968590</v>
      </c>
    </row>
    <row r="25" spans="1:11" s="1" customFormat="1" x14ac:dyDescent="0.25">
      <c r="A25" s="18"/>
      <c r="B25" s="11"/>
      <c r="C25" s="40"/>
      <c r="D25" s="40"/>
      <c r="E25" s="40"/>
      <c r="F25" s="40"/>
      <c r="G25" s="40"/>
      <c r="H25" s="40"/>
      <c r="I25" s="40"/>
      <c r="J25" s="40"/>
      <c r="K25" s="41"/>
    </row>
    <row r="26" spans="1:11" s="2" customFormat="1" ht="31.5" x14ac:dyDescent="0.25">
      <c r="A26" s="8">
        <v>1020000</v>
      </c>
      <c r="B26" s="11" t="s">
        <v>21</v>
      </c>
      <c r="C26" s="40">
        <f t="shared" ref="C26:J26" si="4">SUM(C27:C30)</f>
        <v>28982011</v>
      </c>
      <c r="D26" s="40">
        <f t="shared" si="4"/>
        <v>137629</v>
      </c>
      <c r="E26" s="40">
        <f t="shared" si="4"/>
        <v>10685832</v>
      </c>
      <c r="F26" s="40">
        <f t="shared" si="4"/>
        <v>560366</v>
      </c>
      <c r="G26" s="40">
        <f t="shared" si="4"/>
        <v>4501596</v>
      </c>
      <c r="H26" s="40">
        <f t="shared" si="4"/>
        <v>124866</v>
      </c>
      <c r="I26" s="40">
        <f t="shared" si="4"/>
        <v>29232</v>
      </c>
      <c r="J26" s="40">
        <f t="shared" si="4"/>
        <v>140225</v>
      </c>
      <c r="K26" s="41">
        <f t="shared" si="2"/>
        <v>45161757</v>
      </c>
    </row>
    <row r="27" spans="1:11" s="1" customFormat="1" x14ac:dyDescent="0.25">
      <c r="A27" s="8">
        <v>1020100</v>
      </c>
      <c r="B27" s="11" t="s">
        <v>22</v>
      </c>
      <c r="C27" s="40"/>
      <c r="D27" s="40"/>
      <c r="E27" s="40"/>
      <c r="F27" s="40"/>
      <c r="G27" s="40"/>
      <c r="H27" s="40"/>
      <c r="I27" s="40"/>
      <c r="J27" s="40"/>
      <c r="K27" s="41">
        <f t="shared" si="2"/>
        <v>0</v>
      </c>
    </row>
    <row r="28" spans="1:11" s="1" customFormat="1" ht="31.5" x14ac:dyDescent="0.25">
      <c r="A28" s="8">
        <v>1020200</v>
      </c>
      <c r="B28" s="11" t="s">
        <v>23</v>
      </c>
      <c r="C28" s="40">
        <v>27878572</v>
      </c>
      <c r="D28" s="40">
        <v>0</v>
      </c>
      <c r="E28" s="40">
        <v>10297497</v>
      </c>
      <c r="F28" s="40">
        <v>263746</v>
      </c>
      <c r="G28" s="40">
        <v>4470972</v>
      </c>
      <c r="H28" s="40">
        <v>23100</v>
      </c>
      <c r="I28" s="40">
        <v>0</v>
      </c>
      <c r="J28" s="40">
        <v>106817</v>
      </c>
      <c r="K28" s="41">
        <f t="shared" si="2"/>
        <v>43040704</v>
      </c>
    </row>
    <row r="29" spans="1:11" s="2" customFormat="1" ht="31.5" x14ac:dyDescent="0.25">
      <c r="A29" s="8">
        <v>1020400</v>
      </c>
      <c r="B29" s="17" t="s">
        <v>24</v>
      </c>
      <c r="C29" s="40"/>
      <c r="D29" s="40"/>
      <c r="E29" s="40"/>
      <c r="F29" s="40"/>
      <c r="G29" s="40"/>
      <c r="H29" s="40"/>
      <c r="I29" s="40"/>
      <c r="J29" s="40"/>
      <c r="K29" s="41">
        <f t="shared" si="2"/>
        <v>0</v>
      </c>
    </row>
    <row r="30" spans="1:11" s="1" customFormat="1" x14ac:dyDescent="0.25">
      <c r="A30" s="8">
        <v>1020500</v>
      </c>
      <c r="B30" s="11" t="s">
        <v>25</v>
      </c>
      <c r="C30" s="40">
        <v>1103439</v>
      </c>
      <c r="D30" s="40">
        <v>137629</v>
      </c>
      <c r="E30" s="40">
        <v>388335</v>
      </c>
      <c r="F30" s="40">
        <v>296620</v>
      </c>
      <c r="G30" s="40">
        <v>30624</v>
      </c>
      <c r="H30" s="40">
        <v>101766</v>
      </c>
      <c r="I30" s="40">
        <v>29232</v>
      </c>
      <c r="J30" s="40">
        <v>33408</v>
      </c>
      <c r="K30" s="41">
        <f t="shared" si="2"/>
        <v>2121053</v>
      </c>
    </row>
    <row r="31" spans="1:11" s="1" customFormat="1" x14ac:dyDescent="0.25">
      <c r="A31" s="8"/>
      <c r="B31" s="11"/>
      <c r="C31" s="40"/>
      <c r="D31" s="40"/>
      <c r="E31" s="40"/>
      <c r="F31" s="40"/>
      <c r="G31" s="40"/>
      <c r="H31" s="40"/>
      <c r="I31" s="40"/>
      <c r="J31" s="40"/>
      <c r="K31" s="41"/>
    </row>
    <row r="32" spans="1:11" s="1" customFormat="1" ht="31.5" x14ac:dyDescent="0.25">
      <c r="A32" s="8">
        <v>1050000</v>
      </c>
      <c r="B32" s="11" t="s">
        <v>26</v>
      </c>
      <c r="C32" s="40">
        <f>7107521-1618328</f>
        <v>5489193</v>
      </c>
      <c r="D32" s="40">
        <v>3151006</v>
      </c>
      <c r="E32" s="40">
        <f>1960030-4313</f>
        <v>1955717</v>
      </c>
      <c r="F32" s="40">
        <v>16050430</v>
      </c>
      <c r="G32" s="40">
        <v>2228198</v>
      </c>
      <c r="H32" s="40">
        <v>3724018</v>
      </c>
      <c r="I32" s="40">
        <v>8088516</v>
      </c>
      <c r="J32" s="40">
        <v>322411</v>
      </c>
      <c r="K32" s="41">
        <f t="shared" si="2"/>
        <v>41009489</v>
      </c>
    </row>
    <row r="33" spans="1:11" s="1" customFormat="1" x14ac:dyDescent="0.25">
      <c r="A33" s="8">
        <v>1050100</v>
      </c>
      <c r="B33" s="11" t="s">
        <v>27</v>
      </c>
      <c r="C33" s="40">
        <f>SUM(C34:C35)</f>
        <v>0</v>
      </c>
      <c r="D33" s="40">
        <f t="shared" ref="D33:J33" si="5">SUM(D34:D35)</f>
        <v>0</v>
      </c>
      <c r="E33" s="40">
        <f t="shared" si="5"/>
        <v>0</v>
      </c>
      <c r="F33" s="40">
        <f t="shared" si="5"/>
        <v>0</v>
      </c>
      <c r="G33" s="40">
        <f t="shared" si="5"/>
        <v>0</v>
      </c>
      <c r="H33" s="40">
        <f t="shared" si="5"/>
        <v>0</v>
      </c>
      <c r="I33" s="40">
        <f t="shared" si="5"/>
        <v>0</v>
      </c>
      <c r="J33" s="40">
        <f t="shared" si="5"/>
        <v>0</v>
      </c>
      <c r="K33" s="41">
        <f t="shared" si="2"/>
        <v>0</v>
      </c>
    </row>
    <row r="34" spans="1:11" s="1" customFormat="1" ht="31.5" hidden="1" x14ac:dyDescent="0.25">
      <c r="A34" s="18">
        <v>1050101</v>
      </c>
      <c r="B34" s="19" t="s">
        <v>28</v>
      </c>
      <c r="C34" s="42"/>
      <c r="D34" s="42"/>
      <c r="E34" s="42"/>
      <c r="F34" s="42"/>
      <c r="G34" s="42"/>
      <c r="H34" s="42"/>
      <c r="I34" s="42"/>
      <c r="J34" s="42"/>
      <c r="K34" s="43">
        <f t="shared" si="2"/>
        <v>0</v>
      </c>
    </row>
    <row r="35" spans="1:11" s="1" customFormat="1" ht="31.5" hidden="1" x14ac:dyDescent="0.25">
      <c r="A35" s="18">
        <v>1050102</v>
      </c>
      <c r="B35" s="19" t="s">
        <v>29</v>
      </c>
      <c r="C35" s="42"/>
      <c r="D35" s="42"/>
      <c r="E35" s="42"/>
      <c r="F35" s="42"/>
      <c r="G35" s="42"/>
      <c r="H35" s="42"/>
      <c r="I35" s="42"/>
      <c r="J35" s="42"/>
      <c r="K35" s="43">
        <f t="shared" si="2"/>
        <v>0</v>
      </c>
    </row>
    <row r="36" spans="1:11" s="1" customFormat="1" ht="47.25" x14ac:dyDescent="0.25">
      <c r="A36" s="8">
        <v>1050200</v>
      </c>
      <c r="B36" s="11" t="s">
        <v>30</v>
      </c>
      <c r="C36" s="40">
        <f>6870490-1618328</f>
        <v>5252162</v>
      </c>
      <c r="D36" s="40">
        <v>3151006</v>
      </c>
      <c r="E36" s="40">
        <f>1706763-4313</f>
        <v>1702450</v>
      </c>
      <c r="F36" s="40">
        <v>475109</v>
      </c>
      <c r="G36" s="40">
        <v>207608</v>
      </c>
      <c r="H36" s="40">
        <v>548037</v>
      </c>
      <c r="I36" s="40">
        <v>554491</v>
      </c>
      <c r="J36" s="40">
        <v>202300</v>
      </c>
      <c r="K36" s="41">
        <f t="shared" si="2"/>
        <v>12093163</v>
      </c>
    </row>
    <row r="37" spans="1:11" s="1" customFormat="1" ht="63" x14ac:dyDescent="0.25">
      <c r="A37" s="8">
        <v>1050400</v>
      </c>
      <c r="B37" s="11" t="s">
        <v>31</v>
      </c>
      <c r="C37" s="40">
        <v>0</v>
      </c>
      <c r="D37" s="40">
        <v>0</v>
      </c>
      <c r="E37" s="40">
        <v>189702</v>
      </c>
      <c r="F37" s="40">
        <v>8254329</v>
      </c>
      <c r="G37" s="40">
        <v>1297198</v>
      </c>
      <c r="H37" s="40">
        <v>2141142</v>
      </c>
      <c r="I37" s="40">
        <v>4908150</v>
      </c>
      <c r="J37" s="40">
        <v>38650</v>
      </c>
      <c r="K37" s="41">
        <f t="shared" si="2"/>
        <v>16829171</v>
      </c>
    </row>
    <row r="38" spans="1:11" s="1" customFormat="1" ht="31.5" hidden="1" x14ac:dyDescent="0.25">
      <c r="A38" s="8">
        <v>1051100</v>
      </c>
      <c r="B38" s="11" t="s">
        <v>32</v>
      </c>
      <c r="C38" s="40">
        <v>0</v>
      </c>
      <c r="D38" s="40">
        <v>0</v>
      </c>
      <c r="E38" s="40"/>
      <c r="F38" s="40"/>
      <c r="G38" s="40"/>
      <c r="H38" s="40"/>
      <c r="I38" s="40"/>
      <c r="J38" s="40"/>
      <c r="K38" s="41">
        <f t="shared" si="2"/>
        <v>0</v>
      </c>
    </row>
    <row r="39" spans="1:11" s="2" customFormat="1" ht="31.5" x14ac:dyDescent="0.25">
      <c r="A39" s="8">
        <v>1051200</v>
      </c>
      <c r="B39" s="11" t="s">
        <v>33</v>
      </c>
      <c r="C39" s="40">
        <v>0</v>
      </c>
      <c r="D39" s="40">
        <v>0</v>
      </c>
      <c r="E39" s="40">
        <v>63565</v>
      </c>
      <c r="F39" s="40">
        <v>7312634</v>
      </c>
      <c r="G39" s="40">
        <v>722226</v>
      </c>
      <c r="H39" s="40">
        <v>1016222</v>
      </c>
      <c r="I39" s="40">
        <v>2619893</v>
      </c>
      <c r="J39" s="40">
        <v>8161</v>
      </c>
      <c r="K39" s="41">
        <f t="shared" si="2"/>
        <v>11742701</v>
      </c>
    </row>
    <row r="40" spans="1:11" s="2" customFormat="1" x14ac:dyDescent="0.25">
      <c r="A40" s="18"/>
      <c r="B40" s="19"/>
      <c r="C40" s="42"/>
      <c r="D40" s="42"/>
      <c r="E40" s="42"/>
      <c r="F40" s="42"/>
      <c r="G40" s="42"/>
      <c r="H40" s="42"/>
      <c r="I40" s="42"/>
      <c r="J40" s="42"/>
      <c r="K40" s="43"/>
    </row>
    <row r="41" spans="1:11" s="1" customFormat="1" ht="31.5" x14ac:dyDescent="0.25">
      <c r="A41" s="8">
        <v>1060000</v>
      </c>
      <c r="B41" s="11" t="s">
        <v>34</v>
      </c>
      <c r="C41" s="56">
        <f>SUM(C42)</f>
        <v>378725474</v>
      </c>
      <c r="D41" s="40">
        <f t="shared" ref="D41:J41" si="6">SUM(D42)</f>
        <v>0</v>
      </c>
      <c r="E41" s="40">
        <f t="shared" si="6"/>
        <v>0</v>
      </c>
      <c r="F41" s="40">
        <f t="shared" si="6"/>
        <v>0</v>
      </c>
      <c r="G41" s="40">
        <f t="shared" si="6"/>
        <v>0</v>
      </c>
      <c r="H41" s="40">
        <f t="shared" si="6"/>
        <v>0</v>
      </c>
      <c r="I41" s="40">
        <f t="shared" si="6"/>
        <v>0</v>
      </c>
      <c r="J41" s="40">
        <f t="shared" si="6"/>
        <v>0</v>
      </c>
      <c r="K41" s="58">
        <f t="shared" si="2"/>
        <v>378725474</v>
      </c>
    </row>
    <row r="42" spans="1:11" s="1" customFormat="1" x14ac:dyDescent="0.25">
      <c r="A42" s="18">
        <v>1060400</v>
      </c>
      <c r="B42" s="19" t="s">
        <v>62</v>
      </c>
      <c r="C42" s="71">
        <f>536734818-127009947-474000+4000-30529397</f>
        <v>378725474</v>
      </c>
      <c r="D42" s="42"/>
      <c r="E42" s="42"/>
      <c r="F42" s="42"/>
      <c r="G42" s="42"/>
      <c r="H42" s="42"/>
      <c r="I42" s="42"/>
      <c r="J42" s="42"/>
      <c r="K42" s="73">
        <f t="shared" si="2"/>
        <v>378725474</v>
      </c>
    </row>
    <row r="43" spans="1:11" s="1" customFormat="1" x14ac:dyDescent="0.25">
      <c r="A43" s="8"/>
      <c r="B43" s="11"/>
      <c r="C43" s="42"/>
      <c r="D43" s="42"/>
      <c r="E43" s="42"/>
      <c r="F43" s="42"/>
      <c r="G43" s="42"/>
      <c r="H43" s="42"/>
      <c r="I43" s="42"/>
      <c r="J43" s="42"/>
      <c r="K43" s="41"/>
    </row>
    <row r="44" spans="1:11" s="1" customFormat="1" x14ac:dyDescent="0.25">
      <c r="A44" s="8">
        <v>1400000</v>
      </c>
      <c r="B44" s="11" t="s">
        <v>35</v>
      </c>
      <c r="C44" s="40">
        <f>C45</f>
        <v>14773120</v>
      </c>
      <c r="D44" s="40">
        <f t="shared" ref="D44:J44" si="7">D45</f>
        <v>261221</v>
      </c>
      <c r="E44" s="40">
        <f t="shared" si="7"/>
        <v>6986489</v>
      </c>
      <c r="F44" s="40">
        <f t="shared" si="7"/>
        <v>5959016</v>
      </c>
      <c r="G44" s="40">
        <f t="shared" si="7"/>
        <v>4161102</v>
      </c>
      <c r="H44" s="40">
        <f t="shared" si="7"/>
        <v>4023757</v>
      </c>
      <c r="I44" s="40">
        <f t="shared" si="7"/>
        <v>2151325</v>
      </c>
      <c r="J44" s="40">
        <f t="shared" si="7"/>
        <v>1077036</v>
      </c>
      <c r="K44" s="41">
        <f t="shared" si="2"/>
        <v>39393066</v>
      </c>
    </row>
    <row r="45" spans="1:11" s="1" customFormat="1" x14ac:dyDescent="0.25">
      <c r="A45" s="8">
        <v>1400100</v>
      </c>
      <c r="B45" s="11" t="s">
        <v>36</v>
      </c>
      <c r="C45" s="42">
        <f>9583189+5189931</f>
        <v>14773120</v>
      </c>
      <c r="D45" s="42">
        <f>143679+117542</f>
        <v>261221</v>
      </c>
      <c r="E45" s="42">
        <f>4965626+2020863</f>
        <v>6986489</v>
      </c>
      <c r="F45" s="42">
        <f>4101213+1857803</f>
        <v>5959016</v>
      </c>
      <c r="G45" s="42">
        <f>2518944+1642158</f>
        <v>4161102</v>
      </c>
      <c r="H45" s="42">
        <f>2465805+1557952</f>
        <v>4023757</v>
      </c>
      <c r="I45" s="42">
        <f>1175518+975807</f>
        <v>2151325</v>
      </c>
      <c r="J45" s="42">
        <f>686393+390643</f>
        <v>1077036</v>
      </c>
      <c r="K45" s="43">
        <f t="shared" si="2"/>
        <v>39393066</v>
      </c>
    </row>
    <row r="46" spans="1:11" s="1" customFormat="1" ht="16.5" thickBot="1" x14ac:dyDescent="0.3">
      <c r="A46" s="31"/>
      <c r="B46" s="32"/>
      <c r="C46" s="44"/>
      <c r="D46" s="44"/>
      <c r="E46" s="44"/>
      <c r="F46" s="44"/>
      <c r="G46" s="44"/>
      <c r="H46" s="44"/>
      <c r="I46" s="44"/>
      <c r="J46" s="44"/>
      <c r="K46" s="45"/>
    </row>
    <row r="47" spans="1:11" s="1" customFormat="1" ht="16.5" thickBot="1" x14ac:dyDescent="0.3">
      <c r="A47" s="33">
        <v>2000000</v>
      </c>
      <c r="B47" s="30" t="s">
        <v>37</v>
      </c>
      <c r="C47" s="36">
        <f>SUM(C48+C56+C59+C61)</f>
        <v>89891875</v>
      </c>
      <c r="D47" s="36">
        <f t="shared" ref="D47:J47" si="8">SUM(D48+D56+D59+D61)</f>
        <v>246937</v>
      </c>
      <c r="E47" s="36">
        <f t="shared" si="8"/>
        <v>6876619</v>
      </c>
      <c r="F47" s="36">
        <f t="shared" si="8"/>
        <v>6053855</v>
      </c>
      <c r="G47" s="36">
        <f t="shared" si="8"/>
        <v>1802809</v>
      </c>
      <c r="H47" s="36">
        <f t="shared" si="8"/>
        <v>2324200</v>
      </c>
      <c r="I47" s="36">
        <f t="shared" si="8"/>
        <v>1037156</v>
      </c>
      <c r="J47" s="36">
        <f t="shared" si="8"/>
        <v>819919</v>
      </c>
      <c r="K47" s="37">
        <f t="shared" si="2"/>
        <v>109053370</v>
      </c>
    </row>
    <row r="48" spans="1:11" s="1" customFormat="1" ht="47.25" x14ac:dyDescent="0.25">
      <c r="A48" s="16">
        <v>2010000</v>
      </c>
      <c r="B48" s="29" t="s">
        <v>38</v>
      </c>
      <c r="C48" s="38">
        <v>23769699</v>
      </c>
      <c r="D48" s="38">
        <v>140474</v>
      </c>
      <c r="E48" s="38">
        <v>1469244</v>
      </c>
      <c r="F48" s="38">
        <v>3189074</v>
      </c>
      <c r="G48" s="38">
        <v>148643</v>
      </c>
      <c r="H48" s="38">
        <v>473357</v>
      </c>
      <c r="I48" s="38">
        <v>53850</v>
      </c>
      <c r="J48" s="38">
        <v>26507</v>
      </c>
      <c r="K48" s="39">
        <f t="shared" si="2"/>
        <v>29270848</v>
      </c>
    </row>
    <row r="49" spans="1:11" s="1" customFormat="1" ht="47.25" x14ac:dyDescent="0.25">
      <c r="A49" s="8">
        <v>2010200</v>
      </c>
      <c r="B49" s="53" t="s">
        <v>39</v>
      </c>
      <c r="C49" s="66">
        <v>1492954</v>
      </c>
      <c r="D49" s="66">
        <v>25490</v>
      </c>
      <c r="E49" s="66">
        <v>308681</v>
      </c>
      <c r="F49" s="66">
        <v>129119</v>
      </c>
      <c r="G49" s="66">
        <v>42134</v>
      </c>
      <c r="H49" s="66">
        <v>163789</v>
      </c>
      <c r="I49" s="66">
        <v>53850</v>
      </c>
      <c r="J49" s="66">
        <v>16067</v>
      </c>
      <c r="K49" s="41">
        <f t="shared" si="2"/>
        <v>2232084</v>
      </c>
    </row>
    <row r="50" spans="1:11" s="1" customFormat="1" ht="31.5" x14ac:dyDescent="0.25">
      <c r="A50" s="8">
        <v>2010300</v>
      </c>
      <c r="B50" s="11" t="s">
        <v>40</v>
      </c>
      <c r="C50" s="40">
        <v>7564452</v>
      </c>
      <c r="D50" s="40"/>
      <c r="E50" s="40">
        <v>599106</v>
      </c>
      <c r="F50" s="40">
        <v>3016455</v>
      </c>
      <c r="G50" s="40">
        <v>0</v>
      </c>
      <c r="H50" s="40">
        <v>0</v>
      </c>
      <c r="I50" s="40">
        <v>0</v>
      </c>
      <c r="J50" s="40">
        <v>0</v>
      </c>
      <c r="K50" s="41">
        <f t="shared" si="2"/>
        <v>11180013</v>
      </c>
    </row>
    <row r="51" spans="1:11" s="1" customFormat="1" ht="31.5" x14ac:dyDescent="0.25">
      <c r="A51" s="8">
        <v>2010400</v>
      </c>
      <c r="B51" s="11" t="s">
        <v>41</v>
      </c>
      <c r="C51" s="40">
        <v>357000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1">
        <f t="shared" si="2"/>
        <v>357000</v>
      </c>
    </row>
    <row r="52" spans="1:11" s="1" customFormat="1" ht="31.5" x14ac:dyDescent="0.25">
      <c r="A52" s="8">
        <v>2010500</v>
      </c>
      <c r="B52" s="11" t="s">
        <v>42</v>
      </c>
      <c r="C52" s="40">
        <v>63548</v>
      </c>
      <c r="D52" s="40">
        <v>0</v>
      </c>
      <c r="E52" s="40">
        <v>8727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1">
        <f t="shared" si="2"/>
        <v>72275</v>
      </c>
    </row>
    <row r="53" spans="1:11" s="1" customFormat="1" ht="31.5" x14ac:dyDescent="0.25">
      <c r="A53" s="8">
        <v>2010900</v>
      </c>
      <c r="B53" s="11" t="s">
        <v>43</v>
      </c>
      <c r="C53" s="40">
        <v>1791830</v>
      </c>
      <c r="D53" s="40">
        <v>114984</v>
      </c>
      <c r="E53" s="40">
        <v>497051</v>
      </c>
      <c r="F53" s="40">
        <v>0</v>
      </c>
      <c r="G53" s="40">
        <v>35169</v>
      </c>
      <c r="H53" s="40">
        <v>309568</v>
      </c>
      <c r="I53" s="40">
        <v>0</v>
      </c>
      <c r="J53" s="40">
        <v>0</v>
      </c>
      <c r="K53" s="41">
        <f t="shared" si="2"/>
        <v>2748602</v>
      </c>
    </row>
    <row r="54" spans="1:11" s="1" customFormat="1" ht="31.5" x14ac:dyDescent="0.25">
      <c r="A54" s="8">
        <v>2011000</v>
      </c>
      <c r="B54" s="11" t="s">
        <v>44</v>
      </c>
      <c r="C54" s="40">
        <v>10259282</v>
      </c>
      <c r="D54" s="40"/>
      <c r="E54" s="40">
        <v>0</v>
      </c>
      <c r="F54" s="40">
        <v>0</v>
      </c>
      <c r="G54" s="40">
        <v>0</v>
      </c>
      <c r="H54" s="46">
        <v>0</v>
      </c>
      <c r="I54" s="40">
        <v>0</v>
      </c>
      <c r="J54" s="40">
        <v>0</v>
      </c>
      <c r="K54" s="41">
        <f t="shared" si="2"/>
        <v>10259282</v>
      </c>
    </row>
    <row r="55" spans="1:11" s="1" customFormat="1" x14ac:dyDescent="0.25">
      <c r="A55" s="8"/>
      <c r="B55" s="11"/>
      <c r="C55" s="40"/>
      <c r="D55" s="40"/>
      <c r="E55" s="40"/>
      <c r="F55" s="40"/>
      <c r="G55" s="40"/>
      <c r="H55" s="40"/>
      <c r="I55" s="40"/>
      <c r="J55" s="40"/>
      <c r="K55" s="41"/>
    </row>
    <row r="56" spans="1:11" s="1" customFormat="1" ht="47.25" x14ac:dyDescent="0.25">
      <c r="A56" s="8">
        <v>2020000</v>
      </c>
      <c r="B56" s="11" t="s">
        <v>45</v>
      </c>
      <c r="C56" s="40">
        <f>9092192+39994238</f>
        <v>49086430</v>
      </c>
      <c r="D56" s="40">
        <v>2498</v>
      </c>
      <c r="E56" s="40">
        <v>26197</v>
      </c>
      <c r="F56" s="40">
        <v>43632</v>
      </c>
      <c r="G56" s="40">
        <v>0</v>
      </c>
      <c r="H56" s="40">
        <v>28062</v>
      </c>
      <c r="I56" s="40">
        <v>40863</v>
      </c>
      <c r="J56" s="40">
        <v>28265</v>
      </c>
      <c r="K56" s="41">
        <f t="shared" si="2"/>
        <v>49255947</v>
      </c>
    </row>
    <row r="57" spans="1:11" s="1" customFormat="1" ht="47.25" x14ac:dyDescent="0.25">
      <c r="A57" s="18">
        <v>2020100</v>
      </c>
      <c r="B57" s="19" t="s">
        <v>46</v>
      </c>
      <c r="C57" s="42">
        <f>8807000+39994238</f>
        <v>48801238</v>
      </c>
      <c r="D57" s="42"/>
      <c r="E57" s="42"/>
      <c r="F57" s="42"/>
      <c r="G57" s="42"/>
      <c r="H57" s="42"/>
      <c r="I57" s="42"/>
      <c r="J57" s="42"/>
      <c r="K57" s="43">
        <f t="shared" si="2"/>
        <v>48801238</v>
      </c>
    </row>
    <row r="58" spans="1:11" s="1" customFormat="1" x14ac:dyDescent="0.25">
      <c r="A58" s="18"/>
      <c r="B58" s="19"/>
      <c r="C58" s="42"/>
      <c r="D58" s="42"/>
      <c r="E58" s="42"/>
      <c r="F58" s="42"/>
      <c r="G58" s="42"/>
      <c r="H58" s="42"/>
      <c r="I58" s="42"/>
      <c r="J58" s="42"/>
      <c r="K58" s="41"/>
    </row>
    <row r="59" spans="1:11" s="1" customFormat="1" x14ac:dyDescent="0.25">
      <c r="A59" s="10">
        <v>2060000</v>
      </c>
      <c r="B59" s="11" t="s">
        <v>47</v>
      </c>
      <c r="C59" s="40">
        <v>3548304</v>
      </c>
      <c r="D59" s="40">
        <v>73842</v>
      </c>
      <c r="E59" s="40">
        <v>1116528</v>
      </c>
      <c r="F59" s="40">
        <v>727163</v>
      </c>
      <c r="G59" s="40">
        <v>607181</v>
      </c>
      <c r="H59" s="40">
        <v>533711</v>
      </c>
      <c r="I59" s="40">
        <v>428451</v>
      </c>
      <c r="J59" s="40">
        <v>239506</v>
      </c>
      <c r="K59" s="41">
        <f t="shared" si="2"/>
        <v>7274686</v>
      </c>
    </row>
    <row r="60" spans="1:11" s="1" customFormat="1" x14ac:dyDescent="0.25">
      <c r="A60" s="20"/>
      <c r="B60" s="19"/>
      <c r="C60" s="42"/>
      <c r="D60" s="42"/>
      <c r="E60" s="42"/>
      <c r="F60" s="42"/>
      <c r="G60" s="42"/>
      <c r="H60" s="42"/>
      <c r="I60" s="42"/>
      <c r="J60" s="42"/>
      <c r="K60" s="41"/>
    </row>
    <row r="61" spans="1:11" s="1" customFormat="1" x14ac:dyDescent="0.25">
      <c r="A61" s="10">
        <v>2070000</v>
      </c>
      <c r="B61" s="11" t="s">
        <v>48</v>
      </c>
      <c r="C61" s="40">
        <f>12233535+1253907</f>
        <v>13487442</v>
      </c>
      <c r="D61" s="40">
        <v>30123</v>
      </c>
      <c r="E61" s="40">
        <v>4264650</v>
      </c>
      <c r="F61" s="40">
        <v>2093986</v>
      </c>
      <c r="G61" s="40">
        <v>1046985</v>
      </c>
      <c r="H61" s="40">
        <v>1289070</v>
      </c>
      <c r="I61" s="40">
        <v>513992</v>
      </c>
      <c r="J61" s="40">
        <v>525641</v>
      </c>
      <c r="K61" s="41">
        <f t="shared" si="2"/>
        <v>23251889</v>
      </c>
    </row>
    <row r="62" spans="1:11" s="1" customFormat="1" ht="16.5" thickBot="1" x14ac:dyDescent="0.3">
      <c r="A62" s="22"/>
      <c r="B62" s="26"/>
      <c r="C62" s="47"/>
      <c r="D62" s="47"/>
      <c r="E62" s="47"/>
      <c r="F62" s="47"/>
      <c r="G62" s="47"/>
      <c r="H62" s="47"/>
      <c r="I62" s="47"/>
      <c r="J62" s="47"/>
      <c r="K62" s="45"/>
    </row>
    <row r="63" spans="1:11" s="1" customFormat="1" ht="16.5" thickBot="1" x14ac:dyDescent="0.3">
      <c r="A63" s="27">
        <v>4000000</v>
      </c>
      <c r="B63" s="30" t="s">
        <v>49</v>
      </c>
      <c r="C63" s="70">
        <f>SUM(C64+C67+C69+C71+C73+C75+C77+C79)</f>
        <v>607232644</v>
      </c>
      <c r="D63" s="36">
        <f t="shared" ref="D63:J63" si="9">SUM(D64+D67+D69+D71+D73+D75+D77+D79)</f>
        <v>18603858</v>
      </c>
      <c r="E63" s="36">
        <f t="shared" si="9"/>
        <v>11574654</v>
      </c>
      <c r="F63" s="36">
        <f t="shared" si="9"/>
        <v>23381097</v>
      </c>
      <c r="G63" s="36">
        <f t="shared" si="9"/>
        <v>9075401</v>
      </c>
      <c r="H63" s="36">
        <f t="shared" si="9"/>
        <v>21993707</v>
      </c>
      <c r="I63" s="36">
        <f t="shared" si="9"/>
        <v>17466597</v>
      </c>
      <c r="J63" s="36">
        <f t="shared" si="9"/>
        <v>6420962</v>
      </c>
      <c r="K63" s="72">
        <f t="shared" si="2"/>
        <v>715748920</v>
      </c>
    </row>
    <row r="64" spans="1:11" s="64" customFormat="1" x14ac:dyDescent="0.25">
      <c r="A64" s="60">
        <v>4010000</v>
      </c>
      <c r="B64" s="61" t="s">
        <v>50</v>
      </c>
      <c r="C64" s="62">
        <f>274031814-20854431</f>
        <v>253177383</v>
      </c>
      <c r="D64" s="62">
        <v>16613212</v>
      </c>
      <c r="E64" s="62">
        <v>9896768</v>
      </c>
      <c r="F64" s="62">
        <f>9920499-3114050</f>
        <v>6806449</v>
      </c>
      <c r="G64" s="62">
        <v>2224110</v>
      </c>
      <c r="H64" s="62">
        <v>3989068</v>
      </c>
      <c r="I64" s="62">
        <v>1729060</v>
      </c>
      <c r="J64" s="62">
        <v>818526</v>
      </c>
      <c r="K64" s="63">
        <f t="shared" si="2"/>
        <v>295254576</v>
      </c>
    </row>
    <row r="65" spans="1:11" s="1" customFormat="1" x14ac:dyDescent="0.25">
      <c r="A65" s="20">
        <v>4010104</v>
      </c>
      <c r="B65" s="19" t="s">
        <v>51</v>
      </c>
      <c r="C65" s="42">
        <v>50249665</v>
      </c>
      <c r="D65" s="42">
        <v>16216896</v>
      </c>
      <c r="E65" s="42">
        <v>7933337</v>
      </c>
      <c r="F65" s="42">
        <f>7771195-3114050</f>
        <v>4657145</v>
      </c>
      <c r="G65" s="42">
        <v>1512692</v>
      </c>
      <c r="H65" s="42">
        <v>2671265</v>
      </c>
      <c r="I65" s="42">
        <v>1035535</v>
      </c>
      <c r="J65" s="42">
        <v>425327</v>
      </c>
      <c r="K65" s="43">
        <f t="shared" si="2"/>
        <v>84701862</v>
      </c>
    </row>
    <row r="66" spans="1:11" s="1" customFormat="1" x14ac:dyDescent="0.25">
      <c r="A66" s="20"/>
      <c r="B66" s="19"/>
      <c r="C66" s="42"/>
      <c r="D66" s="42"/>
      <c r="E66" s="42"/>
      <c r="F66" s="42"/>
      <c r="G66" s="42"/>
      <c r="H66" s="42"/>
      <c r="I66" s="42"/>
      <c r="J66" s="42"/>
      <c r="K66" s="41"/>
    </row>
    <row r="67" spans="1:11" s="1" customFormat="1" ht="31.5" x14ac:dyDescent="0.25">
      <c r="A67" s="10">
        <v>4020100</v>
      </c>
      <c r="B67" s="11" t="s">
        <v>52</v>
      </c>
      <c r="C67" s="40">
        <v>2801310</v>
      </c>
      <c r="D67" s="40">
        <v>1990646</v>
      </c>
      <c r="E67" s="40">
        <v>717646</v>
      </c>
      <c r="F67" s="40">
        <v>1347163</v>
      </c>
      <c r="G67" s="40">
        <v>300353</v>
      </c>
      <c r="H67" s="40">
        <v>771759</v>
      </c>
      <c r="I67" s="40">
        <v>288025</v>
      </c>
      <c r="J67" s="40">
        <v>174745</v>
      </c>
      <c r="K67" s="41">
        <f t="shared" si="2"/>
        <v>8391647</v>
      </c>
    </row>
    <row r="68" spans="1:11" s="1" customFormat="1" x14ac:dyDescent="0.25">
      <c r="A68" s="20"/>
      <c r="B68" s="19"/>
      <c r="C68" s="42"/>
      <c r="D68" s="42"/>
      <c r="E68" s="42"/>
      <c r="F68" s="42"/>
      <c r="G68" s="42"/>
      <c r="H68" s="42"/>
      <c r="I68" s="42"/>
      <c r="J68" s="42"/>
      <c r="K68" s="41"/>
    </row>
    <row r="69" spans="1:11" ht="78.75" x14ac:dyDescent="0.25">
      <c r="A69" s="8">
        <v>4080000</v>
      </c>
      <c r="B69" s="11" t="s">
        <v>53</v>
      </c>
      <c r="C69" s="40">
        <v>422419</v>
      </c>
      <c r="D69" s="40">
        <v>0</v>
      </c>
      <c r="E69" s="40">
        <v>681590</v>
      </c>
      <c r="F69" s="40">
        <v>12100585</v>
      </c>
      <c r="G69" s="40">
        <v>5363338</v>
      </c>
      <c r="H69" s="40">
        <v>14200980</v>
      </c>
      <c r="I69" s="40">
        <v>12458362</v>
      </c>
      <c r="J69" s="40">
        <v>4247841</v>
      </c>
      <c r="K69" s="41">
        <f t="shared" si="2"/>
        <v>49475115</v>
      </c>
    </row>
    <row r="70" spans="1:11" x14ac:dyDescent="0.25">
      <c r="A70" s="10"/>
      <c r="B70" s="11"/>
      <c r="C70" s="40"/>
      <c r="D70" s="40"/>
      <c r="E70" s="40"/>
      <c r="F70" s="40"/>
      <c r="G70" s="40"/>
      <c r="H70" s="40"/>
      <c r="I70" s="40"/>
      <c r="J70" s="40"/>
      <c r="K70" s="41"/>
    </row>
    <row r="71" spans="1:11" x14ac:dyDescent="0.25">
      <c r="A71" s="10">
        <v>4100000</v>
      </c>
      <c r="B71" s="11" t="s">
        <v>54</v>
      </c>
      <c r="C71" s="56">
        <f>217293935+23680759+474000-4000+30529397</f>
        <v>271974091</v>
      </c>
      <c r="D71" s="40"/>
      <c r="E71" s="40"/>
      <c r="F71" s="40"/>
      <c r="G71" s="40"/>
      <c r="H71" s="40"/>
      <c r="I71" s="40"/>
      <c r="J71" s="40"/>
      <c r="K71" s="58">
        <f t="shared" si="2"/>
        <v>271974091</v>
      </c>
    </row>
    <row r="72" spans="1:11" x14ac:dyDescent="0.25">
      <c r="A72" s="10"/>
      <c r="B72" s="11"/>
      <c r="C72" s="40"/>
      <c r="D72" s="40"/>
      <c r="E72" s="40"/>
      <c r="F72" s="40"/>
      <c r="G72" s="40"/>
      <c r="H72" s="40"/>
      <c r="I72" s="40"/>
      <c r="J72" s="40"/>
      <c r="K72" s="41"/>
    </row>
    <row r="73" spans="1:11" x14ac:dyDescent="0.25">
      <c r="A73" s="10">
        <v>4110000</v>
      </c>
      <c r="B73" s="11" t="s">
        <v>55</v>
      </c>
      <c r="C73" s="40">
        <f>23661155-3023828</f>
        <v>20637327</v>
      </c>
      <c r="D73" s="40"/>
      <c r="E73" s="40"/>
      <c r="F73" s="40"/>
      <c r="G73" s="40"/>
      <c r="H73" s="40"/>
      <c r="I73" s="40"/>
      <c r="J73" s="40"/>
      <c r="K73" s="41">
        <f t="shared" ref="K73:K82" si="10">SUM(C73:J73)</f>
        <v>20637327</v>
      </c>
    </row>
    <row r="74" spans="1:11" x14ac:dyDescent="0.25">
      <c r="A74" s="10"/>
      <c r="B74" s="11"/>
      <c r="C74" s="40"/>
      <c r="D74" s="40"/>
      <c r="E74" s="40"/>
      <c r="F74" s="40"/>
      <c r="G74" s="40"/>
      <c r="H74" s="40"/>
      <c r="I74" s="40"/>
      <c r="J74" s="40"/>
      <c r="K74" s="41"/>
    </row>
    <row r="75" spans="1:11" x14ac:dyDescent="0.25">
      <c r="A75" s="10">
        <v>4120000</v>
      </c>
      <c r="B75" s="11" t="s">
        <v>56</v>
      </c>
      <c r="C75" s="40">
        <f>10583290-1352514</f>
        <v>9230776</v>
      </c>
      <c r="D75" s="40"/>
      <c r="E75" s="40"/>
      <c r="F75" s="40"/>
      <c r="G75" s="40"/>
      <c r="H75" s="40"/>
      <c r="I75" s="40"/>
      <c r="J75" s="40"/>
      <c r="K75" s="41">
        <f t="shared" si="10"/>
        <v>9230776</v>
      </c>
    </row>
    <row r="76" spans="1:11" x14ac:dyDescent="0.25">
      <c r="A76" s="10"/>
      <c r="B76" s="11"/>
      <c r="C76" s="40"/>
      <c r="D76" s="40"/>
      <c r="E76" s="40"/>
      <c r="F76" s="40"/>
      <c r="G76" s="40"/>
      <c r="H76" s="40"/>
      <c r="I76" s="40"/>
      <c r="J76" s="40"/>
      <c r="K76" s="41"/>
    </row>
    <row r="77" spans="1:11" x14ac:dyDescent="0.25">
      <c r="A77" s="10">
        <v>4130000</v>
      </c>
      <c r="B77" s="21" t="s">
        <v>60</v>
      </c>
      <c r="C77" s="40">
        <f>21928850-2802445</f>
        <v>19126405</v>
      </c>
      <c r="D77" s="51"/>
      <c r="E77" s="51"/>
      <c r="F77" s="51"/>
      <c r="G77" s="51"/>
      <c r="H77" s="51"/>
      <c r="I77" s="51"/>
      <c r="J77" s="51"/>
      <c r="K77" s="41">
        <f t="shared" si="10"/>
        <v>19126405</v>
      </c>
    </row>
    <row r="78" spans="1:11" x14ac:dyDescent="0.25">
      <c r="A78" s="22"/>
      <c r="B78" s="50"/>
      <c r="C78" s="47"/>
      <c r="D78" s="52"/>
      <c r="E78" s="52"/>
      <c r="F78" s="52"/>
      <c r="G78" s="52"/>
      <c r="H78" s="52"/>
      <c r="I78" s="52"/>
      <c r="J78" s="52"/>
      <c r="K78" s="45"/>
    </row>
    <row r="79" spans="1:11" s="59" customFormat="1" x14ac:dyDescent="0.25">
      <c r="A79" s="54">
        <v>4140000</v>
      </c>
      <c r="B79" s="55" t="s">
        <v>61</v>
      </c>
      <c r="C79" s="56">
        <f>34218950-4356017</f>
        <v>29862933</v>
      </c>
      <c r="D79" s="57">
        <v>0</v>
      </c>
      <c r="E79" s="57">
        <v>278650</v>
      </c>
      <c r="F79" s="57">
        <v>3126900</v>
      </c>
      <c r="G79" s="57">
        <v>1187600</v>
      </c>
      <c r="H79" s="57">
        <v>3031900</v>
      </c>
      <c r="I79" s="57">
        <v>2991150</v>
      </c>
      <c r="J79" s="57">
        <v>1179850</v>
      </c>
      <c r="K79" s="58">
        <f t="shared" si="10"/>
        <v>41658983</v>
      </c>
    </row>
    <row r="80" spans="1:11" ht="16.5" thickBot="1" x14ac:dyDescent="0.3">
      <c r="A80" s="22"/>
      <c r="B80" s="26"/>
      <c r="C80" s="47"/>
      <c r="D80" s="52"/>
      <c r="E80" s="52"/>
      <c r="F80" s="52"/>
      <c r="G80" s="52"/>
      <c r="H80" s="52"/>
      <c r="I80" s="52"/>
      <c r="J80" s="52"/>
      <c r="K80" s="45"/>
    </row>
    <row r="81" spans="1:11" ht="32.25" thickBot="1" x14ac:dyDescent="0.3">
      <c r="A81" s="27">
        <v>5000000</v>
      </c>
      <c r="B81" s="28" t="s">
        <v>57</v>
      </c>
      <c r="C81" s="36">
        <f>149719949-9600960-2680972</f>
        <v>137438017</v>
      </c>
      <c r="D81" s="36">
        <f>1759050+5409810</f>
        <v>7168860</v>
      </c>
      <c r="E81" s="36">
        <f>34759285+4191150</f>
        <v>38950435</v>
      </c>
      <c r="F81" s="36">
        <v>18016341</v>
      </c>
      <c r="G81" s="36">
        <v>9575558</v>
      </c>
      <c r="H81" s="36">
        <v>2232198</v>
      </c>
      <c r="I81" s="36">
        <v>4907320</v>
      </c>
      <c r="J81" s="36">
        <v>3842149</v>
      </c>
      <c r="K81" s="37">
        <f t="shared" si="10"/>
        <v>222130878</v>
      </c>
    </row>
    <row r="82" spans="1:11" ht="16.5" thickBot="1" x14ac:dyDescent="0.3">
      <c r="A82" s="23"/>
      <c r="B82" s="24" t="s">
        <v>58</v>
      </c>
      <c r="C82" s="48">
        <f t="shared" ref="C82:J82" si="11">SUM(C14+C47+C63+C81)</f>
        <v>1665219593</v>
      </c>
      <c r="D82" s="48">
        <f t="shared" si="11"/>
        <v>229054231</v>
      </c>
      <c r="E82" s="48">
        <f t="shared" si="11"/>
        <v>106736401</v>
      </c>
      <c r="F82" s="48">
        <f t="shared" si="11"/>
        <v>92259366</v>
      </c>
      <c r="G82" s="48">
        <f t="shared" si="11"/>
        <v>37687605</v>
      </c>
      <c r="H82" s="48">
        <f t="shared" si="11"/>
        <v>44267478</v>
      </c>
      <c r="I82" s="48">
        <f t="shared" si="11"/>
        <v>38907398</v>
      </c>
      <c r="J82" s="48">
        <f t="shared" si="11"/>
        <v>15857961</v>
      </c>
      <c r="K82" s="49">
        <f t="shared" si="10"/>
        <v>2229990033</v>
      </c>
    </row>
    <row r="90" spans="1:11" x14ac:dyDescent="0.25">
      <c r="B90" s="25"/>
      <c r="C90" s="15"/>
      <c r="D90" s="15"/>
      <c r="E90" s="15"/>
      <c r="F90" s="15"/>
      <c r="G90" s="15"/>
      <c r="H90" s="15"/>
      <c r="I90" s="15"/>
      <c r="J90" s="15"/>
    </row>
    <row r="91" spans="1:11" x14ac:dyDescent="0.25">
      <c r="B91" s="25"/>
      <c r="C91" s="15"/>
      <c r="D91" s="15"/>
      <c r="E91" s="15"/>
      <c r="F91" s="15"/>
      <c r="G91" s="15"/>
      <c r="H91" s="15"/>
      <c r="I91" s="15"/>
      <c r="J91" s="15"/>
    </row>
    <row r="115" spans="1:10" x14ac:dyDescent="0.25">
      <c r="B115" s="25"/>
      <c r="C115" s="15"/>
      <c r="D115" s="15"/>
      <c r="E115" s="15"/>
      <c r="F115" s="15"/>
      <c r="G115" s="15"/>
      <c r="H115" s="15"/>
      <c r="I115" s="15"/>
      <c r="J115" s="15"/>
    </row>
    <row r="116" spans="1:10" x14ac:dyDescent="0.25">
      <c r="B116" s="25"/>
      <c r="C116" s="15"/>
      <c r="D116" s="15"/>
      <c r="E116" s="15"/>
      <c r="F116" s="15"/>
      <c r="G116" s="15"/>
      <c r="H116" s="15"/>
      <c r="I116" s="15"/>
      <c r="J116" s="15"/>
    </row>
    <row r="117" spans="1:10" x14ac:dyDescent="0.25">
      <c r="B117" s="25"/>
      <c r="C117" s="15"/>
      <c r="D117" s="15"/>
      <c r="E117" s="15"/>
      <c r="F117" s="15"/>
      <c r="G117" s="15"/>
      <c r="H117" s="15"/>
      <c r="I117" s="15"/>
      <c r="J117" s="15"/>
    </row>
    <row r="118" spans="1:10" x14ac:dyDescent="0.25">
      <c r="B118" s="25"/>
      <c r="C118" s="15"/>
      <c r="D118" s="15"/>
      <c r="E118" s="15"/>
      <c r="F118" s="15"/>
      <c r="G118" s="15"/>
      <c r="H118" s="15"/>
      <c r="I118" s="15"/>
      <c r="J118" s="15"/>
    </row>
    <row r="124" spans="1:10" x14ac:dyDescent="0.25">
      <c r="A124" s="9"/>
      <c r="B124" s="25"/>
      <c r="C124" s="15"/>
      <c r="D124" s="15"/>
      <c r="E124" s="15"/>
      <c r="F124" s="15"/>
      <c r="G124" s="15"/>
      <c r="H124" s="15"/>
      <c r="I124" s="15"/>
      <c r="J124" s="15"/>
    </row>
    <row r="125" spans="1:10" x14ac:dyDescent="0.25">
      <c r="B125" s="25"/>
      <c r="C125" s="15"/>
      <c r="D125" s="15"/>
      <c r="E125" s="15"/>
      <c r="F125" s="15"/>
      <c r="G125" s="15"/>
      <c r="H125" s="15"/>
      <c r="I125" s="15"/>
      <c r="J125" s="15"/>
    </row>
    <row r="126" spans="1:10" x14ac:dyDescent="0.25">
      <c r="B126" s="25"/>
      <c r="C126" s="15"/>
      <c r="D126" s="15"/>
      <c r="E126" s="15"/>
      <c r="F126" s="15"/>
      <c r="G126" s="15"/>
      <c r="H126" s="15"/>
      <c r="I126" s="15"/>
      <c r="J126" s="15"/>
    </row>
  </sheetData>
  <mergeCells count="9">
    <mergeCell ref="I7:K7"/>
    <mergeCell ref="H8:K8"/>
    <mergeCell ref="I9:K9"/>
    <mergeCell ref="A11:K11"/>
    <mergeCell ref="J1:K1"/>
    <mergeCell ref="H2:K2"/>
    <mergeCell ref="H3:K3"/>
    <mergeCell ref="H4:K4"/>
    <mergeCell ref="H5:K5"/>
  </mergeCells>
  <pageMargins left="0.39370078740157483" right="0.39370078740157483" top="0.78740157480314965" bottom="0.39370078740157483" header="0" footer="0"/>
  <pageSetup paperSize="9" scale="75" firstPageNumber="5" fitToHeight="3" orientation="landscape" useFirstPageNumber="1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 (1341)</vt:lpstr>
      <vt:lpstr>'Приложение № 1 (1341)'!Заголовки_для_печати</vt:lpstr>
      <vt:lpstr>'Приложение № 1 (1341)'!Область_печати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2024-06-06T09:11:48Z</dcterms:modified>
</cp:coreProperties>
</file>