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920" windowHeight="8220"/>
  </bookViews>
  <sheets>
    <sheet name="Приложение № 1 (11208)" sheetId="1" r:id="rId1"/>
  </sheets>
  <definedNames>
    <definedName name="_xlnm.Print_Titles" localSheetId="0">'Приложение № 1 (11208)'!$13:$13</definedName>
    <definedName name="_xlnm.Print_Area" localSheetId="0">'Приложение № 1 (11208)'!$A$1:$K$93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9" i="1" l="1"/>
  <c r="C67" i="1"/>
  <c r="C65" i="1"/>
  <c r="E89" i="1" l="1"/>
  <c r="C79" i="1"/>
  <c r="F71" i="1"/>
  <c r="F70" i="1"/>
  <c r="C70" i="1"/>
  <c r="K66" i="1"/>
  <c r="C60" i="1"/>
  <c r="C42" i="1"/>
  <c r="F24" i="1"/>
  <c r="F21" i="1"/>
  <c r="D21" i="1"/>
  <c r="C21" i="1"/>
  <c r="F20" i="1"/>
  <c r="D20" i="1"/>
  <c r="C20" i="1"/>
  <c r="F18" i="1"/>
  <c r="F17" i="1"/>
  <c r="C17" i="1"/>
  <c r="C71" i="1" l="1"/>
  <c r="H24" i="1" l="1"/>
  <c r="C48" i="1" l="1"/>
  <c r="D24" i="1" l="1"/>
  <c r="J89" i="1" l="1"/>
  <c r="I89" i="1"/>
  <c r="H89" i="1"/>
  <c r="G89" i="1"/>
  <c r="F89" i="1"/>
  <c r="D89" i="1"/>
  <c r="C64" i="1"/>
  <c r="D64" i="1"/>
  <c r="E64" i="1"/>
  <c r="F64" i="1"/>
  <c r="G64" i="1"/>
  <c r="H64" i="1"/>
  <c r="I64" i="1"/>
  <c r="J64" i="1"/>
  <c r="C53" i="1"/>
  <c r="J23" i="1"/>
  <c r="I23" i="1"/>
  <c r="H23" i="1"/>
  <c r="G23" i="1"/>
  <c r="F23" i="1"/>
  <c r="E23" i="1"/>
  <c r="D23" i="1"/>
  <c r="C23" i="1"/>
  <c r="J24" i="1"/>
  <c r="I24" i="1"/>
  <c r="G24" i="1"/>
  <c r="E24" i="1"/>
  <c r="C24" i="1"/>
  <c r="K64" i="1" l="1"/>
  <c r="K67" i="1"/>
  <c r="K65" i="1"/>
  <c r="F48" i="1"/>
  <c r="E48" i="1"/>
  <c r="F50" i="1" l="1"/>
  <c r="C91" i="1" l="1"/>
  <c r="K91" i="1"/>
  <c r="D17" i="1" l="1"/>
  <c r="J32" i="1"/>
  <c r="I32" i="1"/>
  <c r="H32" i="1"/>
  <c r="G32" i="1"/>
  <c r="F32" i="1"/>
  <c r="E32" i="1"/>
  <c r="D32" i="1"/>
  <c r="C32" i="1"/>
  <c r="J36" i="1"/>
  <c r="I36" i="1"/>
  <c r="H36" i="1"/>
  <c r="G36" i="1"/>
  <c r="F36" i="1"/>
  <c r="E36" i="1"/>
  <c r="D36" i="1"/>
  <c r="C36" i="1"/>
  <c r="J37" i="1"/>
  <c r="I37" i="1"/>
  <c r="H37" i="1"/>
  <c r="G37" i="1"/>
  <c r="F37" i="1"/>
  <c r="E37" i="1"/>
  <c r="J39" i="1"/>
  <c r="I39" i="1"/>
  <c r="H39" i="1"/>
  <c r="G39" i="1"/>
  <c r="F39" i="1"/>
  <c r="E39" i="1"/>
  <c r="C39" i="1"/>
  <c r="C50" i="1"/>
  <c r="C57" i="1"/>
  <c r="C58" i="1"/>
  <c r="J73" i="1"/>
  <c r="I73" i="1"/>
  <c r="H73" i="1"/>
  <c r="G73" i="1"/>
  <c r="F73" i="1"/>
  <c r="E73" i="1"/>
  <c r="D73" i="1"/>
  <c r="C73" i="1"/>
  <c r="K32" i="1" l="1"/>
  <c r="C33" i="1"/>
  <c r="D33" i="1"/>
  <c r="E33" i="1"/>
  <c r="F33" i="1"/>
  <c r="G33" i="1"/>
  <c r="H33" i="1"/>
  <c r="I33" i="1"/>
  <c r="J33" i="1"/>
  <c r="K33" i="1" l="1"/>
  <c r="C69" i="1" l="1"/>
  <c r="K75" i="1" l="1"/>
  <c r="K53" i="1" l="1"/>
  <c r="D47" i="1" l="1"/>
  <c r="E47" i="1"/>
  <c r="F47" i="1"/>
  <c r="G47" i="1"/>
  <c r="H47" i="1"/>
  <c r="I47" i="1"/>
  <c r="J47" i="1"/>
  <c r="C47" i="1"/>
  <c r="D15" i="1" l="1"/>
  <c r="E15" i="1"/>
  <c r="F15" i="1"/>
  <c r="G15" i="1"/>
  <c r="H15" i="1"/>
  <c r="I15" i="1"/>
  <c r="J15" i="1"/>
  <c r="C15" i="1"/>
  <c r="K24" i="1"/>
  <c r="K23" i="1" l="1"/>
  <c r="D41" i="1" l="1"/>
  <c r="E41" i="1"/>
  <c r="F41" i="1"/>
  <c r="G41" i="1"/>
  <c r="H41" i="1"/>
  <c r="I41" i="1"/>
  <c r="J41" i="1"/>
  <c r="C41" i="1"/>
  <c r="D26" i="1" l="1"/>
  <c r="E26" i="1"/>
  <c r="F26" i="1"/>
  <c r="G26" i="1"/>
  <c r="H26" i="1"/>
  <c r="I26" i="1"/>
  <c r="J26" i="1"/>
  <c r="C26" i="1"/>
  <c r="D44" i="1"/>
  <c r="E44" i="1"/>
  <c r="F44" i="1"/>
  <c r="G44" i="1"/>
  <c r="H44" i="1"/>
  <c r="I44" i="1"/>
  <c r="J44" i="1"/>
  <c r="C44" i="1"/>
  <c r="K89" i="1"/>
  <c r="K87" i="1"/>
  <c r="K85" i="1"/>
  <c r="K83" i="1"/>
  <c r="K81" i="1"/>
  <c r="K79" i="1"/>
  <c r="K77" i="1"/>
  <c r="K73" i="1"/>
  <c r="K71" i="1"/>
  <c r="K70" i="1"/>
  <c r="K62" i="1"/>
  <c r="K60" i="1"/>
  <c r="K58" i="1"/>
  <c r="K57" i="1"/>
  <c r="K55" i="1"/>
  <c r="K54" i="1"/>
  <c r="K52" i="1"/>
  <c r="K51" i="1"/>
  <c r="K50" i="1"/>
  <c r="K49" i="1"/>
  <c r="K48" i="1"/>
  <c r="K47" i="1"/>
  <c r="K45" i="1"/>
  <c r="K42" i="1"/>
  <c r="K39" i="1"/>
  <c r="K38" i="1"/>
  <c r="K37" i="1"/>
  <c r="K36" i="1"/>
  <c r="K35" i="1"/>
  <c r="K34" i="1"/>
  <c r="K30" i="1"/>
  <c r="K29" i="1"/>
  <c r="K28" i="1"/>
  <c r="K27" i="1"/>
  <c r="K22" i="1"/>
  <c r="K21" i="1"/>
  <c r="K20" i="1"/>
  <c r="K19" i="1"/>
  <c r="K18" i="1"/>
  <c r="K17" i="1"/>
  <c r="D69" i="1"/>
  <c r="E69" i="1"/>
  <c r="F69" i="1"/>
  <c r="G69" i="1"/>
  <c r="H69" i="1"/>
  <c r="I69" i="1"/>
  <c r="J69" i="1"/>
  <c r="C14" i="1" l="1"/>
  <c r="I14" i="1"/>
  <c r="G14" i="1"/>
  <c r="E14" i="1"/>
  <c r="J14" i="1"/>
  <c r="H14" i="1"/>
  <c r="F14" i="1"/>
  <c r="D14" i="1"/>
  <c r="K26" i="1"/>
  <c r="K15" i="1"/>
  <c r="K69" i="1"/>
  <c r="K41" i="1"/>
  <c r="K44" i="1"/>
  <c r="F93" i="1" l="1"/>
  <c r="H93" i="1"/>
  <c r="J93" i="1"/>
  <c r="E93" i="1"/>
  <c r="G93" i="1"/>
  <c r="D93" i="1"/>
  <c r="I93" i="1"/>
  <c r="C93" i="1"/>
  <c r="K14" i="1"/>
  <c r="K93" i="1" l="1"/>
</calcChain>
</file>

<file path=xl/sharedStrings.xml><?xml version="1.0" encoding="utf-8"?>
<sst xmlns="http://schemas.openxmlformats.org/spreadsheetml/2006/main" count="80" uniqueCount="77">
  <si>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</si>
  <si>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</si>
  <si>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</si>
  <si>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</si>
  <si>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</si>
  <si>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</si>
  <si>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</si>
  <si>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</si>
  <si>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</si>
  <si>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</si>
  <si>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</si>
  <si>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</si>
  <si>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</si>
  <si>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</si>
  <si>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</si>
  <si>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</si>
  <si>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</si>
  <si>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</si>
  <si>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</si>
  <si>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</si>
  <si>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</si>
  <si>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</si>
  <si>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</si>
  <si>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</si>
  <si>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</si>
  <si>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</si>
  <si>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</si>
  <si>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</si>
  <si>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</si>
  <si>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</si>
  <si>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</si>
  <si>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</si>
  <si>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</si>
  <si>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</si>
  <si>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</si>
  <si>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</si>
  <si>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</si>
  <si>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</si>
  <si>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</si>
  <si>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</si>
  <si>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</si>
  <si>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</si>
  <si>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</si>
  <si>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</si>
  <si>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</si>
  <si>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</si>
  <si>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</si>
  <si>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</si>
  <si>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</si>
  <si>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</si>
  <si>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</si>
  <si>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</si>
  <si>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</si>
  <si>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</si>
  <si>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</si>
  <si>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</si>
  <si>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</si>
  <si>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</si>
  <si>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</si>
  <si>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</si>
  <si>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</si>
  <si>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</si>
  <si>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</si>
  <si>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</si>
  <si>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</si>
  <si>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>"О республиканском бюджете на 2023 год"</t>
  </si>
  <si>
    <t>Доходы республиканского бюджета в разрезе основных видов налоговых, неналоговых и иных обязательных платежей на 2023 год</t>
  </si>
  <si>
    <t xml:space="preserve">Отчисления средств от налога на доходы на цели пенсионного страхования (обеспечения) </t>
  </si>
  <si>
    <t>Возврат бюджетных ссуд и проценты по ним</t>
  </si>
  <si>
    <t>Фонд государственного резерва</t>
  </si>
  <si>
    <t>Иные поступления, носящие нерегулярный характер</t>
  </si>
  <si>
    <t>Безвозмездные перечисления</t>
  </si>
  <si>
    <t>От нерезидентов</t>
  </si>
  <si>
    <t>Прочие безвозмездные перечисления</t>
  </si>
  <si>
    <t>От нерезидентов на цели субсидирования хозяйствующих субъектов</t>
  </si>
  <si>
    <t>"О внесении изменений и дополнений</t>
  </si>
  <si>
    <t xml:space="preserve">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</si>
</sst>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71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" fontId="6" fillId="2" borderId="2" xfId="0" applyNumberFormat="1" applyFont="1" applyFill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1" fontId="6" fillId="2" borderId="10" xfId="0" applyNumberFormat="1" applyFont="1" applyFill="1" applyBorder="1" applyAlignment="1">
      <alignment vertical="center" wrapText="1"/>
    </xf>
    <xf numFmtId="3" fontId="6" fillId="2" borderId="11" xfId="0" applyNumberFormat="1" applyFont="1" applyFill="1" applyBorder="1" applyAlignment="1">
      <alignment vertical="center" wrapText="1"/>
    </xf>
    <xf numFmtId="3" fontId="5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6" fillId="2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2" fillId="4" borderId="8" xfId="1" applyNumberFormat="1" applyFont="1" applyFill="1" applyBorder="1" applyAlignment="1">
      <alignment horizontal="right" vertical="center"/>
    </xf>
    <xf numFmtId="164" fontId="2" fillId="4" borderId="9" xfId="1" applyNumberFormat="1" applyFont="1" applyFill="1" applyBorder="1" applyAlignment="1">
      <alignment horizontal="right" vertical="center"/>
    </xf>
    <xf numFmtId="164" fontId="2" fillId="2" borderId="11" xfId="1" applyNumberFormat="1" applyFont="1" applyFill="1" applyBorder="1" applyAlignment="1">
      <alignment horizontal="right" vertical="center"/>
    </xf>
    <xf numFmtId="164" fontId="2" fillId="2" borderId="12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2" fillId="2" borderId="3" xfId="1" applyNumberFormat="1" applyFont="1" applyFill="1" applyBorder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3" fillId="2" borderId="3" xfId="1" applyNumberFormat="1" applyFont="1" applyFill="1" applyBorder="1" applyAlignment="1">
      <alignment horizontal="right" vertical="center"/>
    </xf>
    <xf numFmtId="164" fontId="6" fillId="2" borderId="1" xfId="1" applyNumberFormat="1" applyFont="1" applyFill="1" applyBorder="1" applyAlignment="1">
      <alignment horizontal="right" vertical="center"/>
    </xf>
    <xf numFmtId="164" fontId="6" fillId="2" borderId="3" xfId="1" applyNumberFormat="1" applyFont="1" applyFill="1" applyBorder="1" applyAlignment="1">
      <alignment horizontal="right" vertical="center"/>
    </xf>
    <xf numFmtId="164" fontId="3" fillId="2" borderId="5" xfId="1" applyNumberFormat="1" applyFont="1" applyFill="1" applyBorder="1" applyAlignment="1">
      <alignment horizontal="right" vertical="center"/>
    </xf>
    <xf numFmtId="164" fontId="2" fillId="2" borderId="6" xfId="1" applyNumberFormat="1" applyFont="1" applyFill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2" fillId="2" borderId="5" xfId="1" applyNumberFormat="1" applyFont="1" applyFill="1" applyBorder="1" applyAlignment="1">
      <alignment horizontal="right" vertical="center"/>
    </xf>
    <xf numFmtId="164" fontId="6" fillId="2" borderId="11" xfId="1" applyNumberFormat="1" applyFont="1" applyFill="1" applyBorder="1" applyAlignment="1">
      <alignment horizontal="right" vertical="center"/>
    </xf>
    <xf numFmtId="164" fontId="6" fillId="2" borderId="12" xfId="1" applyNumberFormat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3" fontId="3" fillId="2" borderId="13" xfId="0" applyNumberFormat="1" applyFont="1" applyFill="1" applyBorder="1" applyAlignment="1">
      <alignment vertical="center" wrapText="1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view="pageBreakPreview" zoomScale="90" zoomScaleNormal="90" zoomScaleSheetLayoutView="90" workbookViewId="0">
      <pane xSplit="2" ySplit="13" topLeftCell="C84" activePane="bottomRight" state="frozen"/>
      <selection pane="topRight" activeCell="C1" sqref="C1"/>
      <selection pane="bottomLeft" activeCell="A10" sqref="A10"/>
      <selection pane="bottomRight" activeCell="C13" sqref="C13"/>
    </sheetView>
  </sheetViews>
  <sheetFormatPr defaultColWidth="58.33203125" defaultRowHeight="15.6" x14ac:dyDescent="0.3"/>
  <cols>
    <col min="1" max="1" width="9" style="6" bestFit="1" customWidth="1"/>
    <col min="2" max="2" width="49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5.5546875" style="13" customWidth="1"/>
    <col min="10" max="10" width="12.88671875" style="13" bestFit="1" customWidth="1"/>
    <col min="11" max="11" width="15.6640625" style="13" bestFit="1" customWidth="1"/>
    <col min="12" max="72" width="58.33203125" style="13"/>
    <col min="73" max="73" width="9" style="13" customWidth="1"/>
    <col min="74" max="74" width="60.33203125" style="13" customWidth="1"/>
    <col min="75" max="75" width="15.6640625" style="13" bestFit="1" customWidth="1"/>
    <col min="76" max="76" width="14.109375" style="13" bestFit="1" customWidth="1"/>
    <col min="77" max="77" width="14.109375" style="13" customWidth="1"/>
    <col min="78" max="78" width="14.109375" style="13" bestFit="1" customWidth="1"/>
    <col min="79" max="80" width="13.109375" style="13" bestFit="1" customWidth="1"/>
    <col min="81" max="81" width="14" style="13" customWidth="1"/>
    <col min="82" max="82" width="13.109375" style="13" customWidth="1"/>
    <col min="83" max="83" width="16.44140625" style="13" customWidth="1"/>
    <col min="84" max="84" width="18.5546875" style="13" customWidth="1"/>
    <col min="85" max="85" width="8.109375" style="13" bestFit="1" customWidth="1"/>
    <col min="86" max="328" width="58.33203125" style="13"/>
    <col min="329" max="329" width="9" style="13" customWidth="1"/>
    <col min="330" max="330" width="60.33203125" style="13" customWidth="1"/>
    <col min="331" max="331" width="15.6640625" style="13" bestFit="1" customWidth="1"/>
    <col min="332" max="332" width="14.109375" style="13" bestFit="1" customWidth="1"/>
    <col min="333" max="333" width="14.109375" style="13" customWidth="1"/>
    <col min="334" max="334" width="14.109375" style="13" bestFit="1" customWidth="1"/>
    <col min="335" max="336" width="13.109375" style="13" bestFit="1" customWidth="1"/>
    <col min="337" max="337" width="14" style="13" customWidth="1"/>
    <col min="338" max="338" width="13.109375" style="13" customWidth="1"/>
    <col min="339" max="339" width="16.44140625" style="13" customWidth="1"/>
    <col min="340" max="340" width="18.5546875" style="13" customWidth="1"/>
    <col min="341" max="341" width="8.109375" style="13" bestFit="1" customWidth="1"/>
    <col min="342" max="584" width="58.33203125" style="13"/>
    <col min="585" max="585" width="9" style="13" customWidth="1"/>
    <col min="586" max="586" width="60.33203125" style="13" customWidth="1"/>
    <col min="587" max="587" width="15.6640625" style="13" bestFit="1" customWidth="1"/>
    <col min="588" max="588" width="14.109375" style="13" bestFit="1" customWidth="1"/>
    <col min="589" max="589" width="14.109375" style="13" customWidth="1"/>
    <col min="590" max="590" width="14.109375" style="13" bestFit="1" customWidth="1"/>
    <col min="591" max="592" width="13.109375" style="13" bestFit="1" customWidth="1"/>
    <col min="593" max="593" width="14" style="13" customWidth="1"/>
    <col min="594" max="594" width="13.109375" style="13" customWidth="1"/>
    <col min="595" max="595" width="16.44140625" style="13" customWidth="1"/>
    <col min="596" max="596" width="18.5546875" style="13" customWidth="1"/>
    <col min="597" max="597" width="8.109375" style="13" bestFit="1" customWidth="1"/>
    <col min="598" max="840" width="58.33203125" style="13"/>
    <col min="841" max="841" width="9" style="13" customWidth="1"/>
    <col min="842" max="842" width="60.33203125" style="13" customWidth="1"/>
    <col min="843" max="843" width="15.6640625" style="13" bestFit="1" customWidth="1"/>
    <col min="844" max="844" width="14.109375" style="13" bestFit="1" customWidth="1"/>
    <col min="845" max="845" width="14.109375" style="13" customWidth="1"/>
    <col min="846" max="846" width="14.109375" style="13" bestFit="1" customWidth="1"/>
    <col min="847" max="848" width="13.109375" style="13" bestFit="1" customWidth="1"/>
    <col min="849" max="849" width="14" style="13" customWidth="1"/>
    <col min="850" max="850" width="13.109375" style="13" customWidth="1"/>
    <col min="851" max="851" width="16.44140625" style="13" customWidth="1"/>
    <col min="852" max="852" width="18.5546875" style="13" customWidth="1"/>
    <col min="853" max="853" width="8.109375" style="13" bestFit="1" customWidth="1"/>
    <col min="854" max="1096" width="58.33203125" style="13"/>
    <col min="1097" max="1097" width="9" style="13" customWidth="1"/>
    <col min="1098" max="1098" width="60.33203125" style="13" customWidth="1"/>
    <col min="1099" max="1099" width="15.6640625" style="13" bestFit="1" customWidth="1"/>
    <col min="1100" max="1100" width="14.109375" style="13" bestFit="1" customWidth="1"/>
    <col min="1101" max="1101" width="14.109375" style="13" customWidth="1"/>
    <col min="1102" max="1102" width="14.109375" style="13" bestFit="1" customWidth="1"/>
    <col min="1103" max="1104" width="13.109375" style="13" bestFit="1" customWidth="1"/>
    <col min="1105" max="1105" width="14" style="13" customWidth="1"/>
    <col min="1106" max="1106" width="13.109375" style="13" customWidth="1"/>
    <col min="1107" max="1107" width="16.44140625" style="13" customWidth="1"/>
    <col min="1108" max="1108" width="18.5546875" style="13" customWidth="1"/>
    <col min="1109" max="1109" width="8.109375" style="13" bestFit="1" customWidth="1"/>
    <col min="1110" max="1352" width="58.33203125" style="13"/>
    <col min="1353" max="1353" width="9" style="13" customWidth="1"/>
    <col min="1354" max="1354" width="60.33203125" style="13" customWidth="1"/>
    <col min="1355" max="1355" width="15.6640625" style="13" bestFit="1" customWidth="1"/>
    <col min="1356" max="1356" width="14.109375" style="13" bestFit="1" customWidth="1"/>
    <col min="1357" max="1357" width="14.109375" style="13" customWidth="1"/>
    <col min="1358" max="1358" width="14.109375" style="13" bestFit="1" customWidth="1"/>
    <col min="1359" max="1360" width="13.109375" style="13" bestFit="1" customWidth="1"/>
    <col min="1361" max="1361" width="14" style="13" customWidth="1"/>
    <col min="1362" max="1362" width="13.109375" style="13" customWidth="1"/>
    <col min="1363" max="1363" width="16.44140625" style="13" customWidth="1"/>
    <col min="1364" max="1364" width="18.5546875" style="13" customWidth="1"/>
    <col min="1365" max="1365" width="8.109375" style="13" bestFit="1" customWidth="1"/>
    <col min="1366" max="1608" width="58.33203125" style="13"/>
    <col min="1609" max="1609" width="9" style="13" customWidth="1"/>
    <col min="1610" max="1610" width="60.33203125" style="13" customWidth="1"/>
    <col min="1611" max="1611" width="15.6640625" style="13" bestFit="1" customWidth="1"/>
    <col min="1612" max="1612" width="14.109375" style="13" bestFit="1" customWidth="1"/>
    <col min="1613" max="1613" width="14.109375" style="13" customWidth="1"/>
    <col min="1614" max="1614" width="14.109375" style="13" bestFit="1" customWidth="1"/>
    <col min="1615" max="1616" width="13.109375" style="13" bestFit="1" customWidth="1"/>
    <col min="1617" max="1617" width="14" style="13" customWidth="1"/>
    <col min="1618" max="1618" width="13.109375" style="13" customWidth="1"/>
    <col min="1619" max="1619" width="16.44140625" style="13" customWidth="1"/>
    <col min="1620" max="1620" width="18.5546875" style="13" customWidth="1"/>
    <col min="1621" max="1621" width="8.109375" style="13" bestFit="1" customWidth="1"/>
    <col min="1622" max="1864" width="58.33203125" style="13"/>
    <col min="1865" max="1865" width="9" style="13" customWidth="1"/>
    <col min="1866" max="1866" width="60.33203125" style="13" customWidth="1"/>
    <col min="1867" max="1867" width="15.6640625" style="13" bestFit="1" customWidth="1"/>
    <col min="1868" max="1868" width="14.109375" style="13" bestFit="1" customWidth="1"/>
    <col min="1869" max="1869" width="14.109375" style="13" customWidth="1"/>
    <col min="1870" max="1870" width="14.109375" style="13" bestFit="1" customWidth="1"/>
    <col min="1871" max="1872" width="13.109375" style="13" bestFit="1" customWidth="1"/>
    <col min="1873" max="1873" width="14" style="13" customWidth="1"/>
    <col min="1874" max="1874" width="13.109375" style="13" customWidth="1"/>
    <col min="1875" max="1875" width="16.44140625" style="13" customWidth="1"/>
    <col min="1876" max="1876" width="18.5546875" style="13" customWidth="1"/>
    <col min="1877" max="1877" width="8.109375" style="13" bestFit="1" customWidth="1"/>
    <col min="1878" max="2120" width="58.33203125" style="13"/>
    <col min="2121" max="2121" width="9" style="13" customWidth="1"/>
    <col min="2122" max="2122" width="60.33203125" style="13" customWidth="1"/>
    <col min="2123" max="2123" width="15.6640625" style="13" bestFit="1" customWidth="1"/>
    <col min="2124" max="2124" width="14.109375" style="13" bestFit="1" customWidth="1"/>
    <col min="2125" max="2125" width="14.109375" style="13" customWidth="1"/>
    <col min="2126" max="2126" width="14.109375" style="13" bestFit="1" customWidth="1"/>
    <col min="2127" max="2128" width="13.109375" style="13" bestFit="1" customWidth="1"/>
    <col min="2129" max="2129" width="14" style="13" customWidth="1"/>
    <col min="2130" max="2130" width="13.109375" style="13" customWidth="1"/>
    <col min="2131" max="2131" width="16.44140625" style="13" customWidth="1"/>
    <col min="2132" max="2132" width="18.5546875" style="13" customWidth="1"/>
    <col min="2133" max="2133" width="8.109375" style="13" bestFit="1" customWidth="1"/>
    <col min="2134" max="2376" width="58.33203125" style="13"/>
    <col min="2377" max="2377" width="9" style="13" customWidth="1"/>
    <col min="2378" max="2378" width="60.33203125" style="13" customWidth="1"/>
    <col min="2379" max="2379" width="15.6640625" style="13" bestFit="1" customWidth="1"/>
    <col min="2380" max="2380" width="14.109375" style="13" bestFit="1" customWidth="1"/>
    <col min="2381" max="2381" width="14.109375" style="13" customWidth="1"/>
    <col min="2382" max="2382" width="14.109375" style="13" bestFit="1" customWidth="1"/>
    <col min="2383" max="2384" width="13.109375" style="13" bestFit="1" customWidth="1"/>
    <col min="2385" max="2385" width="14" style="13" customWidth="1"/>
    <col min="2386" max="2386" width="13.109375" style="13" customWidth="1"/>
    <col min="2387" max="2387" width="16.44140625" style="13" customWidth="1"/>
    <col min="2388" max="2388" width="18.5546875" style="13" customWidth="1"/>
    <col min="2389" max="2389" width="8.109375" style="13" bestFit="1" customWidth="1"/>
    <col min="2390" max="2632" width="58.33203125" style="13"/>
    <col min="2633" max="2633" width="9" style="13" customWidth="1"/>
    <col min="2634" max="2634" width="60.33203125" style="13" customWidth="1"/>
    <col min="2635" max="2635" width="15.6640625" style="13" bestFit="1" customWidth="1"/>
    <col min="2636" max="2636" width="14.109375" style="13" bestFit="1" customWidth="1"/>
    <col min="2637" max="2637" width="14.109375" style="13" customWidth="1"/>
    <col min="2638" max="2638" width="14.109375" style="13" bestFit="1" customWidth="1"/>
    <col min="2639" max="2640" width="13.109375" style="13" bestFit="1" customWidth="1"/>
    <col min="2641" max="2641" width="14" style="13" customWidth="1"/>
    <col min="2642" max="2642" width="13.109375" style="13" customWidth="1"/>
    <col min="2643" max="2643" width="16.44140625" style="13" customWidth="1"/>
    <col min="2644" max="2644" width="18.5546875" style="13" customWidth="1"/>
    <col min="2645" max="2645" width="8.109375" style="13" bestFit="1" customWidth="1"/>
    <col min="2646" max="2888" width="58.33203125" style="13"/>
    <col min="2889" max="2889" width="9" style="13" customWidth="1"/>
    <col min="2890" max="2890" width="60.33203125" style="13" customWidth="1"/>
    <col min="2891" max="2891" width="15.6640625" style="13" bestFit="1" customWidth="1"/>
    <col min="2892" max="2892" width="14.109375" style="13" bestFit="1" customWidth="1"/>
    <col min="2893" max="2893" width="14.109375" style="13" customWidth="1"/>
    <col min="2894" max="2894" width="14.109375" style="13" bestFit="1" customWidth="1"/>
    <col min="2895" max="2896" width="13.109375" style="13" bestFit="1" customWidth="1"/>
    <col min="2897" max="2897" width="14" style="13" customWidth="1"/>
    <col min="2898" max="2898" width="13.109375" style="13" customWidth="1"/>
    <col min="2899" max="2899" width="16.44140625" style="13" customWidth="1"/>
    <col min="2900" max="2900" width="18.5546875" style="13" customWidth="1"/>
    <col min="2901" max="2901" width="8.109375" style="13" bestFit="1" customWidth="1"/>
    <col min="2902" max="3144" width="58.33203125" style="13"/>
    <col min="3145" max="3145" width="9" style="13" customWidth="1"/>
    <col min="3146" max="3146" width="60.33203125" style="13" customWidth="1"/>
    <col min="3147" max="3147" width="15.6640625" style="13" bestFit="1" customWidth="1"/>
    <col min="3148" max="3148" width="14.109375" style="13" bestFit="1" customWidth="1"/>
    <col min="3149" max="3149" width="14.109375" style="13" customWidth="1"/>
    <col min="3150" max="3150" width="14.109375" style="13" bestFit="1" customWidth="1"/>
    <col min="3151" max="3152" width="13.109375" style="13" bestFit="1" customWidth="1"/>
    <col min="3153" max="3153" width="14" style="13" customWidth="1"/>
    <col min="3154" max="3154" width="13.109375" style="13" customWidth="1"/>
    <col min="3155" max="3155" width="16.44140625" style="13" customWidth="1"/>
    <col min="3156" max="3156" width="18.5546875" style="13" customWidth="1"/>
    <col min="3157" max="3157" width="8.109375" style="13" bestFit="1" customWidth="1"/>
    <col min="3158" max="3400" width="58.33203125" style="13"/>
    <col min="3401" max="3401" width="9" style="13" customWidth="1"/>
    <col min="3402" max="3402" width="60.33203125" style="13" customWidth="1"/>
    <col min="3403" max="3403" width="15.6640625" style="13" bestFit="1" customWidth="1"/>
    <col min="3404" max="3404" width="14.109375" style="13" bestFit="1" customWidth="1"/>
    <col min="3405" max="3405" width="14.109375" style="13" customWidth="1"/>
    <col min="3406" max="3406" width="14.109375" style="13" bestFit="1" customWidth="1"/>
    <col min="3407" max="3408" width="13.109375" style="13" bestFit="1" customWidth="1"/>
    <col min="3409" max="3409" width="14" style="13" customWidth="1"/>
    <col min="3410" max="3410" width="13.109375" style="13" customWidth="1"/>
    <col min="3411" max="3411" width="16.44140625" style="13" customWidth="1"/>
    <col min="3412" max="3412" width="18.5546875" style="13" customWidth="1"/>
    <col min="3413" max="3413" width="8.109375" style="13" bestFit="1" customWidth="1"/>
    <col min="3414" max="3656" width="58.33203125" style="13"/>
    <col min="3657" max="3657" width="9" style="13" customWidth="1"/>
    <col min="3658" max="3658" width="60.33203125" style="13" customWidth="1"/>
    <col min="3659" max="3659" width="15.6640625" style="13" bestFit="1" customWidth="1"/>
    <col min="3660" max="3660" width="14.109375" style="13" bestFit="1" customWidth="1"/>
    <col min="3661" max="3661" width="14.109375" style="13" customWidth="1"/>
    <col min="3662" max="3662" width="14.109375" style="13" bestFit="1" customWidth="1"/>
    <col min="3663" max="3664" width="13.109375" style="13" bestFit="1" customWidth="1"/>
    <col min="3665" max="3665" width="14" style="13" customWidth="1"/>
    <col min="3666" max="3666" width="13.109375" style="13" customWidth="1"/>
    <col min="3667" max="3667" width="16.44140625" style="13" customWidth="1"/>
    <col min="3668" max="3668" width="18.5546875" style="13" customWidth="1"/>
    <col min="3669" max="3669" width="8.109375" style="13" bestFit="1" customWidth="1"/>
    <col min="3670" max="3912" width="58.33203125" style="13"/>
    <col min="3913" max="3913" width="9" style="13" customWidth="1"/>
    <col min="3914" max="3914" width="60.33203125" style="13" customWidth="1"/>
    <col min="3915" max="3915" width="15.6640625" style="13" bestFit="1" customWidth="1"/>
    <col min="3916" max="3916" width="14.109375" style="13" bestFit="1" customWidth="1"/>
    <col min="3917" max="3917" width="14.109375" style="13" customWidth="1"/>
    <col min="3918" max="3918" width="14.109375" style="13" bestFit="1" customWidth="1"/>
    <col min="3919" max="3920" width="13.109375" style="13" bestFit="1" customWidth="1"/>
    <col min="3921" max="3921" width="14" style="13" customWidth="1"/>
    <col min="3922" max="3922" width="13.109375" style="13" customWidth="1"/>
    <col min="3923" max="3923" width="16.44140625" style="13" customWidth="1"/>
    <col min="3924" max="3924" width="18.5546875" style="13" customWidth="1"/>
    <col min="3925" max="3925" width="8.109375" style="13" bestFit="1" customWidth="1"/>
    <col min="3926" max="4168" width="58.33203125" style="13"/>
    <col min="4169" max="4169" width="9" style="13" customWidth="1"/>
    <col min="4170" max="4170" width="60.33203125" style="13" customWidth="1"/>
    <col min="4171" max="4171" width="15.6640625" style="13" bestFit="1" customWidth="1"/>
    <col min="4172" max="4172" width="14.109375" style="13" bestFit="1" customWidth="1"/>
    <col min="4173" max="4173" width="14.109375" style="13" customWidth="1"/>
    <col min="4174" max="4174" width="14.109375" style="13" bestFit="1" customWidth="1"/>
    <col min="4175" max="4176" width="13.109375" style="13" bestFit="1" customWidth="1"/>
    <col min="4177" max="4177" width="14" style="13" customWidth="1"/>
    <col min="4178" max="4178" width="13.109375" style="13" customWidth="1"/>
    <col min="4179" max="4179" width="16.44140625" style="13" customWidth="1"/>
    <col min="4180" max="4180" width="18.5546875" style="13" customWidth="1"/>
    <col min="4181" max="4181" width="8.109375" style="13" bestFit="1" customWidth="1"/>
    <col min="4182" max="4424" width="58.33203125" style="13"/>
    <col min="4425" max="4425" width="9" style="13" customWidth="1"/>
    <col min="4426" max="4426" width="60.33203125" style="13" customWidth="1"/>
    <col min="4427" max="4427" width="15.6640625" style="13" bestFit="1" customWidth="1"/>
    <col min="4428" max="4428" width="14.109375" style="13" bestFit="1" customWidth="1"/>
    <col min="4429" max="4429" width="14.109375" style="13" customWidth="1"/>
    <col min="4430" max="4430" width="14.109375" style="13" bestFit="1" customWidth="1"/>
    <col min="4431" max="4432" width="13.109375" style="13" bestFit="1" customWidth="1"/>
    <col min="4433" max="4433" width="14" style="13" customWidth="1"/>
    <col min="4434" max="4434" width="13.109375" style="13" customWidth="1"/>
    <col min="4435" max="4435" width="16.44140625" style="13" customWidth="1"/>
    <col min="4436" max="4436" width="18.5546875" style="13" customWidth="1"/>
    <col min="4437" max="4437" width="8.109375" style="13" bestFit="1" customWidth="1"/>
    <col min="4438" max="4680" width="58.33203125" style="13"/>
    <col min="4681" max="4681" width="9" style="13" customWidth="1"/>
    <col min="4682" max="4682" width="60.33203125" style="13" customWidth="1"/>
    <col min="4683" max="4683" width="15.6640625" style="13" bestFit="1" customWidth="1"/>
    <col min="4684" max="4684" width="14.109375" style="13" bestFit="1" customWidth="1"/>
    <col min="4685" max="4685" width="14.109375" style="13" customWidth="1"/>
    <col min="4686" max="4686" width="14.109375" style="13" bestFit="1" customWidth="1"/>
    <col min="4687" max="4688" width="13.109375" style="13" bestFit="1" customWidth="1"/>
    <col min="4689" max="4689" width="14" style="13" customWidth="1"/>
    <col min="4690" max="4690" width="13.109375" style="13" customWidth="1"/>
    <col min="4691" max="4691" width="16.44140625" style="13" customWidth="1"/>
    <col min="4692" max="4692" width="18.5546875" style="13" customWidth="1"/>
    <col min="4693" max="4693" width="8.109375" style="13" bestFit="1" customWidth="1"/>
    <col min="4694" max="4936" width="58.33203125" style="13"/>
    <col min="4937" max="4937" width="9" style="13" customWidth="1"/>
    <col min="4938" max="4938" width="60.33203125" style="13" customWidth="1"/>
    <col min="4939" max="4939" width="15.6640625" style="13" bestFit="1" customWidth="1"/>
    <col min="4940" max="4940" width="14.109375" style="13" bestFit="1" customWidth="1"/>
    <col min="4941" max="4941" width="14.109375" style="13" customWidth="1"/>
    <col min="4942" max="4942" width="14.109375" style="13" bestFit="1" customWidth="1"/>
    <col min="4943" max="4944" width="13.109375" style="13" bestFit="1" customWidth="1"/>
    <col min="4945" max="4945" width="14" style="13" customWidth="1"/>
    <col min="4946" max="4946" width="13.109375" style="13" customWidth="1"/>
    <col min="4947" max="4947" width="16.44140625" style="13" customWidth="1"/>
    <col min="4948" max="4948" width="18.5546875" style="13" customWidth="1"/>
    <col min="4949" max="4949" width="8.109375" style="13" bestFit="1" customWidth="1"/>
    <col min="4950" max="5192" width="58.33203125" style="13"/>
    <col min="5193" max="5193" width="9" style="13" customWidth="1"/>
    <col min="5194" max="5194" width="60.33203125" style="13" customWidth="1"/>
    <col min="5195" max="5195" width="15.6640625" style="13" bestFit="1" customWidth="1"/>
    <col min="5196" max="5196" width="14.109375" style="13" bestFit="1" customWidth="1"/>
    <col min="5197" max="5197" width="14.109375" style="13" customWidth="1"/>
    <col min="5198" max="5198" width="14.109375" style="13" bestFit="1" customWidth="1"/>
    <col min="5199" max="5200" width="13.109375" style="13" bestFit="1" customWidth="1"/>
    <col min="5201" max="5201" width="14" style="13" customWidth="1"/>
    <col min="5202" max="5202" width="13.109375" style="13" customWidth="1"/>
    <col min="5203" max="5203" width="16.44140625" style="13" customWidth="1"/>
    <col min="5204" max="5204" width="18.5546875" style="13" customWidth="1"/>
    <col min="5205" max="5205" width="8.109375" style="13" bestFit="1" customWidth="1"/>
    <col min="5206" max="5448" width="58.33203125" style="13"/>
    <col min="5449" max="5449" width="9" style="13" customWidth="1"/>
    <col min="5450" max="5450" width="60.33203125" style="13" customWidth="1"/>
    <col min="5451" max="5451" width="15.6640625" style="13" bestFit="1" customWidth="1"/>
    <col min="5452" max="5452" width="14.109375" style="13" bestFit="1" customWidth="1"/>
    <col min="5453" max="5453" width="14.109375" style="13" customWidth="1"/>
    <col min="5454" max="5454" width="14.109375" style="13" bestFit="1" customWidth="1"/>
    <col min="5455" max="5456" width="13.109375" style="13" bestFit="1" customWidth="1"/>
    <col min="5457" max="5457" width="14" style="13" customWidth="1"/>
    <col min="5458" max="5458" width="13.109375" style="13" customWidth="1"/>
    <col min="5459" max="5459" width="16.44140625" style="13" customWidth="1"/>
    <col min="5460" max="5460" width="18.5546875" style="13" customWidth="1"/>
    <col min="5461" max="5461" width="8.109375" style="13" bestFit="1" customWidth="1"/>
    <col min="5462" max="5704" width="58.33203125" style="13"/>
    <col min="5705" max="5705" width="9" style="13" customWidth="1"/>
    <col min="5706" max="5706" width="60.33203125" style="13" customWidth="1"/>
    <col min="5707" max="5707" width="15.6640625" style="13" bestFit="1" customWidth="1"/>
    <col min="5708" max="5708" width="14.109375" style="13" bestFit="1" customWidth="1"/>
    <col min="5709" max="5709" width="14.109375" style="13" customWidth="1"/>
    <col min="5710" max="5710" width="14.109375" style="13" bestFit="1" customWidth="1"/>
    <col min="5711" max="5712" width="13.109375" style="13" bestFit="1" customWidth="1"/>
    <col min="5713" max="5713" width="14" style="13" customWidth="1"/>
    <col min="5714" max="5714" width="13.109375" style="13" customWidth="1"/>
    <col min="5715" max="5715" width="16.44140625" style="13" customWidth="1"/>
    <col min="5716" max="5716" width="18.5546875" style="13" customWidth="1"/>
    <col min="5717" max="5717" width="8.109375" style="13" bestFit="1" customWidth="1"/>
    <col min="5718" max="5960" width="58.33203125" style="13"/>
    <col min="5961" max="5961" width="9" style="13" customWidth="1"/>
    <col min="5962" max="5962" width="60.33203125" style="13" customWidth="1"/>
    <col min="5963" max="5963" width="15.6640625" style="13" bestFit="1" customWidth="1"/>
    <col min="5964" max="5964" width="14.109375" style="13" bestFit="1" customWidth="1"/>
    <col min="5965" max="5965" width="14.109375" style="13" customWidth="1"/>
    <col min="5966" max="5966" width="14.109375" style="13" bestFit="1" customWidth="1"/>
    <col min="5967" max="5968" width="13.109375" style="13" bestFit="1" customWidth="1"/>
    <col min="5969" max="5969" width="14" style="13" customWidth="1"/>
    <col min="5970" max="5970" width="13.109375" style="13" customWidth="1"/>
    <col min="5971" max="5971" width="16.44140625" style="13" customWidth="1"/>
    <col min="5972" max="5972" width="18.5546875" style="13" customWidth="1"/>
    <col min="5973" max="5973" width="8.109375" style="13" bestFit="1" customWidth="1"/>
    <col min="5974" max="6216" width="58.33203125" style="13"/>
    <col min="6217" max="6217" width="9" style="13" customWidth="1"/>
    <col min="6218" max="6218" width="60.33203125" style="13" customWidth="1"/>
    <col min="6219" max="6219" width="15.6640625" style="13" bestFit="1" customWidth="1"/>
    <col min="6220" max="6220" width="14.109375" style="13" bestFit="1" customWidth="1"/>
    <col min="6221" max="6221" width="14.109375" style="13" customWidth="1"/>
    <col min="6222" max="6222" width="14.109375" style="13" bestFit="1" customWidth="1"/>
    <col min="6223" max="6224" width="13.109375" style="13" bestFit="1" customWidth="1"/>
    <col min="6225" max="6225" width="14" style="13" customWidth="1"/>
    <col min="6226" max="6226" width="13.109375" style="13" customWidth="1"/>
    <col min="6227" max="6227" width="16.44140625" style="13" customWidth="1"/>
    <col min="6228" max="6228" width="18.5546875" style="13" customWidth="1"/>
    <col min="6229" max="6229" width="8.109375" style="13" bestFit="1" customWidth="1"/>
    <col min="6230" max="6472" width="58.33203125" style="13"/>
    <col min="6473" max="6473" width="9" style="13" customWidth="1"/>
    <col min="6474" max="6474" width="60.33203125" style="13" customWidth="1"/>
    <col min="6475" max="6475" width="15.6640625" style="13" bestFit="1" customWidth="1"/>
    <col min="6476" max="6476" width="14.109375" style="13" bestFit="1" customWidth="1"/>
    <col min="6477" max="6477" width="14.109375" style="13" customWidth="1"/>
    <col min="6478" max="6478" width="14.109375" style="13" bestFit="1" customWidth="1"/>
    <col min="6479" max="6480" width="13.109375" style="13" bestFit="1" customWidth="1"/>
    <col min="6481" max="6481" width="14" style="13" customWidth="1"/>
    <col min="6482" max="6482" width="13.109375" style="13" customWidth="1"/>
    <col min="6483" max="6483" width="16.44140625" style="13" customWidth="1"/>
    <col min="6484" max="6484" width="18.5546875" style="13" customWidth="1"/>
    <col min="6485" max="6485" width="8.109375" style="13" bestFit="1" customWidth="1"/>
    <col min="6486" max="6728" width="58.33203125" style="13"/>
    <col min="6729" max="6729" width="9" style="13" customWidth="1"/>
    <col min="6730" max="6730" width="60.33203125" style="13" customWidth="1"/>
    <col min="6731" max="6731" width="15.6640625" style="13" bestFit="1" customWidth="1"/>
    <col min="6732" max="6732" width="14.109375" style="13" bestFit="1" customWidth="1"/>
    <col min="6733" max="6733" width="14.109375" style="13" customWidth="1"/>
    <col min="6734" max="6734" width="14.109375" style="13" bestFit="1" customWidth="1"/>
    <col min="6735" max="6736" width="13.109375" style="13" bestFit="1" customWidth="1"/>
    <col min="6737" max="6737" width="14" style="13" customWidth="1"/>
    <col min="6738" max="6738" width="13.109375" style="13" customWidth="1"/>
    <col min="6739" max="6739" width="16.44140625" style="13" customWidth="1"/>
    <col min="6740" max="6740" width="18.5546875" style="13" customWidth="1"/>
    <col min="6741" max="6741" width="8.109375" style="13" bestFit="1" customWidth="1"/>
    <col min="6742" max="6984" width="58.33203125" style="13"/>
    <col min="6985" max="6985" width="9" style="13" customWidth="1"/>
    <col min="6986" max="6986" width="60.33203125" style="13" customWidth="1"/>
    <col min="6987" max="6987" width="15.6640625" style="13" bestFit="1" customWidth="1"/>
    <col min="6988" max="6988" width="14.109375" style="13" bestFit="1" customWidth="1"/>
    <col min="6989" max="6989" width="14.109375" style="13" customWidth="1"/>
    <col min="6990" max="6990" width="14.109375" style="13" bestFit="1" customWidth="1"/>
    <col min="6991" max="6992" width="13.109375" style="13" bestFit="1" customWidth="1"/>
    <col min="6993" max="6993" width="14" style="13" customWidth="1"/>
    <col min="6994" max="6994" width="13.109375" style="13" customWidth="1"/>
    <col min="6995" max="6995" width="16.44140625" style="13" customWidth="1"/>
    <col min="6996" max="6996" width="18.5546875" style="13" customWidth="1"/>
    <col min="6997" max="6997" width="8.109375" style="13" bestFit="1" customWidth="1"/>
    <col min="6998" max="7240" width="58.33203125" style="13"/>
    <col min="7241" max="7241" width="9" style="13" customWidth="1"/>
    <col min="7242" max="7242" width="60.33203125" style="13" customWidth="1"/>
    <col min="7243" max="7243" width="15.6640625" style="13" bestFit="1" customWidth="1"/>
    <col min="7244" max="7244" width="14.109375" style="13" bestFit="1" customWidth="1"/>
    <col min="7245" max="7245" width="14.109375" style="13" customWidth="1"/>
    <col min="7246" max="7246" width="14.109375" style="13" bestFit="1" customWidth="1"/>
    <col min="7247" max="7248" width="13.109375" style="13" bestFit="1" customWidth="1"/>
    <col min="7249" max="7249" width="14" style="13" customWidth="1"/>
    <col min="7250" max="7250" width="13.109375" style="13" customWidth="1"/>
    <col min="7251" max="7251" width="16.44140625" style="13" customWidth="1"/>
    <col min="7252" max="7252" width="18.5546875" style="13" customWidth="1"/>
    <col min="7253" max="7253" width="8.109375" style="13" bestFit="1" customWidth="1"/>
    <col min="7254" max="7496" width="58.33203125" style="13"/>
    <col min="7497" max="7497" width="9" style="13" customWidth="1"/>
    <col min="7498" max="7498" width="60.33203125" style="13" customWidth="1"/>
    <col min="7499" max="7499" width="15.6640625" style="13" bestFit="1" customWidth="1"/>
    <col min="7500" max="7500" width="14.109375" style="13" bestFit="1" customWidth="1"/>
    <col min="7501" max="7501" width="14.109375" style="13" customWidth="1"/>
    <col min="7502" max="7502" width="14.109375" style="13" bestFit="1" customWidth="1"/>
    <col min="7503" max="7504" width="13.109375" style="13" bestFit="1" customWidth="1"/>
    <col min="7505" max="7505" width="14" style="13" customWidth="1"/>
    <col min="7506" max="7506" width="13.109375" style="13" customWidth="1"/>
    <col min="7507" max="7507" width="16.44140625" style="13" customWidth="1"/>
    <col min="7508" max="7508" width="18.5546875" style="13" customWidth="1"/>
    <col min="7509" max="7509" width="8.109375" style="13" bestFit="1" customWidth="1"/>
    <col min="7510" max="7752" width="58.33203125" style="13"/>
    <col min="7753" max="7753" width="9" style="13" customWidth="1"/>
    <col min="7754" max="7754" width="60.33203125" style="13" customWidth="1"/>
    <col min="7755" max="7755" width="15.6640625" style="13" bestFit="1" customWidth="1"/>
    <col min="7756" max="7756" width="14.109375" style="13" bestFit="1" customWidth="1"/>
    <col min="7757" max="7757" width="14.109375" style="13" customWidth="1"/>
    <col min="7758" max="7758" width="14.109375" style="13" bestFit="1" customWidth="1"/>
    <col min="7759" max="7760" width="13.109375" style="13" bestFit="1" customWidth="1"/>
    <col min="7761" max="7761" width="14" style="13" customWidth="1"/>
    <col min="7762" max="7762" width="13.109375" style="13" customWidth="1"/>
    <col min="7763" max="7763" width="16.44140625" style="13" customWidth="1"/>
    <col min="7764" max="7764" width="18.5546875" style="13" customWidth="1"/>
    <col min="7765" max="7765" width="8.109375" style="13" bestFit="1" customWidth="1"/>
    <col min="7766" max="8008" width="58.33203125" style="13"/>
    <col min="8009" max="8009" width="9" style="13" customWidth="1"/>
    <col min="8010" max="8010" width="60.33203125" style="13" customWidth="1"/>
    <col min="8011" max="8011" width="15.6640625" style="13" bestFit="1" customWidth="1"/>
    <col min="8012" max="8012" width="14.109375" style="13" bestFit="1" customWidth="1"/>
    <col min="8013" max="8013" width="14.109375" style="13" customWidth="1"/>
    <col min="8014" max="8014" width="14.109375" style="13" bestFit="1" customWidth="1"/>
    <col min="8015" max="8016" width="13.109375" style="13" bestFit="1" customWidth="1"/>
    <col min="8017" max="8017" width="14" style="13" customWidth="1"/>
    <col min="8018" max="8018" width="13.109375" style="13" customWidth="1"/>
    <col min="8019" max="8019" width="16.44140625" style="13" customWidth="1"/>
    <col min="8020" max="8020" width="18.5546875" style="13" customWidth="1"/>
    <col min="8021" max="8021" width="8.109375" style="13" bestFit="1" customWidth="1"/>
    <col min="8022" max="8264" width="58.33203125" style="13"/>
    <col min="8265" max="8265" width="9" style="13" customWidth="1"/>
    <col min="8266" max="8266" width="60.33203125" style="13" customWidth="1"/>
    <col min="8267" max="8267" width="15.6640625" style="13" bestFit="1" customWidth="1"/>
    <col min="8268" max="8268" width="14.109375" style="13" bestFit="1" customWidth="1"/>
    <col min="8269" max="8269" width="14.109375" style="13" customWidth="1"/>
    <col min="8270" max="8270" width="14.109375" style="13" bestFit="1" customWidth="1"/>
    <col min="8271" max="8272" width="13.109375" style="13" bestFit="1" customWidth="1"/>
    <col min="8273" max="8273" width="14" style="13" customWidth="1"/>
    <col min="8274" max="8274" width="13.109375" style="13" customWidth="1"/>
    <col min="8275" max="8275" width="16.44140625" style="13" customWidth="1"/>
    <col min="8276" max="8276" width="18.5546875" style="13" customWidth="1"/>
    <col min="8277" max="8277" width="8.109375" style="13" bestFit="1" customWidth="1"/>
    <col min="8278" max="8520" width="58.33203125" style="13"/>
    <col min="8521" max="8521" width="9" style="13" customWidth="1"/>
    <col min="8522" max="8522" width="60.33203125" style="13" customWidth="1"/>
    <col min="8523" max="8523" width="15.6640625" style="13" bestFit="1" customWidth="1"/>
    <col min="8524" max="8524" width="14.109375" style="13" bestFit="1" customWidth="1"/>
    <col min="8525" max="8525" width="14.109375" style="13" customWidth="1"/>
    <col min="8526" max="8526" width="14.109375" style="13" bestFit="1" customWidth="1"/>
    <col min="8527" max="8528" width="13.109375" style="13" bestFit="1" customWidth="1"/>
    <col min="8529" max="8529" width="14" style="13" customWidth="1"/>
    <col min="8530" max="8530" width="13.109375" style="13" customWidth="1"/>
    <col min="8531" max="8531" width="16.44140625" style="13" customWidth="1"/>
    <col min="8532" max="8532" width="18.5546875" style="13" customWidth="1"/>
    <col min="8533" max="8533" width="8.109375" style="13" bestFit="1" customWidth="1"/>
    <col min="8534" max="8776" width="58.33203125" style="13"/>
    <col min="8777" max="8777" width="9" style="13" customWidth="1"/>
    <col min="8778" max="8778" width="60.33203125" style="13" customWidth="1"/>
    <col min="8779" max="8779" width="15.6640625" style="13" bestFit="1" customWidth="1"/>
    <col min="8780" max="8780" width="14.109375" style="13" bestFit="1" customWidth="1"/>
    <col min="8781" max="8781" width="14.109375" style="13" customWidth="1"/>
    <col min="8782" max="8782" width="14.109375" style="13" bestFit="1" customWidth="1"/>
    <col min="8783" max="8784" width="13.109375" style="13" bestFit="1" customWidth="1"/>
    <col min="8785" max="8785" width="14" style="13" customWidth="1"/>
    <col min="8786" max="8786" width="13.109375" style="13" customWidth="1"/>
    <col min="8787" max="8787" width="16.44140625" style="13" customWidth="1"/>
    <col min="8788" max="8788" width="18.5546875" style="13" customWidth="1"/>
    <col min="8789" max="8789" width="8.109375" style="13" bestFit="1" customWidth="1"/>
    <col min="8790" max="9032" width="58.33203125" style="13"/>
    <col min="9033" max="9033" width="9" style="13" customWidth="1"/>
    <col min="9034" max="9034" width="60.33203125" style="13" customWidth="1"/>
    <col min="9035" max="9035" width="15.6640625" style="13" bestFit="1" customWidth="1"/>
    <col min="9036" max="9036" width="14.109375" style="13" bestFit="1" customWidth="1"/>
    <col min="9037" max="9037" width="14.109375" style="13" customWidth="1"/>
    <col min="9038" max="9038" width="14.109375" style="13" bestFit="1" customWidth="1"/>
    <col min="9039" max="9040" width="13.109375" style="13" bestFit="1" customWidth="1"/>
    <col min="9041" max="9041" width="14" style="13" customWidth="1"/>
    <col min="9042" max="9042" width="13.109375" style="13" customWidth="1"/>
    <col min="9043" max="9043" width="16.44140625" style="13" customWidth="1"/>
    <col min="9044" max="9044" width="18.5546875" style="13" customWidth="1"/>
    <col min="9045" max="9045" width="8.109375" style="13" bestFit="1" customWidth="1"/>
    <col min="9046" max="9288" width="58.33203125" style="13"/>
    <col min="9289" max="9289" width="9" style="13" customWidth="1"/>
    <col min="9290" max="9290" width="60.33203125" style="13" customWidth="1"/>
    <col min="9291" max="9291" width="15.6640625" style="13" bestFit="1" customWidth="1"/>
    <col min="9292" max="9292" width="14.109375" style="13" bestFit="1" customWidth="1"/>
    <col min="9293" max="9293" width="14.109375" style="13" customWidth="1"/>
    <col min="9294" max="9294" width="14.109375" style="13" bestFit="1" customWidth="1"/>
    <col min="9295" max="9296" width="13.109375" style="13" bestFit="1" customWidth="1"/>
    <col min="9297" max="9297" width="14" style="13" customWidth="1"/>
    <col min="9298" max="9298" width="13.109375" style="13" customWidth="1"/>
    <col min="9299" max="9299" width="16.44140625" style="13" customWidth="1"/>
    <col min="9300" max="9300" width="18.5546875" style="13" customWidth="1"/>
    <col min="9301" max="9301" width="8.109375" style="13" bestFit="1" customWidth="1"/>
    <col min="9302" max="9544" width="58.33203125" style="13"/>
    <col min="9545" max="9545" width="9" style="13" customWidth="1"/>
    <col min="9546" max="9546" width="60.33203125" style="13" customWidth="1"/>
    <col min="9547" max="9547" width="15.6640625" style="13" bestFit="1" customWidth="1"/>
    <col min="9548" max="9548" width="14.109375" style="13" bestFit="1" customWidth="1"/>
    <col min="9549" max="9549" width="14.109375" style="13" customWidth="1"/>
    <col min="9550" max="9550" width="14.109375" style="13" bestFit="1" customWidth="1"/>
    <col min="9551" max="9552" width="13.109375" style="13" bestFit="1" customWidth="1"/>
    <col min="9553" max="9553" width="14" style="13" customWidth="1"/>
    <col min="9554" max="9554" width="13.109375" style="13" customWidth="1"/>
    <col min="9555" max="9555" width="16.44140625" style="13" customWidth="1"/>
    <col min="9556" max="9556" width="18.5546875" style="13" customWidth="1"/>
    <col min="9557" max="9557" width="8.109375" style="13" bestFit="1" customWidth="1"/>
    <col min="9558" max="9800" width="58.33203125" style="13"/>
    <col min="9801" max="9801" width="9" style="13" customWidth="1"/>
    <col min="9802" max="9802" width="60.33203125" style="13" customWidth="1"/>
    <col min="9803" max="9803" width="15.6640625" style="13" bestFit="1" customWidth="1"/>
    <col min="9804" max="9804" width="14.109375" style="13" bestFit="1" customWidth="1"/>
    <col min="9805" max="9805" width="14.109375" style="13" customWidth="1"/>
    <col min="9806" max="9806" width="14.109375" style="13" bestFit="1" customWidth="1"/>
    <col min="9807" max="9808" width="13.109375" style="13" bestFit="1" customWidth="1"/>
    <col min="9809" max="9809" width="14" style="13" customWidth="1"/>
    <col min="9810" max="9810" width="13.109375" style="13" customWidth="1"/>
    <col min="9811" max="9811" width="16.44140625" style="13" customWidth="1"/>
    <col min="9812" max="9812" width="18.5546875" style="13" customWidth="1"/>
    <col min="9813" max="9813" width="8.109375" style="13" bestFit="1" customWidth="1"/>
    <col min="9814" max="10056" width="58.33203125" style="13"/>
    <col min="10057" max="10057" width="9" style="13" customWidth="1"/>
    <col min="10058" max="10058" width="60.33203125" style="13" customWidth="1"/>
    <col min="10059" max="10059" width="15.6640625" style="13" bestFit="1" customWidth="1"/>
    <col min="10060" max="10060" width="14.109375" style="13" bestFit="1" customWidth="1"/>
    <col min="10061" max="10061" width="14.109375" style="13" customWidth="1"/>
    <col min="10062" max="10062" width="14.109375" style="13" bestFit="1" customWidth="1"/>
    <col min="10063" max="10064" width="13.109375" style="13" bestFit="1" customWidth="1"/>
    <col min="10065" max="10065" width="14" style="13" customWidth="1"/>
    <col min="10066" max="10066" width="13.109375" style="13" customWidth="1"/>
    <col min="10067" max="10067" width="16.44140625" style="13" customWidth="1"/>
    <col min="10068" max="10068" width="18.5546875" style="13" customWidth="1"/>
    <col min="10069" max="10069" width="8.109375" style="13" bestFit="1" customWidth="1"/>
    <col min="10070" max="10312" width="58.33203125" style="13"/>
    <col min="10313" max="10313" width="9" style="13" customWidth="1"/>
    <col min="10314" max="10314" width="60.33203125" style="13" customWidth="1"/>
    <col min="10315" max="10315" width="15.6640625" style="13" bestFit="1" customWidth="1"/>
    <col min="10316" max="10316" width="14.109375" style="13" bestFit="1" customWidth="1"/>
    <col min="10317" max="10317" width="14.109375" style="13" customWidth="1"/>
    <col min="10318" max="10318" width="14.109375" style="13" bestFit="1" customWidth="1"/>
    <col min="10319" max="10320" width="13.109375" style="13" bestFit="1" customWidth="1"/>
    <col min="10321" max="10321" width="14" style="13" customWidth="1"/>
    <col min="10322" max="10322" width="13.109375" style="13" customWidth="1"/>
    <col min="10323" max="10323" width="16.44140625" style="13" customWidth="1"/>
    <col min="10324" max="10324" width="18.5546875" style="13" customWidth="1"/>
    <col min="10325" max="10325" width="8.109375" style="13" bestFit="1" customWidth="1"/>
    <col min="10326" max="10568" width="58.33203125" style="13"/>
    <col min="10569" max="10569" width="9" style="13" customWidth="1"/>
    <col min="10570" max="10570" width="60.33203125" style="13" customWidth="1"/>
    <col min="10571" max="10571" width="15.6640625" style="13" bestFit="1" customWidth="1"/>
    <col min="10572" max="10572" width="14.109375" style="13" bestFit="1" customWidth="1"/>
    <col min="10573" max="10573" width="14.109375" style="13" customWidth="1"/>
    <col min="10574" max="10574" width="14.109375" style="13" bestFit="1" customWidth="1"/>
    <col min="10575" max="10576" width="13.109375" style="13" bestFit="1" customWidth="1"/>
    <col min="10577" max="10577" width="14" style="13" customWidth="1"/>
    <col min="10578" max="10578" width="13.109375" style="13" customWidth="1"/>
    <col min="10579" max="10579" width="16.44140625" style="13" customWidth="1"/>
    <col min="10580" max="10580" width="18.5546875" style="13" customWidth="1"/>
    <col min="10581" max="10581" width="8.109375" style="13" bestFit="1" customWidth="1"/>
    <col min="10582" max="10824" width="58.33203125" style="13"/>
    <col min="10825" max="10825" width="9" style="13" customWidth="1"/>
    <col min="10826" max="10826" width="60.33203125" style="13" customWidth="1"/>
    <col min="10827" max="10827" width="15.6640625" style="13" bestFit="1" customWidth="1"/>
    <col min="10828" max="10828" width="14.109375" style="13" bestFit="1" customWidth="1"/>
    <col min="10829" max="10829" width="14.109375" style="13" customWidth="1"/>
    <col min="10830" max="10830" width="14.109375" style="13" bestFit="1" customWidth="1"/>
    <col min="10831" max="10832" width="13.109375" style="13" bestFit="1" customWidth="1"/>
    <col min="10833" max="10833" width="14" style="13" customWidth="1"/>
    <col min="10834" max="10834" width="13.109375" style="13" customWidth="1"/>
    <col min="10835" max="10835" width="16.44140625" style="13" customWidth="1"/>
    <col min="10836" max="10836" width="18.5546875" style="13" customWidth="1"/>
    <col min="10837" max="10837" width="8.109375" style="13" bestFit="1" customWidth="1"/>
    <col min="10838" max="11080" width="58.33203125" style="13"/>
    <col min="11081" max="11081" width="9" style="13" customWidth="1"/>
    <col min="11082" max="11082" width="60.33203125" style="13" customWidth="1"/>
    <col min="11083" max="11083" width="15.6640625" style="13" bestFit="1" customWidth="1"/>
    <col min="11084" max="11084" width="14.109375" style="13" bestFit="1" customWidth="1"/>
    <col min="11085" max="11085" width="14.109375" style="13" customWidth="1"/>
    <col min="11086" max="11086" width="14.109375" style="13" bestFit="1" customWidth="1"/>
    <col min="11087" max="11088" width="13.109375" style="13" bestFit="1" customWidth="1"/>
    <col min="11089" max="11089" width="14" style="13" customWidth="1"/>
    <col min="11090" max="11090" width="13.109375" style="13" customWidth="1"/>
    <col min="11091" max="11091" width="16.44140625" style="13" customWidth="1"/>
    <col min="11092" max="11092" width="18.5546875" style="13" customWidth="1"/>
    <col min="11093" max="11093" width="8.109375" style="13" bestFit="1" customWidth="1"/>
    <col min="11094" max="11336" width="58.33203125" style="13"/>
    <col min="11337" max="11337" width="9" style="13" customWidth="1"/>
    <col min="11338" max="11338" width="60.33203125" style="13" customWidth="1"/>
    <col min="11339" max="11339" width="15.6640625" style="13" bestFit="1" customWidth="1"/>
    <col min="11340" max="11340" width="14.109375" style="13" bestFit="1" customWidth="1"/>
    <col min="11341" max="11341" width="14.109375" style="13" customWidth="1"/>
    <col min="11342" max="11342" width="14.109375" style="13" bestFit="1" customWidth="1"/>
    <col min="11343" max="11344" width="13.109375" style="13" bestFit="1" customWidth="1"/>
    <col min="11345" max="11345" width="14" style="13" customWidth="1"/>
    <col min="11346" max="11346" width="13.109375" style="13" customWidth="1"/>
    <col min="11347" max="11347" width="16.44140625" style="13" customWidth="1"/>
    <col min="11348" max="11348" width="18.5546875" style="13" customWidth="1"/>
    <col min="11349" max="11349" width="8.109375" style="13" bestFit="1" customWidth="1"/>
    <col min="11350" max="11592" width="58.33203125" style="13"/>
    <col min="11593" max="11593" width="9" style="13" customWidth="1"/>
    <col min="11594" max="11594" width="60.33203125" style="13" customWidth="1"/>
    <col min="11595" max="11595" width="15.6640625" style="13" bestFit="1" customWidth="1"/>
    <col min="11596" max="11596" width="14.109375" style="13" bestFit="1" customWidth="1"/>
    <col min="11597" max="11597" width="14.109375" style="13" customWidth="1"/>
    <col min="11598" max="11598" width="14.109375" style="13" bestFit="1" customWidth="1"/>
    <col min="11599" max="11600" width="13.109375" style="13" bestFit="1" customWidth="1"/>
    <col min="11601" max="11601" width="14" style="13" customWidth="1"/>
    <col min="11602" max="11602" width="13.109375" style="13" customWidth="1"/>
    <col min="11603" max="11603" width="16.44140625" style="13" customWidth="1"/>
    <col min="11604" max="11604" width="18.5546875" style="13" customWidth="1"/>
    <col min="11605" max="11605" width="8.109375" style="13" bestFit="1" customWidth="1"/>
    <col min="11606" max="11848" width="58.33203125" style="13"/>
    <col min="11849" max="11849" width="9" style="13" customWidth="1"/>
    <col min="11850" max="11850" width="60.33203125" style="13" customWidth="1"/>
    <col min="11851" max="11851" width="15.6640625" style="13" bestFit="1" customWidth="1"/>
    <col min="11852" max="11852" width="14.109375" style="13" bestFit="1" customWidth="1"/>
    <col min="11853" max="11853" width="14.109375" style="13" customWidth="1"/>
    <col min="11854" max="11854" width="14.109375" style="13" bestFit="1" customWidth="1"/>
    <col min="11855" max="11856" width="13.109375" style="13" bestFit="1" customWidth="1"/>
    <col min="11857" max="11857" width="14" style="13" customWidth="1"/>
    <col min="11858" max="11858" width="13.109375" style="13" customWidth="1"/>
    <col min="11859" max="11859" width="16.44140625" style="13" customWidth="1"/>
    <col min="11860" max="11860" width="18.5546875" style="13" customWidth="1"/>
    <col min="11861" max="11861" width="8.109375" style="13" bestFit="1" customWidth="1"/>
    <col min="11862" max="12104" width="58.33203125" style="13"/>
    <col min="12105" max="12105" width="9" style="13" customWidth="1"/>
    <col min="12106" max="12106" width="60.33203125" style="13" customWidth="1"/>
    <col min="12107" max="12107" width="15.6640625" style="13" bestFit="1" customWidth="1"/>
    <col min="12108" max="12108" width="14.109375" style="13" bestFit="1" customWidth="1"/>
    <col min="12109" max="12109" width="14.109375" style="13" customWidth="1"/>
    <col min="12110" max="12110" width="14.109375" style="13" bestFit="1" customWidth="1"/>
    <col min="12111" max="12112" width="13.109375" style="13" bestFit="1" customWidth="1"/>
    <col min="12113" max="12113" width="14" style="13" customWidth="1"/>
    <col min="12114" max="12114" width="13.109375" style="13" customWidth="1"/>
    <col min="12115" max="12115" width="16.44140625" style="13" customWidth="1"/>
    <col min="12116" max="12116" width="18.5546875" style="13" customWidth="1"/>
    <col min="12117" max="12117" width="8.109375" style="13" bestFit="1" customWidth="1"/>
    <col min="12118" max="12360" width="58.33203125" style="13"/>
    <col min="12361" max="12361" width="9" style="13" customWidth="1"/>
    <col min="12362" max="12362" width="60.33203125" style="13" customWidth="1"/>
    <col min="12363" max="12363" width="15.6640625" style="13" bestFit="1" customWidth="1"/>
    <col min="12364" max="12364" width="14.109375" style="13" bestFit="1" customWidth="1"/>
    <col min="12365" max="12365" width="14.109375" style="13" customWidth="1"/>
    <col min="12366" max="12366" width="14.109375" style="13" bestFit="1" customWidth="1"/>
    <col min="12367" max="12368" width="13.109375" style="13" bestFit="1" customWidth="1"/>
    <col min="12369" max="12369" width="14" style="13" customWidth="1"/>
    <col min="12370" max="12370" width="13.109375" style="13" customWidth="1"/>
    <col min="12371" max="12371" width="16.44140625" style="13" customWidth="1"/>
    <col min="12372" max="12372" width="18.5546875" style="13" customWidth="1"/>
    <col min="12373" max="12373" width="8.109375" style="13" bestFit="1" customWidth="1"/>
    <col min="12374" max="12616" width="58.33203125" style="13"/>
    <col min="12617" max="12617" width="9" style="13" customWidth="1"/>
    <col min="12618" max="12618" width="60.33203125" style="13" customWidth="1"/>
    <col min="12619" max="12619" width="15.6640625" style="13" bestFit="1" customWidth="1"/>
    <col min="12620" max="12620" width="14.109375" style="13" bestFit="1" customWidth="1"/>
    <col min="12621" max="12621" width="14.109375" style="13" customWidth="1"/>
    <col min="12622" max="12622" width="14.109375" style="13" bestFit="1" customWidth="1"/>
    <col min="12623" max="12624" width="13.109375" style="13" bestFit="1" customWidth="1"/>
    <col min="12625" max="12625" width="14" style="13" customWidth="1"/>
    <col min="12626" max="12626" width="13.109375" style="13" customWidth="1"/>
    <col min="12627" max="12627" width="16.44140625" style="13" customWidth="1"/>
    <col min="12628" max="12628" width="18.5546875" style="13" customWidth="1"/>
    <col min="12629" max="12629" width="8.109375" style="13" bestFit="1" customWidth="1"/>
    <col min="12630" max="12872" width="58.33203125" style="13"/>
    <col min="12873" max="12873" width="9" style="13" customWidth="1"/>
    <col min="12874" max="12874" width="60.33203125" style="13" customWidth="1"/>
    <col min="12875" max="12875" width="15.6640625" style="13" bestFit="1" customWidth="1"/>
    <col min="12876" max="12876" width="14.109375" style="13" bestFit="1" customWidth="1"/>
    <col min="12877" max="12877" width="14.109375" style="13" customWidth="1"/>
    <col min="12878" max="12878" width="14.109375" style="13" bestFit="1" customWidth="1"/>
    <col min="12879" max="12880" width="13.109375" style="13" bestFit="1" customWidth="1"/>
    <col min="12881" max="12881" width="14" style="13" customWidth="1"/>
    <col min="12882" max="12882" width="13.109375" style="13" customWidth="1"/>
    <col min="12883" max="12883" width="16.44140625" style="13" customWidth="1"/>
    <col min="12884" max="12884" width="18.5546875" style="13" customWidth="1"/>
    <col min="12885" max="12885" width="8.109375" style="13" bestFit="1" customWidth="1"/>
    <col min="12886" max="13128" width="58.33203125" style="13"/>
    <col min="13129" max="13129" width="9" style="13" customWidth="1"/>
    <col min="13130" max="13130" width="60.33203125" style="13" customWidth="1"/>
    <col min="13131" max="13131" width="15.6640625" style="13" bestFit="1" customWidth="1"/>
    <col min="13132" max="13132" width="14.109375" style="13" bestFit="1" customWidth="1"/>
    <col min="13133" max="13133" width="14.109375" style="13" customWidth="1"/>
    <col min="13134" max="13134" width="14.109375" style="13" bestFit="1" customWidth="1"/>
    <col min="13135" max="13136" width="13.109375" style="13" bestFit="1" customWidth="1"/>
    <col min="13137" max="13137" width="14" style="13" customWidth="1"/>
    <col min="13138" max="13138" width="13.109375" style="13" customWidth="1"/>
    <col min="13139" max="13139" width="16.44140625" style="13" customWidth="1"/>
    <col min="13140" max="13140" width="18.5546875" style="13" customWidth="1"/>
    <col min="13141" max="13141" width="8.109375" style="13" bestFit="1" customWidth="1"/>
    <col min="13142" max="13384" width="58.33203125" style="13"/>
    <col min="13385" max="13385" width="9" style="13" customWidth="1"/>
    <col min="13386" max="13386" width="60.33203125" style="13" customWidth="1"/>
    <col min="13387" max="13387" width="15.6640625" style="13" bestFit="1" customWidth="1"/>
    <col min="13388" max="13388" width="14.109375" style="13" bestFit="1" customWidth="1"/>
    <col min="13389" max="13389" width="14.109375" style="13" customWidth="1"/>
    <col min="13390" max="13390" width="14.109375" style="13" bestFit="1" customWidth="1"/>
    <col min="13391" max="13392" width="13.109375" style="13" bestFit="1" customWidth="1"/>
    <col min="13393" max="13393" width="14" style="13" customWidth="1"/>
    <col min="13394" max="13394" width="13.109375" style="13" customWidth="1"/>
    <col min="13395" max="13395" width="16.44140625" style="13" customWidth="1"/>
    <col min="13396" max="13396" width="18.5546875" style="13" customWidth="1"/>
    <col min="13397" max="13397" width="8.109375" style="13" bestFit="1" customWidth="1"/>
    <col min="13398" max="13640" width="58.33203125" style="13"/>
    <col min="13641" max="13641" width="9" style="13" customWidth="1"/>
    <col min="13642" max="13642" width="60.33203125" style="13" customWidth="1"/>
    <col min="13643" max="13643" width="15.6640625" style="13" bestFit="1" customWidth="1"/>
    <col min="13644" max="13644" width="14.109375" style="13" bestFit="1" customWidth="1"/>
    <col min="13645" max="13645" width="14.109375" style="13" customWidth="1"/>
    <col min="13646" max="13646" width="14.109375" style="13" bestFit="1" customWidth="1"/>
    <col min="13647" max="13648" width="13.109375" style="13" bestFit="1" customWidth="1"/>
    <col min="13649" max="13649" width="14" style="13" customWidth="1"/>
    <col min="13650" max="13650" width="13.109375" style="13" customWidth="1"/>
    <col min="13651" max="13651" width="16.44140625" style="13" customWidth="1"/>
    <col min="13652" max="13652" width="18.5546875" style="13" customWidth="1"/>
    <col min="13653" max="13653" width="8.109375" style="13" bestFit="1" customWidth="1"/>
    <col min="13654" max="13896" width="58.33203125" style="13"/>
    <col min="13897" max="13897" width="9" style="13" customWidth="1"/>
    <col min="13898" max="13898" width="60.33203125" style="13" customWidth="1"/>
    <col min="13899" max="13899" width="15.6640625" style="13" bestFit="1" customWidth="1"/>
    <col min="13900" max="13900" width="14.109375" style="13" bestFit="1" customWidth="1"/>
    <col min="13901" max="13901" width="14.109375" style="13" customWidth="1"/>
    <col min="13902" max="13902" width="14.109375" style="13" bestFit="1" customWidth="1"/>
    <col min="13903" max="13904" width="13.109375" style="13" bestFit="1" customWidth="1"/>
    <col min="13905" max="13905" width="14" style="13" customWidth="1"/>
    <col min="13906" max="13906" width="13.109375" style="13" customWidth="1"/>
    <col min="13907" max="13907" width="16.44140625" style="13" customWidth="1"/>
    <col min="13908" max="13908" width="18.5546875" style="13" customWidth="1"/>
    <col min="13909" max="13909" width="8.109375" style="13" bestFit="1" customWidth="1"/>
    <col min="13910" max="14152" width="58.33203125" style="13"/>
    <col min="14153" max="14153" width="9" style="13" customWidth="1"/>
    <col min="14154" max="14154" width="60.33203125" style="13" customWidth="1"/>
    <col min="14155" max="14155" width="15.6640625" style="13" bestFit="1" customWidth="1"/>
    <col min="14156" max="14156" width="14.109375" style="13" bestFit="1" customWidth="1"/>
    <col min="14157" max="14157" width="14.109375" style="13" customWidth="1"/>
    <col min="14158" max="14158" width="14.109375" style="13" bestFit="1" customWidth="1"/>
    <col min="14159" max="14160" width="13.109375" style="13" bestFit="1" customWidth="1"/>
    <col min="14161" max="14161" width="14" style="13" customWidth="1"/>
    <col min="14162" max="14162" width="13.109375" style="13" customWidth="1"/>
    <col min="14163" max="14163" width="16.44140625" style="13" customWidth="1"/>
    <col min="14164" max="14164" width="18.5546875" style="13" customWidth="1"/>
    <col min="14165" max="14165" width="8.109375" style="13" bestFit="1" customWidth="1"/>
    <col min="14166" max="14408" width="58.33203125" style="13"/>
    <col min="14409" max="14409" width="9" style="13" customWidth="1"/>
    <col min="14410" max="14410" width="60.33203125" style="13" customWidth="1"/>
    <col min="14411" max="14411" width="15.6640625" style="13" bestFit="1" customWidth="1"/>
    <col min="14412" max="14412" width="14.109375" style="13" bestFit="1" customWidth="1"/>
    <col min="14413" max="14413" width="14.109375" style="13" customWidth="1"/>
    <col min="14414" max="14414" width="14.109375" style="13" bestFit="1" customWidth="1"/>
    <col min="14415" max="14416" width="13.109375" style="13" bestFit="1" customWidth="1"/>
    <col min="14417" max="14417" width="14" style="13" customWidth="1"/>
    <col min="14418" max="14418" width="13.109375" style="13" customWidth="1"/>
    <col min="14419" max="14419" width="16.44140625" style="13" customWidth="1"/>
    <col min="14420" max="14420" width="18.5546875" style="13" customWidth="1"/>
    <col min="14421" max="14421" width="8.109375" style="13" bestFit="1" customWidth="1"/>
    <col min="14422" max="14664" width="58.33203125" style="13"/>
    <col min="14665" max="14665" width="9" style="13" customWidth="1"/>
    <col min="14666" max="14666" width="60.33203125" style="13" customWidth="1"/>
    <col min="14667" max="14667" width="15.6640625" style="13" bestFit="1" customWidth="1"/>
    <col min="14668" max="14668" width="14.109375" style="13" bestFit="1" customWidth="1"/>
    <col min="14669" max="14669" width="14.109375" style="13" customWidth="1"/>
    <col min="14670" max="14670" width="14.109375" style="13" bestFit="1" customWidth="1"/>
    <col min="14671" max="14672" width="13.109375" style="13" bestFit="1" customWidth="1"/>
    <col min="14673" max="14673" width="14" style="13" customWidth="1"/>
    <col min="14674" max="14674" width="13.109375" style="13" customWidth="1"/>
    <col min="14675" max="14675" width="16.44140625" style="13" customWidth="1"/>
    <col min="14676" max="14676" width="18.5546875" style="13" customWidth="1"/>
    <col min="14677" max="14677" width="8.109375" style="13" bestFit="1" customWidth="1"/>
    <col min="14678" max="14920" width="58.33203125" style="13"/>
    <col min="14921" max="14921" width="9" style="13" customWidth="1"/>
    <col min="14922" max="14922" width="60.33203125" style="13" customWidth="1"/>
    <col min="14923" max="14923" width="15.6640625" style="13" bestFit="1" customWidth="1"/>
    <col min="14924" max="14924" width="14.109375" style="13" bestFit="1" customWidth="1"/>
    <col min="14925" max="14925" width="14.109375" style="13" customWidth="1"/>
    <col min="14926" max="14926" width="14.109375" style="13" bestFit="1" customWidth="1"/>
    <col min="14927" max="14928" width="13.109375" style="13" bestFit="1" customWidth="1"/>
    <col min="14929" max="14929" width="14" style="13" customWidth="1"/>
    <col min="14930" max="14930" width="13.109375" style="13" customWidth="1"/>
    <col min="14931" max="14931" width="16.44140625" style="13" customWidth="1"/>
    <col min="14932" max="14932" width="18.5546875" style="13" customWidth="1"/>
    <col min="14933" max="14933" width="8.109375" style="13" bestFit="1" customWidth="1"/>
    <col min="14934" max="15176" width="58.33203125" style="13"/>
    <col min="15177" max="15177" width="9" style="13" customWidth="1"/>
    <col min="15178" max="15178" width="60.33203125" style="13" customWidth="1"/>
    <col min="15179" max="15179" width="15.6640625" style="13" bestFit="1" customWidth="1"/>
    <col min="15180" max="15180" width="14.109375" style="13" bestFit="1" customWidth="1"/>
    <col min="15181" max="15181" width="14.109375" style="13" customWidth="1"/>
    <col min="15182" max="15182" width="14.109375" style="13" bestFit="1" customWidth="1"/>
    <col min="15183" max="15184" width="13.109375" style="13" bestFit="1" customWidth="1"/>
    <col min="15185" max="15185" width="14" style="13" customWidth="1"/>
    <col min="15186" max="15186" width="13.109375" style="13" customWidth="1"/>
    <col min="15187" max="15187" width="16.44140625" style="13" customWidth="1"/>
    <col min="15188" max="15188" width="18.5546875" style="13" customWidth="1"/>
    <col min="15189" max="15189" width="8.109375" style="13" bestFit="1" customWidth="1"/>
    <col min="15190" max="15432" width="58.33203125" style="13"/>
    <col min="15433" max="15433" width="9" style="13" customWidth="1"/>
    <col min="15434" max="15434" width="60.33203125" style="13" customWidth="1"/>
    <col min="15435" max="15435" width="15.6640625" style="13" bestFit="1" customWidth="1"/>
    <col min="15436" max="15436" width="14.109375" style="13" bestFit="1" customWidth="1"/>
    <col min="15437" max="15437" width="14.109375" style="13" customWidth="1"/>
    <col min="15438" max="15438" width="14.109375" style="13" bestFit="1" customWidth="1"/>
    <col min="15439" max="15440" width="13.109375" style="13" bestFit="1" customWidth="1"/>
    <col min="15441" max="15441" width="14" style="13" customWidth="1"/>
    <col min="15442" max="15442" width="13.109375" style="13" customWidth="1"/>
    <col min="15443" max="15443" width="16.44140625" style="13" customWidth="1"/>
    <col min="15444" max="15444" width="18.5546875" style="13" customWidth="1"/>
    <col min="15445" max="15445" width="8.109375" style="13" bestFit="1" customWidth="1"/>
    <col min="15446" max="15688" width="58.33203125" style="13"/>
    <col min="15689" max="15689" width="9" style="13" customWidth="1"/>
    <col min="15690" max="15690" width="60.33203125" style="13" customWidth="1"/>
    <col min="15691" max="15691" width="15.6640625" style="13" bestFit="1" customWidth="1"/>
    <col min="15692" max="15692" width="14.109375" style="13" bestFit="1" customWidth="1"/>
    <col min="15693" max="15693" width="14.109375" style="13" customWidth="1"/>
    <col min="15694" max="15694" width="14.109375" style="13" bestFit="1" customWidth="1"/>
    <col min="15695" max="15696" width="13.109375" style="13" bestFit="1" customWidth="1"/>
    <col min="15697" max="15697" width="14" style="13" customWidth="1"/>
    <col min="15698" max="15698" width="13.109375" style="13" customWidth="1"/>
    <col min="15699" max="15699" width="16.44140625" style="13" customWidth="1"/>
    <col min="15700" max="15700" width="18.5546875" style="13" customWidth="1"/>
    <col min="15701" max="15701" width="8.109375" style="13" bestFit="1" customWidth="1"/>
    <col min="15702" max="15944" width="58.33203125" style="13"/>
    <col min="15945" max="15945" width="9" style="13" customWidth="1"/>
    <col min="15946" max="15946" width="60.33203125" style="13" customWidth="1"/>
    <col min="15947" max="15947" width="15.6640625" style="13" bestFit="1" customWidth="1"/>
    <col min="15948" max="15948" width="14.109375" style="13" bestFit="1" customWidth="1"/>
    <col min="15949" max="15949" width="14.109375" style="13" customWidth="1"/>
    <col min="15950" max="15950" width="14.109375" style="13" bestFit="1" customWidth="1"/>
    <col min="15951" max="15952" width="13.109375" style="13" bestFit="1" customWidth="1"/>
    <col min="15953" max="15953" width="14" style="13" customWidth="1"/>
    <col min="15954" max="15954" width="13.109375" style="13" customWidth="1"/>
    <col min="15955" max="15955" width="16.44140625" style="13" customWidth="1"/>
    <col min="15956" max="15956" width="18.5546875" style="13" customWidth="1"/>
    <col min="15957" max="15957" width="8.109375" style="13" bestFit="1" customWidth="1"/>
    <col min="15958" max="16384" width="58.33203125" style="13"/>
  </cols>
  <sheetData>
    <row r="1" spans="1:14" x14ac:dyDescent="0.3">
      <c r="K1" s="14" t="s">
        <v>64</v>
      </c>
      <c r="M1" s="14"/>
      <c r="N1" s="14"/>
    </row>
    <row r="2" spans="1:14" x14ac:dyDescent="0.3">
      <c r="K2" s="14" t="s">
        <v>59</v>
      </c>
      <c r="L2" s="14"/>
      <c r="M2" s="14"/>
      <c r="N2" s="14"/>
    </row>
    <row r="3" spans="1:14" x14ac:dyDescent="0.3">
      <c r="K3" s="14" t="s">
        <v>75</v>
      </c>
      <c r="M3" s="14"/>
      <c r="N3" s="14"/>
    </row>
    <row r="4" spans="1:14" x14ac:dyDescent="0.3">
      <c r="K4" s="14" t="s">
        <v>76</v>
      </c>
    </row>
    <row r="5" spans="1:14" x14ac:dyDescent="0.3">
      <c r="K5" s="14" t="s">
        <v>65</v>
      </c>
    </row>
    <row r="7" spans="1:14" x14ac:dyDescent="0.3">
      <c r="H7" s="14"/>
      <c r="I7" s="69" t="s">
        <v>64</v>
      </c>
      <c r="J7" s="69"/>
      <c r="K7" s="69"/>
    </row>
    <row r="8" spans="1:14" x14ac:dyDescent="0.3">
      <c r="H8" s="69" t="s">
        <v>59</v>
      </c>
      <c r="I8" s="69"/>
      <c r="J8" s="69"/>
      <c r="K8" s="69"/>
    </row>
    <row r="9" spans="1:14" x14ac:dyDescent="0.3">
      <c r="H9" s="14"/>
      <c r="I9" s="69" t="s">
        <v>65</v>
      </c>
      <c r="J9" s="69"/>
      <c r="K9" s="69"/>
    </row>
    <row r="11" spans="1:14" x14ac:dyDescent="0.3">
      <c r="A11" s="70" t="s">
        <v>66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4" ht="16.2" thickBot="1" x14ac:dyDescent="0.35">
      <c r="B12" s="45"/>
      <c r="D12" s="14"/>
      <c r="E12" s="14"/>
      <c r="F12" s="14"/>
      <c r="G12" s="14"/>
      <c r="H12" s="14"/>
      <c r="I12" s="15"/>
      <c r="J12" s="14"/>
      <c r="K12" s="14" t="s">
        <v>0</v>
      </c>
    </row>
    <row r="13" spans="1:14" s="1" customFormat="1" ht="31.8" thickBot="1" x14ac:dyDescent="0.35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4" s="1" customFormat="1" ht="16.2" thickBot="1" x14ac:dyDescent="0.35">
      <c r="A14" s="33">
        <v>1000000</v>
      </c>
      <c r="B14" s="35" t="s">
        <v>12</v>
      </c>
      <c r="C14" s="49">
        <f t="shared" ref="C14:J14" si="0">SUM(C15+C26+C32+C41+C44)</f>
        <v>843264665</v>
      </c>
      <c r="D14" s="49">
        <f t="shared" si="0"/>
        <v>194552073</v>
      </c>
      <c r="E14" s="49">
        <f t="shared" si="0"/>
        <v>70238992</v>
      </c>
      <c r="F14" s="49">
        <f t="shared" si="0"/>
        <v>81099313</v>
      </c>
      <c r="G14" s="49">
        <f t="shared" si="0"/>
        <v>17445516</v>
      </c>
      <c r="H14" s="49">
        <f t="shared" si="0"/>
        <v>23955305</v>
      </c>
      <c r="I14" s="49">
        <f t="shared" si="0"/>
        <v>17315526</v>
      </c>
      <c r="J14" s="49">
        <f t="shared" si="0"/>
        <v>5006868</v>
      </c>
      <c r="K14" s="50">
        <f>SUM(C14:J14)</f>
        <v>1252878258</v>
      </c>
    </row>
    <row r="15" spans="1:14" s="1" customFormat="1" x14ac:dyDescent="0.3">
      <c r="A15" s="16">
        <v>1010000</v>
      </c>
      <c r="B15" s="34" t="s">
        <v>13</v>
      </c>
      <c r="C15" s="51">
        <f>SUM(C16+C17+C19+C20+C21+C22+C23+C24)</f>
        <v>518189616</v>
      </c>
      <c r="D15" s="51">
        <f t="shared" ref="D15:J15" si="1">SUM(D16+D17+D19+D20+D21+D22+D23+D24)</f>
        <v>190556173</v>
      </c>
      <c r="E15" s="51">
        <f t="shared" si="1"/>
        <v>52115195</v>
      </c>
      <c r="F15" s="51">
        <f t="shared" si="1"/>
        <v>58457676</v>
      </c>
      <c r="G15" s="51">
        <f t="shared" si="1"/>
        <v>7816390</v>
      </c>
      <c r="H15" s="51">
        <f t="shared" si="1"/>
        <v>17729895</v>
      </c>
      <c r="I15" s="51">
        <f t="shared" si="1"/>
        <v>7397292</v>
      </c>
      <c r="J15" s="51">
        <f t="shared" si="1"/>
        <v>3155573</v>
      </c>
      <c r="K15" s="52">
        <f t="shared" ref="K15:K79" si="2">SUM(C15:J15)</f>
        <v>855417810</v>
      </c>
    </row>
    <row r="16" spans="1:14" s="1" customFormat="1" x14ac:dyDescent="0.3">
      <c r="A16" s="8">
        <v>1010100</v>
      </c>
      <c r="B16" s="11" t="s">
        <v>14</v>
      </c>
      <c r="C16" s="53"/>
      <c r="D16" s="53"/>
      <c r="E16" s="53"/>
      <c r="F16" s="53"/>
      <c r="G16" s="53"/>
      <c r="H16" s="53"/>
      <c r="I16" s="53"/>
      <c r="J16" s="53"/>
      <c r="K16" s="54"/>
    </row>
    <row r="17" spans="1:11" s="1" customFormat="1" ht="31.2" x14ac:dyDescent="0.3">
      <c r="A17" s="8">
        <v>1010200</v>
      </c>
      <c r="B17" s="11" t="s">
        <v>15</v>
      </c>
      <c r="C17" s="53">
        <f>315862756+25359973+2037707</f>
        <v>343260436</v>
      </c>
      <c r="D17" s="53">
        <f>159952286+763338</f>
        <v>160715624</v>
      </c>
      <c r="E17" s="53">
        <v>22214202</v>
      </c>
      <c r="F17" s="53">
        <f>48492718+2683543-8857396-3482973</f>
        <v>38835892</v>
      </c>
      <c r="G17" s="53">
        <v>3843224</v>
      </c>
      <c r="H17" s="53">
        <v>6788394</v>
      </c>
      <c r="I17" s="53">
        <v>2284362</v>
      </c>
      <c r="J17" s="53">
        <v>1013528</v>
      </c>
      <c r="K17" s="54">
        <f t="shared" si="2"/>
        <v>578955662</v>
      </c>
    </row>
    <row r="18" spans="1:11" s="1" customFormat="1" ht="31.2" x14ac:dyDescent="0.3">
      <c r="A18" s="18">
        <v>1010290</v>
      </c>
      <c r="B18" s="19" t="s">
        <v>16</v>
      </c>
      <c r="C18" s="55">
        <v>141129385</v>
      </c>
      <c r="D18" s="55">
        <v>35509831</v>
      </c>
      <c r="E18" s="55">
        <v>22214202</v>
      </c>
      <c r="F18" s="55">
        <f>20782205-4383408-1509483</f>
        <v>14889314</v>
      </c>
      <c r="G18" s="55">
        <v>3843224</v>
      </c>
      <c r="H18" s="55">
        <v>6788394</v>
      </c>
      <c r="I18" s="55">
        <v>2284362</v>
      </c>
      <c r="J18" s="55">
        <v>1013528</v>
      </c>
      <c r="K18" s="56">
        <f t="shared" si="2"/>
        <v>227672240</v>
      </c>
    </row>
    <row r="19" spans="1:11" s="1" customFormat="1" x14ac:dyDescent="0.3">
      <c r="A19" s="8">
        <v>1010400</v>
      </c>
      <c r="B19" s="11" t="s">
        <v>17</v>
      </c>
      <c r="C19" s="53">
        <v>3020640</v>
      </c>
      <c r="D19" s="53"/>
      <c r="E19" s="53">
        <v>1689540</v>
      </c>
      <c r="F19" s="53">
        <v>732540</v>
      </c>
      <c r="G19" s="53">
        <v>595241</v>
      </c>
      <c r="H19" s="53">
        <v>236640</v>
      </c>
      <c r="I19" s="53">
        <v>156600</v>
      </c>
      <c r="J19" s="53">
        <v>372396</v>
      </c>
      <c r="K19" s="54">
        <f t="shared" si="2"/>
        <v>6803597</v>
      </c>
    </row>
    <row r="20" spans="1:11" s="1" customFormat="1" ht="46.8" x14ac:dyDescent="0.3">
      <c r="A20" s="8">
        <v>1010600</v>
      </c>
      <c r="B20" s="11" t="s">
        <v>18</v>
      </c>
      <c r="C20" s="53">
        <f>14487840-10262</f>
        <v>14477578</v>
      </c>
      <c r="D20" s="53">
        <f>371286+122400</f>
        <v>493686</v>
      </c>
      <c r="E20" s="53"/>
      <c r="F20" s="53">
        <f>135881+211090</f>
        <v>346971</v>
      </c>
      <c r="G20" s="53"/>
      <c r="H20" s="53"/>
      <c r="I20" s="53"/>
      <c r="J20" s="53"/>
      <c r="K20" s="54">
        <f t="shared" si="2"/>
        <v>15318235</v>
      </c>
    </row>
    <row r="21" spans="1:11" s="1" customFormat="1" ht="46.8" x14ac:dyDescent="0.3">
      <c r="A21" s="8">
        <v>1010601</v>
      </c>
      <c r="B21" s="11" t="s">
        <v>19</v>
      </c>
      <c r="C21" s="53">
        <f>13162441+6726179</f>
        <v>19888620</v>
      </c>
      <c r="D21" s="53">
        <f>279862+30598</f>
        <v>310460</v>
      </c>
      <c r="E21" s="53"/>
      <c r="F21" s="53">
        <f>1020439+720830</f>
        <v>1741269</v>
      </c>
      <c r="G21" s="53"/>
      <c r="H21" s="53"/>
      <c r="I21" s="53"/>
      <c r="J21" s="53"/>
      <c r="K21" s="54">
        <f t="shared" si="2"/>
        <v>21940349</v>
      </c>
    </row>
    <row r="22" spans="1:11" s="1" customFormat="1" x14ac:dyDescent="0.3">
      <c r="A22" s="8">
        <v>1010700</v>
      </c>
      <c r="B22" s="11" t="s">
        <v>20</v>
      </c>
      <c r="C22" s="53">
        <v>26734112</v>
      </c>
      <c r="D22" s="53">
        <v>13990229</v>
      </c>
      <c r="E22" s="53"/>
      <c r="F22" s="53"/>
      <c r="G22" s="53"/>
      <c r="H22" s="53"/>
      <c r="I22" s="53"/>
      <c r="J22" s="53"/>
      <c r="K22" s="54">
        <f t="shared" si="2"/>
        <v>40724341</v>
      </c>
    </row>
    <row r="23" spans="1:11" s="1" customFormat="1" ht="93.6" x14ac:dyDescent="0.3">
      <c r="A23" s="8">
        <v>1010800</v>
      </c>
      <c r="B23" s="46" t="s">
        <v>63</v>
      </c>
      <c r="C23" s="53">
        <f>36391692-12845481</f>
        <v>23546211</v>
      </c>
      <c r="D23" s="53">
        <f>2939324-1025719</f>
        <v>1913605</v>
      </c>
      <c r="E23" s="53">
        <f>8648630-3228207</f>
        <v>5420423</v>
      </c>
      <c r="F23" s="53">
        <f>8101624-2945517</f>
        <v>5156107</v>
      </c>
      <c r="G23" s="53">
        <f>2204967-880205</f>
        <v>1324762</v>
      </c>
      <c r="H23" s="53">
        <f>3628254-1444988</f>
        <v>2183266</v>
      </c>
      <c r="I23" s="53">
        <f>2181742-783654</f>
        <v>1398088</v>
      </c>
      <c r="J23" s="53">
        <f>1265891-471925</f>
        <v>793966</v>
      </c>
      <c r="K23" s="54">
        <f t="shared" ref="K23:K24" si="3">SUM(C23:J23)</f>
        <v>41736428</v>
      </c>
    </row>
    <row r="24" spans="1:11" s="44" customFormat="1" ht="31.2" x14ac:dyDescent="0.3">
      <c r="A24" s="47">
        <v>1010900</v>
      </c>
      <c r="B24" s="48" t="s">
        <v>67</v>
      </c>
      <c r="C24" s="57">
        <f>101527844-14265825</f>
        <v>87262019</v>
      </c>
      <c r="D24" s="57">
        <f>30365635-17233066</f>
        <v>13132569</v>
      </c>
      <c r="E24" s="57">
        <f>30472348-7681318</f>
        <v>22791030</v>
      </c>
      <c r="F24" s="57">
        <f>63871087-52204046-22144</f>
        <v>11644897</v>
      </c>
      <c r="G24" s="57">
        <f>2373368-320205</f>
        <v>2053163</v>
      </c>
      <c r="H24" s="57">
        <f>9100416-578821</f>
        <v>8521595</v>
      </c>
      <c r="I24" s="57">
        <f>3672818-114576</f>
        <v>3558242</v>
      </c>
      <c r="J24" s="57">
        <f>1219407-243724</f>
        <v>975683</v>
      </c>
      <c r="K24" s="58">
        <f t="shared" si="3"/>
        <v>149939198</v>
      </c>
    </row>
    <row r="25" spans="1:11" s="1" customFormat="1" x14ac:dyDescent="0.3">
      <c r="A25" s="18"/>
      <c r="B25" s="11"/>
      <c r="C25" s="53"/>
      <c r="D25" s="53"/>
      <c r="E25" s="53"/>
      <c r="F25" s="53"/>
      <c r="G25" s="53"/>
      <c r="H25" s="53"/>
      <c r="I25" s="53"/>
      <c r="J25" s="53"/>
      <c r="K25" s="54"/>
    </row>
    <row r="26" spans="1:11" s="2" customFormat="1" ht="31.2" x14ac:dyDescent="0.3">
      <c r="A26" s="8">
        <v>1020000</v>
      </c>
      <c r="B26" s="11" t="s">
        <v>21</v>
      </c>
      <c r="C26" s="53">
        <f t="shared" ref="C26:J26" si="4">SUM(C27:C30)</f>
        <v>34598395</v>
      </c>
      <c r="D26" s="53">
        <f t="shared" si="4"/>
        <v>148765</v>
      </c>
      <c r="E26" s="53">
        <f t="shared" si="4"/>
        <v>10317079</v>
      </c>
      <c r="F26" s="53">
        <f t="shared" si="4"/>
        <v>385255</v>
      </c>
      <c r="G26" s="53">
        <f t="shared" si="4"/>
        <v>3750203</v>
      </c>
      <c r="H26" s="53">
        <f t="shared" si="4"/>
        <v>160419</v>
      </c>
      <c r="I26" s="53">
        <f t="shared" si="4"/>
        <v>18050</v>
      </c>
      <c r="J26" s="53">
        <f t="shared" si="4"/>
        <v>164613</v>
      </c>
      <c r="K26" s="54">
        <f t="shared" si="2"/>
        <v>49542779</v>
      </c>
    </row>
    <row r="27" spans="1:11" s="1" customFormat="1" x14ac:dyDescent="0.3">
      <c r="A27" s="8">
        <v>1020100</v>
      </c>
      <c r="B27" s="11" t="s">
        <v>22</v>
      </c>
      <c r="C27" s="53"/>
      <c r="D27" s="53"/>
      <c r="E27" s="53"/>
      <c r="F27" s="53"/>
      <c r="G27" s="53"/>
      <c r="H27" s="53"/>
      <c r="I27" s="53"/>
      <c r="J27" s="53"/>
      <c r="K27" s="54">
        <f t="shared" si="2"/>
        <v>0</v>
      </c>
    </row>
    <row r="28" spans="1:11" s="1" customFormat="1" ht="31.2" x14ac:dyDescent="0.3">
      <c r="A28" s="8">
        <v>1020200</v>
      </c>
      <c r="B28" s="11" t="s">
        <v>23</v>
      </c>
      <c r="C28" s="53">
        <v>32091225</v>
      </c>
      <c r="D28" s="53"/>
      <c r="E28" s="53">
        <v>10207422</v>
      </c>
      <c r="F28" s="53">
        <v>188395</v>
      </c>
      <c r="G28" s="53">
        <v>3635732</v>
      </c>
      <c r="H28" s="53">
        <v>26939</v>
      </c>
      <c r="I28" s="53"/>
      <c r="J28" s="53">
        <v>106613</v>
      </c>
      <c r="K28" s="54">
        <f t="shared" si="2"/>
        <v>46256326</v>
      </c>
    </row>
    <row r="29" spans="1:11" s="2" customFormat="1" ht="31.2" x14ac:dyDescent="0.3">
      <c r="A29" s="8">
        <v>1020400</v>
      </c>
      <c r="B29" s="17" t="s">
        <v>24</v>
      </c>
      <c r="C29" s="53">
        <v>685286</v>
      </c>
      <c r="D29" s="53"/>
      <c r="E29" s="53"/>
      <c r="F29" s="53"/>
      <c r="G29" s="53">
        <v>41391</v>
      </c>
      <c r="H29" s="53"/>
      <c r="I29" s="53"/>
      <c r="J29" s="53">
        <v>0</v>
      </c>
      <c r="K29" s="54">
        <f t="shared" si="2"/>
        <v>726677</v>
      </c>
    </row>
    <row r="30" spans="1:11" s="1" customFormat="1" x14ac:dyDescent="0.3">
      <c r="A30" s="8">
        <v>1020500</v>
      </c>
      <c r="B30" s="11" t="s">
        <v>25</v>
      </c>
      <c r="C30" s="53">
        <v>1821884</v>
      </c>
      <c r="D30" s="53">
        <v>148765</v>
      </c>
      <c r="E30" s="53">
        <v>109657</v>
      </c>
      <c r="F30" s="53">
        <v>196860</v>
      </c>
      <c r="G30" s="53">
        <v>73080</v>
      </c>
      <c r="H30" s="53">
        <v>133480</v>
      </c>
      <c r="I30" s="53">
        <v>18050</v>
      </c>
      <c r="J30" s="53">
        <v>58000</v>
      </c>
      <c r="K30" s="54">
        <f t="shared" si="2"/>
        <v>2559776</v>
      </c>
    </row>
    <row r="31" spans="1:11" s="1" customFormat="1" x14ac:dyDescent="0.3">
      <c r="A31" s="8"/>
      <c r="B31" s="11"/>
      <c r="C31" s="53"/>
      <c r="D31" s="53"/>
      <c r="E31" s="53"/>
      <c r="F31" s="53"/>
      <c r="G31" s="53"/>
      <c r="H31" s="53"/>
      <c r="I31" s="53"/>
      <c r="J31" s="53"/>
      <c r="K31" s="54"/>
    </row>
    <row r="32" spans="1:11" s="1" customFormat="1" ht="31.2" x14ac:dyDescent="0.3">
      <c r="A32" s="8">
        <v>1050000</v>
      </c>
      <c r="B32" s="11" t="s">
        <v>26</v>
      </c>
      <c r="C32" s="53">
        <f>12389318-961132</f>
        <v>11428186</v>
      </c>
      <c r="D32" s="53">
        <f>3993517-424454</f>
        <v>3569063</v>
      </c>
      <c r="E32" s="53">
        <f>2168053-226651</f>
        <v>1941402</v>
      </c>
      <c r="F32" s="53">
        <f>19538242-2062510</f>
        <v>17475732</v>
      </c>
      <c r="G32" s="53">
        <f>3011378-321947</f>
        <v>2689431</v>
      </c>
      <c r="H32" s="53">
        <f>3550524-359125</f>
        <v>3191399</v>
      </c>
      <c r="I32" s="53">
        <f>9294803-970706</f>
        <v>8324097</v>
      </c>
      <c r="J32" s="53">
        <f>729793-66807</f>
        <v>662986</v>
      </c>
      <c r="K32" s="54">
        <f t="shared" si="2"/>
        <v>49282296</v>
      </c>
    </row>
    <row r="33" spans="1:11" s="1" customFormat="1" x14ac:dyDescent="0.3">
      <c r="A33" s="8">
        <v>1050100</v>
      </c>
      <c r="B33" s="11" t="s">
        <v>27</v>
      </c>
      <c r="C33" s="53">
        <f>SUM(C34:C35)</f>
        <v>3167282</v>
      </c>
      <c r="D33" s="53">
        <f t="shared" ref="D33:J33" si="5">SUM(D34:D35)</f>
        <v>32020</v>
      </c>
      <c r="E33" s="53">
        <f t="shared" si="5"/>
        <v>0</v>
      </c>
      <c r="F33" s="53">
        <f t="shared" si="5"/>
        <v>0</v>
      </c>
      <c r="G33" s="53">
        <f t="shared" si="5"/>
        <v>0</v>
      </c>
      <c r="H33" s="53">
        <f t="shared" si="5"/>
        <v>0</v>
      </c>
      <c r="I33" s="53">
        <f t="shared" si="5"/>
        <v>0</v>
      </c>
      <c r="J33" s="53">
        <f t="shared" si="5"/>
        <v>0</v>
      </c>
      <c r="K33" s="54">
        <f t="shared" si="2"/>
        <v>3199302</v>
      </c>
    </row>
    <row r="34" spans="1:11" s="1" customFormat="1" ht="31.2" x14ac:dyDescent="0.3">
      <c r="A34" s="18">
        <v>1050101</v>
      </c>
      <c r="B34" s="19" t="s">
        <v>28</v>
      </c>
      <c r="C34" s="55">
        <v>117618</v>
      </c>
      <c r="D34" s="55"/>
      <c r="E34" s="55"/>
      <c r="F34" s="55"/>
      <c r="G34" s="55"/>
      <c r="H34" s="55"/>
      <c r="I34" s="55"/>
      <c r="J34" s="55"/>
      <c r="K34" s="56">
        <f t="shared" si="2"/>
        <v>117618</v>
      </c>
    </row>
    <row r="35" spans="1:11" s="1" customFormat="1" ht="31.2" x14ac:dyDescent="0.3">
      <c r="A35" s="18">
        <v>1050102</v>
      </c>
      <c r="B35" s="19" t="s">
        <v>29</v>
      </c>
      <c r="C35" s="55">
        <v>3049664</v>
      </c>
      <c r="D35" s="55">
        <v>32020</v>
      </c>
      <c r="E35" s="55"/>
      <c r="F35" s="55"/>
      <c r="G35" s="55"/>
      <c r="H35" s="55"/>
      <c r="I35" s="55"/>
      <c r="J35" s="55"/>
      <c r="K35" s="56">
        <f t="shared" si="2"/>
        <v>3081684</v>
      </c>
    </row>
    <row r="36" spans="1:11" s="1" customFormat="1" ht="46.8" x14ac:dyDescent="0.3">
      <c r="A36" s="8">
        <v>1050200</v>
      </c>
      <c r="B36" s="11" t="s">
        <v>30</v>
      </c>
      <c r="C36" s="53">
        <f>8965585-960598</f>
        <v>8004987</v>
      </c>
      <c r="D36" s="53">
        <f>3961497-424446</f>
        <v>3537051</v>
      </c>
      <c r="E36" s="53">
        <f>1807734-193686</f>
        <v>1614048</v>
      </c>
      <c r="F36" s="53">
        <f>526167-56375</f>
        <v>469792</v>
      </c>
      <c r="G36" s="53">
        <f>242710-26005</f>
        <v>216705</v>
      </c>
      <c r="H36" s="53">
        <f>760294-81460</f>
        <v>678834</v>
      </c>
      <c r="I36" s="53">
        <f>791121-84763</f>
        <v>706358</v>
      </c>
      <c r="J36" s="53">
        <f>434065-46507</f>
        <v>387558</v>
      </c>
      <c r="K36" s="54">
        <f t="shared" si="2"/>
        <v>15615333</v>
      </c>
    </row>
    <row r="37" spans="1:11" s="1" customFormat="1" ht="62.4" x14ac:dyDescent="0.3">
      <c r="A37" s="8">
        <v>1050400</v>
      </c>
      <c r="B37" s="11" t="s">
        <v>31</v>
      </c>
      <c r="C37" s="53"/>
      <c r="D37" s="53"/>
      <c r="E37" s="53">
        <f>230453-24691</f>
        <v>205762</v>
      </c>
      <c r="F37" s="53">
        <f>10447735-1119400</f>
        <v>9328335</v>
      </c>
      <c r="G37" s="53">
        <f>1843511-197519</f>
        <v>1645992</v>
      </c>
      <c r="H37" s="53">
        <f>1780192-190735</f>
        <v>1589457</v>
      </c>
      <c r="I37" s="53">
        <f>5328511-570912</f>
        <v>4757599</v>
      </c>
      <c r="J37" s="53">
        <f>136473-14622</f>
        <v>121851</v>
      </c>
      <c r="K37" s="54">
        <f t="shared" si="2"/>
        <v>17648996</v>
      </c>
    </row>
    <row r="38" spans="1:11" s="1" customFormat="1" ht="31.2" x14ac:dyDescent="0.3">
      <c r="A38" s="8">
        <v>1051100</v>
      </c>
      <c r="B38" s="11" t="s">
        <v>32</v>
      </c>
      <c r="C38" s="53">
        <v>251474</v>
      </c>
      <c r="D38" s="53"/>
      <c r="E38" s="53">
        <v>52646</v>
      </c>
      <c r="F38" s="53">
        <v>288145</v>
      </c>
      <c r="G38" s="53">
        <v>6543</v>
      </c>
      <c r="H38" s="53">
        <v>198686</v>
      </c>
      <c r="I38" s="53">
        <v>234886</v>
      </c>
      <c r="J38" s="53">
        <v>106256</v>
      </c>
      <c r="K38" s="54">
        <f t="shared" si="2"/>
        <v>1138636</v>
      </c>
    </row>
    <row r="39" spans="1:11" s="2" customFormat="1" ht="31.2" x14ac:dyDescent="0.3">
      <c r="A39" s="8">
        <v>1051200</v>
      </c>
      <c r="B39" s="11" t="s">
        <v>33</v>
      </c>
      <c r="C39" s="53">
        <f>390-42</f>
        <v>348</v>
      </c>
      <c r="D39" s="53"/>
      <c r="E39" s="53">
        <f>77220-8274</f>
        <v>68946</v>
      </c>
      <c r="F39" s="53">
        <f>8180527-876485</f>
        <v>7304042</v>
      </c>
      <c r="G39" s="53">
        <f>918615-98423</f>
        <v>820192</v>
      </c>
      <c r="H39" s="53">
        <f>799009-85608</f>
        <v>713401</v>
      </c>
      <c r="I39" s="53">
        <f>2935325-314499</f>
        <v>2620826</v>
      </c>
      <c r="J39" s="53">
        <f>52999-5678</f>
        <v>47321</v>
      </c>
      <c r="K39" s="54">
        <f t="shared" si="2"/>
        <v>11575076</v>
      </c>
    </row>
    <row r="40" spans="1:11" s="2" customFormat="1" x14ac:dyDescent="0.3">
      <c r="A40" s="18"/>
      <c r="B40" s="19"/>
      <c r="C40" s="55"/>
      <c r="D40" s="55"/>
      <c r="E40" s="55"/>
      <c r="F40" s="55"/>
      <c r="G40" s="55"/>
      <c r="H40" s="55"/>
      <c r="I40" s="55"/>
      <c r="J40" s="55"/>
      <c r="K40" s="56"/>
    </row>
    <row r="41" spans="1:11" s="1" customFormat="1" ht="31.2" x14ac:dyDescent="0.3">
      <c r="A41" s="8">
        <v>1060000</v>
      </c>
      <c r="B41" s="11" t="s">
        <v>34</v>
      </c>
      <c r="C41" s="53">
        <f>SUM(C42)</f>
        <v>267421470</v>
      </c>
      <c r="D41" s="53">
        <f t="shared" ref="D41:J41" si="6">SUM(D42)</f>
        <v>0</v>
      </c>
      <c r="E41" s="53">
        <f t="shared" si="6"/>
        <v>0</v>
      </c>
      <c r="F41" s="53">
        <f t="shared" si="6"/>
        <v>0</v>
      </c>
      <c r="G41" s="53">
        <f t="shared" si="6"/>
        <v>0</v>
      </c>
      <c r="H41" s="53">
        <f t="shared" si="6"/>
        <v>0</v>
      </c>
      <c r="I41" s="53">
        <f t="shared" si="6"/>
        <v>0</v>
      </c>
      <c r="J41" s="53">
        <f t="shared" si="6"/>
        <v>0</v>
      </c>
      <c r="K41" s="54">
        <f t="shared" si="2"/>
        <v>267421470</v>
      </c>
    </row>
    <row r="42" spans="1:11" s="1" customFormat="1" x14ac:dyDescent="0.3">
      <c r="A42" s="18">
        <v>1060400</v>
      </c>
      <c r="B42" s="19" t="s">
        <v>62</v>
      </c>
      <c r="C42" s="55">
        <f>472013547-5343295-178887273-9712496-2393184-6420000-1835829</f>
        <v>267421470</v>
      </c>
      <c r="D42" s="55"/>
      <c r="E42" s="55"/>
      <c r="F42" s="55"/>
      <c r="G42" s="55"/>
      <c r="H42" s="55"/>
      <c r="I42" s="55"/>
      <c r="J42" s="55"/>
      <c r="K42" s="56">
        <f t="shared" si="2"/>
        <v>267421470</v>
      </c>
    </row>
    <row r="43" spans="1:11" s="1" customFormat="1" x14ac:dyDescent="0.3">
      <c r="A43" s="8"/>
      <c r="B43" s="11"/>
      <c r="C43" s="55"/>
      <c r="D43" s="55"/>
      <c r="E43" s="55"/>
      <c r="F43" s="55"/>
      <c r="G43" s="55"/>
      <c r="H43" s="55"/>
      <c r="I43" s="55"/>
      <c r="J43" s="55"/>
      <c r="K43" s="54"/>
    </row>
    <row r="44" spans="1:11" s="1" customFormat="1" x14ac:dyDescent="0.3">
      <c r="A44" s="8">
        <v>1400000</v>
      </c>
      <c r="B44" s="11" t="s">
        <v>35</v>
      </c>
      <c r="C44" s="53">
        <f>C45</f>
        <v>11626998</v>
      </c>
      <c r="D44" s="53">
        <f t="shared" ref="D44:J44" si="7">D45</f>
        <v>278072</v>
      </c>
      <c r="E44" s="53">
        <f t="shared" si="7"/>
        <v>5865316</v>
      </c>
      <c r="F44" s="53">
        <f t="shared" si="7"/>
        <v>4780650</v>
      </c>
      <c r="G44" s="53">
        <f t="shared" si="7"/>
        <v>3189492</v>
      </c>
      <c r="H44" s="53">
        <f t="shared" si="7"/>
        <v>2873592</v>
      </c>
      <c r="I44" s="53">
        <f t="shared" si="7"/>
        <v>1576087</v>
      </c>
      <c r="J44" s="53">
        <f t="shared" si="7"/>
        <v>1023696</v>
      </c>
      <c r="K44" s="54">
        <f t="shared" si="2"/>
        <v>31213903</v>
      </c>
    </row>
    <row r="45" spans="1:11" s="1" customFormat="1" x14ac:dyDescent="0.3">
      <c r="A45" s="8">
        <v>1400100</v>
      </c>
      <c r="B45" s="11" t="s">
        <v>36</v>
      </c>
      <c r="C45" s="55">
        <v>11626998</v>
      </c>
      <c r="D45" s="55">
        <v>278072</v>
      </c>
      <c r="E45" s="55">
        <v>5865316</v>
      </c>
      <c r="F45" s="55">
        <v>4780650</v>
      </c>
      <c r="G45" s="55">
        <v>3189492</v>
      </c>
      <c r="H45" s="55">
        <v>2873592</v>
      </c>
      <c r="I45" s="55">
        <v>1576087</v>
      </c>
      <c r="J45" s="55">
        <v>1023696</v>
      </c>
      <c r="K45" s="56">
        <f t="shared" si="2"/>
        <v>31213903</v>
      </c>
    </row>
    <row r="46" spans="1:11" s="1" customFormat="1" ht="16.2" thickBot="1" x14ac:dyDescent="0.35">
      <c r="A46" s="31"/>
      <c r="B46" s="32"/>
      <c r="C46" s="59"/>
      <c r="D46" s="59"/>
      <c r="E46" s="59"/>
      <c r="F46" s="59"/>
      <c r="G46" s="59"/>
      <c r="H46" s="59"/>
      <c r="I46" s="59"/>
      <c r="J46" s="59"/>
      <c r="K46" s="60"/>
    </row>
    <row r="47" spans="1:11" s="1" customFormat="1" ht="16.2" thickBot="1" x14ac:dyDescent="0.35">
      <c r="A47" s="33">
        <v>2000000</v>
      </c>
      <c r="B47" s="30" t="s">
        <v>37</v>
      </c>
      <c r="C47" s="49">
        <f>SUM(C48+C57+C60+C62)</f>
        <v>72480519</v>
      </c>
      <c r="D47" s="49">
        <f t="shared" ref="D47:J47" si="8">SUM(D48+D57+D60+D62)</f>
        <v>184848</v>
      </c>
      <c r="E47" s="49">
        <f t="shared" si="8"/>
        <v>6936931</v>
      </c>
      <c r="F47" s="49">
        <f t="shared" si="8"/>
        <v>76536186</v>
      </c>
      <c r="G47" s="49">
        <f t="shared" si="8"/>
        <v>2418694</v>
      </c>
      <c r="H47" s="49">
        <f t="shared" si="8"/>
        <v>2803562</v>
      </c>
      <c r="I47" s="49">
        <f t="shared" si="8"/>
        <v>1057493</v>
      </c>
      <c r="J47" s="49">
        <f t="shared" si="8"/>
        <v>788120</v>
      </c>
      <c r="K47" s="50">
        <f t="shared" si="2"/>
        <v>163206353</v>
      </c>
    </row>
    <row r="48" spans="1:11" s="1" customFormat="1" ht="46.8" x14ac:dyDescent="0.3">
      <c r="A48" s="16">
        <v>2010000</v>
      </c>
      <c r="B48" s="29" t="s">
        <v>38</v>
      </c>
      <c r="C48" s="51">
        <f>38724402+18718904-11450000-18718904</f>
        <v>27274402</v>
      </c>
      <c r="D48" s="51">
        <v>32158</v>
      </c>
      <c r="E48" s="51">
        <f>807264+1200000</f>
        <v>2007264</v>
      </c>
      <c r="F48" s="51">
        <f>63827185+10250000</f>
        <v>74077185</v>
      </c>
      <c r="G48" s="51">
        <v>186496</v>
      </c>
      <c r="H48" s="51">
        <v>136060</v>
      </c>
      <c r="I48" s="51">
        <v>102649</v>
      </c>
      <c r="J48" s="51">
        <v>15436</v>
      </c>
      <c r="K48" s="52">
        <f t="shared" si="2"/>
        <v>103831650</v>
      </c>
    </row>
    <row r="49" spans="1:11" s="1" customFormat="1" ht="31.2" x14ac:dyDescent="0.3">
      <c r="A49" s="18">
        <v>2010200</v>
      </c>
      <c r="B49" s="68" t="s">
        <v>39</v>
      </c>
      <c r="C49" s="61">
        <v>1657241</v>
      </c>
      <c r="D49" s="61">
        <v>27175</v>
      </c>
      <c r="E49" s="61">
        <v>669698</v>
      </c>
      <c r="F49" s="61">
        <v>127009</v>
      </c>
      <c r="G49" s="61">
        <v>46325</v>
      </c>
      <c r="H49" s="61">
        <v>108168</v>
      </c>
      <c r="I49" s="61">
        <v>76669</v>
      </c>
      <c r="J49" s="61">
        <v>14624</v>
      </c>
      <c r="K49" s="56">
        <f t="shared" si="2"/>
        <v>2726909</v>
      </c>
    </row>
    <row r="50" spans="1:11" s="1" customFormat="1" ht="31.2" x14ac:dyDescent="0.3">
      <c r="A50" s="18">
        <v>2010300</v>
      </c>
      <c r="B50" s="19" t="s">
        <v>40</v>
      </c>
      <c r="C50" s="55">
        <f>20800000-11450000</f>
        <v>9350000</v>
      </c>
      <c r="D50" s="55"/>
      <c r="E50" s="55">
        <v>1200000</v>
      </c>
      <c r="F50" s="55">
        <f>63646520+10250000</f>
        <v>73896520</v>
      </c>
      <c r="G50" s="55"/>
      <c r="H50" s="55"/>
      <c r="I50" s="55"/>
      <c r="J50" s="55"/>
      <c r="K50" s="56">
        <f t="shared" si="2"/>
        <v>84446520</v>
      </c>
    </row>
    <row r="51" spans="1:11" s="1" customFormat="1" ht="31.2" x14ac:dyDescent="0.3">
      <c r="A51" s="18">
        <v>2010400</v>
      </c>
      <c r="B51" s="19" t="s">
        <v>41</v>
      </c>
      <c r="C51" s="55">
        <v>325000</v>
      </c>
      <c r="D51" s="55"/>
      <c r="E51" s="55"/>
      <c r="F51" s="55"/>
      <c r="G51" s="55"/>
      <c r="H51" s="55"/>
      <c r="I51" s="55"/>
      <c r="J51" s="55"/>
      <c r="K51" s="56">
        <f t="shared" si="2"/>
        <v>325000</v>
      </c>
    </row>
    <row r="52" spans="1:11" s="1" customFormat="1" ht="31.2" x14ac:dyDescent="0.3">
      <c r="A52" s="18">
        <v>2010500</v>
      </c>
      <c r="B52" s="19" t="s">
        <v>42</v>
      </c>
      <c r="C52" s="55">
        <v>302</v>
      </c>
      <c r="D52" s="55"/>
      <c r="E52" s="55">
        <v>1760</v>
      </c>
      <c r="F52" s="55"/>
      <c r="G52" s="55"/>
      <c r="H52" s="55"/>
      <c r="I52" s="55"/>
      <c r="J52" s="55"/>
      <c r="K52" s="56">
        <f t="shared" si="2"/>
        <v>2062</v>
      </c>
    </row>
    <row r="53" spans="1:11" s="1" customFormat="1" x14ac:dyDescent="0.3">
      <c r="A53" s="18">
        <v>2010600</v>
      </c>
      <c r="B53" s="19" t="s">
        <v>68</v>
      </c>
      <c r="C53" s="55">
        <f>18718904-18718904</f>
        <v>0</v>
      </c>
      <c r="D53" s="55"/>
      <c r="E53" s="55"/>
      <c r="F53" s="55"/>
      <c r="G53" s="55"/>
      <c r="H53" s="55"/>
      <c r="I53" s="55"/>
      <c r="J53" s="55"/>
      <c r="K53" s="56">
        <f t="shared" ref="K53" si="9">SUM(C53:J53)</f>
        <v>0</v>
      </c>
    </row>
    <row r="54" spans="1:11" s="1" customFormat="1" ht="31.2" x14ac:dyDescent="0.3">
      <c r="A54" s="18">
        <v>2010900</v>
      </c>
      <c r="B54" s="19" t="s">
        <v>43</v>
      </c>
      <c r="C54" s="55">
        <v>3801587</v>
      </c>
      <c r="D54" s="55">
        <v>4983</v>
      </c>
      <c r="E54" s="55">
        <v>23750</v>
      </c>
      <c r="F54" s="55">
        <v>22800</v>
      </c>
      <c r="G54" s="55">
        <v>11875</v>
      </c>
      <c r="H54" s="55">
        <v>27892</v>
      </c>
      <c r="I54" s="55">
        <v>25980</v>
      </c>
      <c r="J54" s="55"/>
      <c r="K54" s="56">
        <f t="shared" si="2"/>
        <v>3918867</v>
      </c>
    </row>
    <row r="55" spans="1:11" s="1" customFormat="1" ht="31.2" x14ac:dyDescent="0.3">
      <c r="A55" s="8">
        <v>2011000</v>
      </c>
      <c r="B55" s="11" t="s">
        <v>44</v>
      </c>
      <c r="C55" s="53">
        <v>10017709</v>
      </c>
      <c r="D55" s="53"/>
      <c r="E55" s="53"/>
      <c r="F55" s="53"/>
      <c r="G55" s="53"/>
      <c r="H55" s="55"/>
      <c r="I55" s="53"/>
      <c r="J55" s="53"/>
      <c r="K55" s="54">
        <f t="shared" si="2"/>
        <v>10017709</v>
      </c>
    </row>
    <row r="56" spans="1:11" s="1" customFormat="1" x14ac:dyDescent="0.3">
      <c r="A56" s="8"/>
      <c r="B56" s="11"/>
      <c r="C56" s="53"/>
      <c r="D56" s="53"/>
      <c r="E56" s="53"/>
      <c r="F56" s="53"/>
      <c r="G56" s="53"/>
      <c r="H56" s="53"/>
      <c r="I56" s="53"/>
      <c r="J56" s="53"/>
      <c r="K56" s="54"/>
    </row>
    <row r="57" spans="1:11" s="1" customFormat="1" ht="46.8" x14ac:dyDescent="0.3">
      <c r="A57" s="8">
        <v>2020000</v>
      </c>
      <c r="B57" s="11" t="s">
        <v>45</v>
      </c>
      <c r="C57" s="53">
        <f>33617930-483001</f>
        <v>33134929</v>
      </c>
      <c r="D57" s="53">
        <v>1854</v>
      </c>
      <c r="E57" s="53">
        <v>87895</v>
      </c>
      <c r="F57" s="53">
        <v>17893</v>
      </c>
      <c r="G57" s="53">
        <v>5000</v>
      </c>
      <c r="H57" s="53">
        <v>534380</v>
      </c>
      <c r="I57" s="53">
        <v>36829</v>
      </c>
      <c r="J57" s="53">
        <v>4731</v>
      </c>
      <c r="K57" s="54">
        <f t="shared" si="2"/>
        <v>33823511</v>
      </c>
    </row>
    <row r="58" spans="1:11" s="1" customFormat="1" ht="46.8" x14ac:dyDescent="0.3">
      <c r="A58" s="18">
        <v>2020100</v>
      </c>
      <c r="B58" s="19" t="s">
        <v>46</v>
      </c>
      <c r="C58" s="55">
        <f>17500000-483001</f>
        <v>17016999</v>
      </c>
      <c r="D58" s="55"/>
      <c r="E58" s="55"/>
      <c r="F58" s="55"/>
      <c r="G58" s="55"/>
      <c r="H58" s="55"/>
      <c r="I58" s="55"/>
      <c r="J58" s="55"/>
      <c r="K58" s="56">
        <f t="shared" si="2"/>
        <v>17016999</v>
      </c>
    </row>
    <row r="59" spans="1:11" s="1" customFormat="1" x14ac:dyDescent="0.3">
      <c r="A59" s="18"/>
      <c r="B59" s="19"/>
      <c r="C59" s="55"/>
      <c r="D59" s="55"/>
      <c r="E59" s="55"/>
      <c r="F59" s="55"/>
      <c r="G59" s="55"/>
      <c r="H59" s="55"/>
      <c r="I59" s="55"/>
      <c r="J59" s="55"/>
      <c r="K59" s="54"/>
    </row>
    <row r="60" spans="1:11" s="1" customFormat="1" x14ac:dyDescent="0.3">
      <c r="A60" s="10">
        <v>2060000</v>
      </c>
      <c r="B60" s="11" t="s">
        <v>47</v>
      </c>
      <c r="C60" s="53">
        <f>3328258+370763</f>
        <v>3699021</v>
      </c>
      <c r="D60" s="53">
        <v>110528</v>
      </c>
      <c r="E60" s="53">
        <v>1221904</v>
      </c>
      <c r="F60" s="53">
        <v>927520</v>
      </c>
      <c r="G60" s="53">
        <v>630762</v>
      </c>
      <c r="H60" s="53">
        <v>547500</v>
      </c>
      <c r="I60" s="53">
        <v>342651</v>
      </c>
      <c r="J60" s="53">
        <v>487649</v>
      </c>
      <c r="K60" s="54">
        <f t="shared" si="2"/>
        <v>7967535</v>
      </c>
    </row>
    <row r="61" spans="1:11" s="1" customFormat="1" x14ac:dyDescent="0.3">
      <c r="A61" s="20"/>
      <c r="B61" s="19"/>
      <c r="C61" s="55"/>
      <c r="D61" s="55"/>
      <c r="E61" s="55"/>
      <c r="F61" s="55"/>
      <c r="G61" s="55"/>
      <c r="H61" s="55"/>
      <c r="I61" s="55"/>
      <c r="J61" s="55"/>
      <c r="K61" s="54"/>
    </row>
    <row r="62" spans="1:11" s="1" customFormat="1" x14ac:dyDescent="0.3">
      <c r="A62" s="10">
        <v>2070000</v>
      </c>
      <c r="B62" s="11" t="s">
        <v>48</v>
      </c>
      <c r="C62" s="53">
        <v>8372167</v>
      </c>
      <c r="D62" s="53">
        <v>40308</v>
      </c>
      <c r="E62" s="53">
        <v>3619868</v>
      </c>
      <c r="F62" s="53">
        <v>1513588</v>
      </c>
      <c r="G62" s="53">
        <v>1596436</v>
      </c>
      <c r="H62" s="53">
        <v>1585622</v>
      </c>
      <c r="I62" s="53">
        <v>575364</v>
      </c>
      <c r="J62" s="53">
        <v>280304</v>
      </c>
      <c r="K62" s="54">
        <f t="shared" si="2"/>
        <v>17583657</v>
      </c>
    </row>
    <row r="63" spans="1:11" s="1" customFormat="1" ht="16.2" thickBot="1" x14ac:dyDescent="0.35">
      <c r="A63" s="22"/>
      <c r="B63" s="26"/>
      <c r="C63" s="62"/>
      <c r="D63" s="62"/>
      <c r="E63" s="62"/>
      <c r="F63" s="62"/>
      <c r="G63" s="62"/>
      <c r="H63" s="62"/>
      <c r="I63" s="62"/>
      <c r="J63" s="62"/>
      <c r="K63" s="60"/>
    </row>
    <row r="64" spans="1:11" s="1" customFormat="1" ht="16.2" thickBot="1" x14ac:dyDescent="0.35">
      <c r="A64" s="27">
        <v>3000000</v>
      </c>
      <c r="B64" s="30" t="s">
        <v>71</v>
      </c>
      <c r="C64" s="49">
        <f>SUM(C65:C67)</f>
        <v>85623165</v>
      </c>
      <c r="D64" s="49">
        <f t="shared" ref="D64:J64" si="10">SUM(D65:D67)</f>
        <v>0</v>
      </c>
      <c r="E64" s="49">
        <f t="shared" si="10"/>
        <v>0</v>
      </c>
      <c r="F64" s="49">
        <f t="shared" si="10"/>
        <v>0</v>
      </c>
      <c r="G64" s="49">
        <f t="shared" si="10"/>
        <v>0</v>
      </c>
      <c r="H64" s="49">
        <f t="shared" si="10"/>
        <v>0</v>
      </c>
      <c r="I64" s="49">
        <f t="shared" si="10"/>
        <v>0</v>
      </c>
      <c r="J64" s="49">
        <f t="shared" si="10"/>
        <v>0</v>
      </c>
      <c r="K64" s="50">
        <f t="shared" ref="K64" si="11">SUM(C64:J64)</f>
        <v>85623165</v>
      </c>
    </row>
    <row r="65" spans="1:11" s="1" customFormat="1" x14ac:dyDescent="0.3">
      <c r="A65" s="20">
        <v>3010000</v>
      </c>
      <c r="B65" s="19" t="s">
        <v>72</v>
      </c>
      <c r="C65" s="55">
        <f>0+4185000+4738000</f>
        <v>8923000</v>
      </c>
      <c r="D65" s="55"/>
      <c r="E65" s="55"/>
      <c r="F65" s="55"/>
      <c r="G65" s="55"/>
      <c r="H65" s="55"/>
      <c r="I65" s="55"/>
      <c r="J65" s="55"/>
      <c r="K65" s="56">
        <f t="shared" ref="K65:K66" si="12">SUM(C65:J65)</f>
        <v>8923000</v>
      </c>
    </row>
    <row r="66" spans="1:11" s="1" customFormat="1" ht="31.2" x14ac:dyDescent="0.3">
      <c r="A66" s="20">
        <v>3011000</v>
      </c>
      <c r="B66" s="19" t="s">
        <v>74</v>
      </c>
      <c r="C66" s="55">
        <v>9300895</v>
      </c>
      <c r="D66" s="55"/>
      <c r="E66" s="55"/>
      <c r="F66" s="55"/>
      <c r="G66" s="55"/>
      <c r="H66" s="55"/>
      <c r="I66" s="55"/>
      <c r="J66" s="55"/>
      <c r="K66" s="56">
        <f t="shared" si="12"/>
        <v>9300895</v>
      </c>
    </row>
    <row r="67" spans="1:11" s="1" customFormat="1" x14ac:dyDescent="0.3">
      <c r="A67" s="20">
        <v>3060000</v>
      </c>
      <c r="B67" s="19" t="s">
        <v>73</v>
      </c>
      <c r="C67" s="55">
        <f>0+30366800+6708870+30323600</f>
        <v>67399270</v>
      </c>
      <c r="D67" s="55"/>
      <c r="E67" s="55"/>
      <c r="F67" s="55"/>
      <c r="G67" s="55"/>
      <c r="H67" s="55"/>
      <c r="I67" s="55"/>
      <c r="J67" s="55"/>
      <c r="K67" s="56">
        <f t="shared" ref="K67" si="13">SUM(C67:J67)</f>
        <v>67399270</v>
      </c>
    </row>
    <row r="68" spans="1:11" s="1" customFormat="1" ht="16.2" thickBot="1" x14ac:dyDescent="0.35">
      <c r="A68" s="10"/>
      <c r="B68" s="11"/>
      <c r="C68" s="53"/>
      <c r="D68" s="53"/>
      <c r="E68" s="53"/>
      <c r="F68" s="53"/>
      <c r="G68" s="53"/>
      <c r="H68" s="53"/>
      <c r="I68" s="53"/>
      <c r="J68" s="53"/>
      <c r="K68" s="54"/>
    </row>
    <row r="69" spans="1:11" s="1" customFormat="1" ht="16.2" thickBot="1" x14ac:dyDescent="0.35">
      <c r="A69" s="27">
        <v>4000000</v>
      </c>
      <c r="B69" s="30" t="s">
        <v>49</v>
      </c>
      <c r="C69" s="49">
        <f>SUM(C70+C73+C75+C77+C79+C81+C83+C85+C87)</f>
        <v>713052428</v>
      </c>
      <c r="D69" s="49">
        <f t="shared" ref="D69:J69" si="14">SUM(D70+D73+D77+D79+D81+D83+D85+D87)</f>
        <v>16144456</v>
      </c>
      <c r="E69" s="49">
        <f t="shared" si="14"/>
        <v>12722530</v>
      </c>
      <c r="F69" s="49">
        <f t="shared" si="14"/>
        <v>24317054</v>
      </c>
      <c r="G69" s="49">
        <f t="shared" si="14"/>
        <v>9227678</v>
      </c>
      <c r="H69" s="49">
        <f t="shared" si="14"/>
        <v>21776780</v>
      </c>
      <c r="I69" s="49">
        <f t="shared" si="14"/>
        <v>17395872</v>
      </c>
      <c r="J69" s="49">
        <f t="shared" si="14"/>
        <v>5819155</v>
      </c>
      <c r="K69" s="50">
        <f t="shared" si="2"/>
        <v>820455953</v>
      </c>
    </row>
    <row r="70" spans="1:11" s="44" customFormat="1" x14ac:dyDescent="0.3">
      <c r="A70" s="42">
        <v>4010000</v>
      </c>
      <c r="B70" s="43" t="s">
        <v>50</v>
      </c>
      <c r="C70" s="63">
        <f>181134818+45545406+9712496+2393184+1094752</f>
        <v>239880656</v>
      </c>
      <c r="D70" s="63">
        <v>14587688</v>
      </c>
      <c r="E70" s="63">
        <v>11089401</v>
      </c>
      <c r="F70" s="63">
        <f>10580467-1754894-603792</f>
        <v>8221781</v>
      </c>
      <c r="G70" s="63">
        <v>2326460</v>
      </c>
      <c r="H70" s="63">
        <v>4080945</v>
      </c>
      <c r="I70" s="63">
        <v>1605447</v>
      </c>
      <c r="J70" s="63">
        <v>808254</v>
      </c>
      <c r="K70" s="64">
        <f t="shared" si="2"/>
        <v>282600632</v>
      </c>
    </row>
    <row r="71" spans="1:11" s="1" customFormat="1" x14ac:dyDescent="0.3">
      <c r="A71" s="20">
        <v>4010104</v>
      </c>
      <c r="B71" s="19" t="s">
        <v>51</v>
      </c>
      <c r="C71" s="55">
        <f>56454786</f>
        <v>56454786</v>
      </c>
      <c r="D71" s="55">
        <v>14207893</v>
      </c>
      <c r="E71" s="55">
        <v>8924376</v>
      </c>
      <c r="F71" s="55">
        <f>8313241-1754894-603792</f>
        <v>5954555</v>
      </c>
      <c r="G71" s="55">
        <v>1538377</v>
      </c>
      <c r="H71" s="55">
        <v>2712985</v>
      </c>
      <c r="I71" s="55">
        <v>945405</v>
      </c>
      <c r="J71" s="55">
        <v>407602</v>
      </c>
      <c r="K71" s="56">
        <f t="shared" si="2"/>
        <v>91145979</v>
      </c>
    </row>
    <row r="72" spans="1:11" s="1" customFormat="1" x14ac:dyDescent="0.3">
      <c r="A72" s="20"/>
      <c r="B72" s="19"/>
      <c r="C72" s="55"/>
      <c r="D72" s="55"/>
      <c r="E72" s="55"/>
      <c r="F72" s="55"/>
      <c r="G72" s="55"/>
      <c r="H72" s="55"/>
      <c r="I72" s="55"/>
      <c r="J72" s="55"/>
      <c r="K72" s="54"/>
    </row>
    <row r="73" spans="1:11" s="1" customFormat="1" ht="31.2" x14ac:dyDescent="0.3">
      <c r="A73" s="10">
        <v>4020100</v>
      </c>
      <c r="B73" s="11" t="s">
        <v>52</v>
      </c>
      <c r="C73" s="53">
        <f>2800995-300107</f>
        <v>2500888</v>
      </c>
      <c r="D73" s="53">
        <f>1743580-186812</f>
        <v>1556768</v>
      </c>
      <c r="E73" s="53">
        <f>919178-98484</f>
        <v>820694</v>
      </c>
      <c r="F73" s="53">
        <f>1500915-160812</f>
        <v>1340103</v>
      </c>
      <c r="G73" s="53">
        <f>294101-31511</f>
        <v>262590</v>
      </c>
      <c r="H73" s="53">
        <f>801549-85880</f>
        <v>715669</v>
      </c>
      <c r="I73" s="53">
        <f>353807-37908</f>
        <v>315899</v>
      </c>
      <c r="J73" s="53">
        <f>134027-14360</f>
        <v>119667</v>
      </c>
      <c r="K73" s="54">
        <f t="shared" si="2"/>
        <v>7632278</v>
      </c>
    </row>
    <row r="74" spans="1:11" s="1" customFormat="1" x14ac:dyDescent="0.3">
      <c r="A74" s="10"/>
      <c r="B74" s="11"/>
      <c r="C74" s="53"/>
      <c r="D74" s="53"/>
      <c r="E74" s="53"/>
      <c r="F74" s="53"/>
      <c r="G74" s="53"/>
      <c r="H74" s="53"/>
      <c r="I74" s="53"/>
      <c r="J74" s="53"/>
      <c r="K74" s="54"/>
    </row>
    <row r="75" spans="1:11" s="1" customFormat="1" x14ac:dyDescent="0.3">
      <c r="A75" s="10">
        <v>4060000</v>
      </c>
      <c r="B75" s="11" t="s">
        <v>69</v>
      </c>
      <c r="C75" s="53">
        <v>6795720</v>
      </c>
      <c r="D75" s="53"/>
      <c r="E75" s="53"/>
      <c r="F75" s="53"/>
      <c r="G75" s="53"/>
      <c r="H75" s="53"/>
      <c r="I75" s="53"/>
      <c r="J75" s="53"/>
      <c r="K75" s="54">
        <f t="shared" si="2"/>
        <v>6795720</v>
      </c>
    </row>
    <row r="76" spans="1:11" s="1" customFormat="1" x14ac:dyDescent="0.3">
      <c r="A76" s="20"/>
      <c r="B76" s="19"/>
      <c r="C76" s="55"/>
      <c r="D76" s="55"/>
      <c r="E76" s="55"/>
      <c r="F76" s="55"/>
      <c r="G76" s="55"/>
      <c r="H76" s="55"/>
      <c r="I76" s="55"/>
      <c r="J76" s="55"/>
      <c r="K76" s="54"/>
    </row>
    <row r="77" spans="1:11" ht="78" x14ac:dyDescent="0.3">
      <c r="A77" s="8">
        <v>4080000</v>
      </c>
      <c r="B77" s="11" t="s">
        <v>53</v>
      </c>
      <c r="C77" s="53">
        <v>352996</v>
      </c>
      <c r="D77" s="53"/>
      <c r="E77" s="53">
        <v>648579</v>
      </c>
      <c r="F77" s="53">
        <v>11887744</v>
      </c>
      <c r="G77" s="53">
        <v>5401055</v>
      </c>
      <c r="H77" s="53">
        <v>13769793</v>
      </c>
      <c r="I77" s="53">
        <v>12508930</v>
      </c>
      <c r="J77" s="53">
        <v>3683019</v>
      </c>
      <c r="K77" s="54">
        <f t="shared" si="2"/>
        <v>48252116</v>
      </c>
    </row>
    <row r="78" spans="1:11" x14ac:dyDescent="0.3">
      <c r="A78" s="10"/>
      <c r="B78" s="11"/>
      <c r="C78" s="53"/>
      <c r="D78" s="53"/>
      <c r="E78" s="53"/>
      <c r="F78" s="53"/>
      <c r="G78" s="53"/>
      <c r="H78" s="53"/>
      <c r="I78" s="53"/>
      <c r="J78" s="53"/>
      <c r="K78" s="54"/>
    </row>
    <row r="79" spans="1:11" x14ac:dyDescent="0.3">
      <c r="A79" s="10">
        <v>4100000</v>
      </c>
      <c r="B79" s="11" t="s">
        <v>54</v>
      </c>
      <c r="C79" s="53">
        <f>206980240+5343295+133341867+6420000+741077</f>
        <v>352826479</v>
      </c>
      <c r="D79" s="53"/>
      <c r="E79" s="53"/>
      <c r="F79" s="53"/>
      <c r="G79" s="53"/>
      <c r="H79" s="53"/>
      <c r="I79" s="53"/>
      <c r="J79" s="53"/>
      <c r="K79" s="54">
        <f t="shared" si="2"/>
        <v>352826479</v>
      </c>
    </row>
    <row r="80" spans="1:11" x14ac:dyDescent="0.3">
      <c r="A80" s="10"/>
      <c r="B80" s="11"/>
      <c r="C80" s="53"/>
      <c r="D80" s="53"/>
      <c r="E80" s="53"/>
      <c r="F80" s="53"/>
      <c r="G80" s="53"/>
      <c r="H80" s="53"/>
      <c r="I80" s="53"/>
      <c r="J80" s="53"/>
      <c r="K80" s="54"/>
    </row>
    <row r="81" spans="1:11" x14ac:dyDescent="0.3">
      <c r="A81" s="10">
        <v>4110000</v>
      </c>
      <c r="B81" s="11" t="s">
        <v>55</v>
      </c>
      <c r="C81" s="53">
        <v>20701609</v>
      </c>
      <c r="D81" s="53"/>
      <c r="E81" s="53"/>
      <c r="F81" s="53"/>
      <c r="G81" s="53"/>
      <c r="H81" s="53"/>
      <c r="I81" s="53"/>
      <c r="J81" s="53"/>
      <c r="K81" s="54">
        <f t="shared" ref="K81:K89" si="15">SUM(C81:J81)</f>
        <v>20701609</v>
      </c>
    </row>
    <row r="82" spans="1:11" x14ac:dyDescent="0.3">
      <c r="A82" s="10"/>
      <c r="B82" s="11"/>
      <c r="C82" s="53"/>
      <c r="D82" s="53"/>
      <c r="E82" s="53"/>
      <c r="F82" s="53"/>
      <c r="G82" s="53"/>
      <c r="H82" s="53"/>
      <c r="I82" s="53"/>
      <c r="J82" s="53"/>
      <c r="K82" s="54"/>
    </row>
    <row r="83" spans="1:11" x14ac:dyDescent="0.3">
      <c r="A83" s="10">
        <v>4120000</v>
      </c>
      <c r="B83" s="11" t="s">
        <v>56</v>
      </c>
      <c r="C83" s="53">
        <v>9893699</v>
      </c>
      <c r="D83" s="53"/>
      <c r="E83" s="53"/>
      <c r="F83" s="53"/>
      <c r="G83" s="53"/>
      <c r="H83" s="53"/>
      <c r="I83" s="53"/>
      <c r="J83" s="53"/>
      <c r="K83" s="54">
        <f t="shared" si="15"/>
        <v>9893699</v>
      </c>
    </row>
    <row r="84" spans="1:11" ht="10.8" customHeight="1" x14ac:dyDescent="0.3">
      <c r="A84" s="10"/>
      <c r="B84" s="11"/>
      <c r="C84" s="53"/>
      <c r="D84" s="53"/>
      <c r="E84" s="53"/>
      <c r="F84" s="53"/>
      <c r="G84" s="53"/>
      <c r="H84" s="53"/>
      <c r="I84" s="53"/>
      <c r="J84" s="53"/>
      <c r="K84" s="54"/>
    </row>
    <row r="85" spans="1:11" ht="24" customHeight="1" x14ac:dyDescent="0.3">
      <c r="A85" s="10">
        <v>4130000</v>
      </c>
      <c r="B85" s="21" t="s">
        <v>60</v>
      </c>
      <c r="C85" s="53">
        <v>20500000</v>
      </c>
      <c r="D85" s="65"/>
      <c r="E85" s="65"/>
      <c r="F85" s="65"/>
      <c r="G85" s="65"/>
      <c r="H85" s="65"/>
      <c r="I85" s="65"/>
      <c r="J85" s="65"/>
      <c r="K85" s="54">
        <f t="shared" si="15"/>
        <v>20500000</v>
      </c>
    </row>
    <row r="86" spans="1:11" x14ac:dyDescent="0.3">
      <c r="A86" s="22"/>
      <c r="B86" s="38"/>
      <c r="C86" s="62"/>
      <c r="D86" s="66"/>
      <c r="E86" s="66"/>
      <c r="F86" s="66"/>
      <c r="G86" s="66"/>
      <c r="H86" s="66"/>
      <c r="I86" s="66"/>
      <c r="J86" s="66"/>
      <c r="K86" s="60"/>
    </row>
    <row r="87" spans="1:11" s="41" customFormat="1" x14ac:dyDescent="0.3">
      <c r="A87" s="39">
        <v>4140000</v>
      </c>
      <c r="B87" s="40" t="s">
        <v>61</v>
      </c>
      <c r="C87" s="57">
        <v>59600381</v>
      </c>
      <c r="D87" s="67"/>
      <c r="E87" s="67">
        <v>163856</v>
      </c>
      <c r="F87" s="67">
        <v>2867426</v>
      </c>
      <c r="G87" s="67">
        <v>1237573</v>
      </c>
      <c r="H87" s="67">
        <v>3210373</v>
      </c>
      <c r="I87" s="67">
        <v>2965596</v>
      </c>
      <c r="J87" s="67">
        <v>1208215</v>
      </c>
      <c r="K87" s="58">
        <f t="shared" si="15"/>
        <v>71253420</v>
      </c>
    </row>
    <row r="88" spans="1:11" ht="16.2" thickBot="1" x14ac:dyDescent="0.35">
      <c r="A88" s="22"/>
      <c r="B88" s="26"/>
      <c r="C88" s="62"/>
      <c r="D88" s="66"/>
      <c r="E88" s="66"/>
      <c r="F88" s="66"/>
      <c r="G88" s="66"/>
      <c r="H88" s="66"/>
      <c r="I88" s="66"/>
      <c r="J88" s="66"/>
      <c r="K88" s="60"/>
    </row>
    <row r="89" spans="1:11" ht="31.8" thickBot="1" x14ac:dyDescent="0.35">
      <c r="A89" s="27">
        <v>5000000</v>
      </c>
      <c r="B89" s="28" t="s">
        <v>57</v>
      </c>
      <c r="C89" s="49">
        <f>155513283-19204669+4465989+300000-37635</f>
        <v>141036968</v>
      </c>
      <c r="D89" s="49">
        <f>6390517+242896</f>
        <v>6633413</v>
      </c>
      <c r="E89" s="49">
        <f>42078601+2814295+9559462+4600</f>
        <v>54456958</v>
      </c>
      <c r="F89" s="49">
        <f>21948129+249898</f>
        <v>22198027</v>
      </c>
      <c r="G89" s="49">
        <f>9993513+267542</f>
        <v>10261055</v>
      </c>
      <c r="H89" s="49">
        <f>7065315+502075</f>
        <v>7567390</v>
      </c>
      <c r="I89" s="49">
        <f>6120695+256488</f>
        <v>6377183</v>
      </c>
      <c r="J89" s="49">
        <f>3260473+146288</f>
        <v>3406761</v>
      </c>
      <c r="K89" s="50">
        <f t="shared" si="15"/>
        <v>251937755</v>
      </c>
    </row>
    <row r="90" spans="1:11" ht="16.2" thickBot="1" x14ac:dyDescent="0.35">
      <c r="A90" s="22"/>
      <c r="B90" s="26"/>
      <c r="C90" s="62"/>
      <c r="D90" s="66"/>
      <c r="E90" s="66"/>
      <c r="F90" s="66"/>
      <c r="G90" s="66"/>
      <c r="H90" s="66"/>
      <c r="I90" s="66"/>
      <c r="J90" s="66"/>
      <c r="K90" s="60"/>
    </row>
    <row r="91" spans="1:11" ht="31.8" thickBot="1" x14ac:dyDescent="0.35">
      <c r="A91" s="27">
        <v>6010000</v>
      </c>
      <c r="B91" s="28" t="s">
        <v>70</v>
      </c>
      <c r="C91" s="49">
        <f>0+9909244</f>
        <v>9909244</v>
      </c>
      <c r="D91" s="49"/>
      <c r="E91" s="49"/>
      <c r="F91" s="49"/>
      <c r="G91" s="49"/>
      <c r="H91" s="49"/>
      <c r="I91" s="49"/>
      <c r="J91" s="49"/>
      <c r="K91" s="50">
        <f t="shared" ref="K91" si="16">SUM(C91:J91)</f>
        <v>9909244</v>
      </c>
    </row>
    <row r="92" spans="1:11" ht="16.2" thickBot="1" x14ac:dyDescent="0.35">
      <c r="A92" s="22"/>
      <c r="B92" s="26"/>
      <c r="C92" s="62"/>
      <c r="D92" s="66"/>
      <c r="E92" s="66"/>
      <c r="F92" s="66"/>
      <c r="G92" s="66"/>
      <c r="H92" s="66"/>
      <c r="I92" s="66"/>
      <c r="J92" s="66"/>
      <c r="K92" s="60"/>
    </row>
    <row r="93" spans="1:11" ht="16.2" thickBot="1" x14ac:dyDescent="0.35">
      <c r="A93" s="23"/>
      <c r="B93" s="24" t="s">
        <v>58</v>
      </c>
      <c r="C93" s="36">
        <f t="shared" ref="C93:J93" si="17">SUM(C14+C47+C69+C89+C91+C64)</f>
        <v>1865366989</v>
      </c>
      <c r="D93" s="36">
        <f t="shared" si="17"/>
        <v>217514790</v>
      </c>
      <c r="E93" s="36">
        <f t="shared" si="17"/>
        <v>144355411</v>
      </c>
      <c r="F93" s="36">
        <f t="shared" si="17"/>
        <v>204150580</v>
      </c>
      <c r="G93" s="36">
        <f t="shared" si="17"/>
        <v>39352943</v>
      </c>
      <c r="H93" s="36">
        <f t="shared" si="17"/>
        <v>56103037</v>
      </c>
      <c r="I93" s="36">
        <f t="shared" si="17"/>
        <v>42146074</v>
      </c>
      <c r="J93" s="36">
        <f t="shared" si="17"/>
        <v>15020904</v>
      </c>
      <c r="K93" s="37">
        <f>SUM(C93:J93)</f>
        <v>2584010728</v>
      </c>
    </row>
    <row r="96" spans="1:11" x14ac:dyDescent="0.3">
      <c r="B96" s="25"/>
      <c r="C96" s="15"/>
      <c r="D96" s="15"/>
      <c r="E96" s="15"/>
      <c r="F96" s="15"/>
      <c r="G96" s="15"/>
      <c r="H96" s="15"/>
      <c r="I96" s="15"/>
      <c r="J96" s="15"/>
    </row>
    <row r="97" spans="2:10" x14ac:dyDescent="0.3">
      <c r="B97" s="25"/>
      <c r="C97" s="15"/>
      <c r="D97" s="15"/>
      <c r="E97" s="15"/>
      <c r="F97" s="15"/>
      <c r="G97" s="15"/>
      <c r="H97" s="15"/>
      <c r="I97" s="15"/>
      <c r="J97" s="15"/>
    </row>
    <row r="121" spans="2:10" x14ac:dyDescent="0.3">
      <c r="B121" s="25"/>
      <c r="C121" s="15"/>
      <c r="D121" s="15"/>
      <c r="E121" s="15"/>
      <c r="F121" s="15"/>
      <c r="G121" s="15"/>
      <c r="H121" s="15"/>
      <c r="I121" s="15"/>
      <c r="J121" s="15"/>
    </row>
    <row r="122" spans="2:10" x14ac:dyDescent="0.3">
      <c r="B122" s="25"/>
      <c r="C122" s="15"/>
      <c r="D122" s="15"/>
      <c r="E122" s="15"/>
      <c r="F122" s="15"/>
      <c r="G122" s="15"/>
      <c r="H122" s="15"/>
      <c r="I122" s="15"/>
      <c r="J122" s="15"/>
    </row>
    <row r="123" spans="2:10" x14ac:dyDescent="0.3">
      <c r="B123" s="25"/>
      <c r="C123" s="15"/>
      <c r="D123" s="15"/>
      <c r="E123" s="15"/>
      <c r="F123" s="15"/>
      <c r="G123" s="15"/>
      <c r="H123" s="15"/>
      <c r="I123" s="15"/>
      <c r="J123" s="15"/>
    </row>
    <row r="124" spans="2:10" x14ac:dyDescent="0.3">
      <c r="B124" s="25"/>
      <c r="C124" s="15"/>
      <c r="D124" s="15"/>
      <c r="E124" s="15"/>
      <c r="F124" s="15"/>
      <c r="G124" s="15"/>
      <c r="H124" s="15"/>
      <c r="I124" s="15"/>
      <c r="J124" s="15"/>
    </row>
    <row r="130" spans="1:10" x14ac:dyDescent="0.3">
      <c r="A130" s="9"/>
      <c r="B130" s="25"/>
      <c r="C130" s="15"/>
      <c r="D130" s="15"/>
      <c r="E130" s="15"/>
      <c r="F130" s="15"/>
      <c r="G130" s="15"/>
      <c r="H130" s="15"/>
      <c r="I130" s="15"/>
      <c r="J130" s="15"/>
    </row>
    <row r="131" spans="1:10" x14ac:dyDescent="0.3">
      <c r="B131" s="25"/>
      <c r="C131" s="15"/>
      <c r="D131" s="15"/>
      <c r="E131" s="15"/>
      <c r="F131" s="15"/>
      <c r="G131" s="15"/>
      <c r="H131" s="15"/>
      <c r="I131" s="15"/>
      <c r="J131" s="15"/>
    </row>
    <row r="132" spans="1:10" x14ac:dyDescent="0.3">
      <c r="B132" s="25"/>
      <c r="C132" s="15"/>
      <c r="D132" s="15"/>
      <c r="E132" s="15"/>
      <c r="F132" s="15"/>
      <c r="G132" s="15"/>
      <c r="H132" s="15"/>
      <c r="I132" s="15"/>
      <c r="J132" s="15"/>
    </row>
  </sheetData>
  <mergeCells count="4">
    <mergeCell ref="I7:K7"/>
    <mergeCell ref="H8:K8"/>
    <mergeCell ref="I9:K9"/>
    <mergeCell ref="A11:K11"/>
  </mergeCells>
  <pageMargins left="0.39370078740157483" right="0.39370078740157483" top="0.47244094488188981" bottom="0.39370078740157483" header="0" footer="0"/>
  <pageSetup paperSize="9" scale="74" firstPageNumber="10" fitToHeight="4" orientation="landscape" useFirstPageNumber="1" r:id="rId1"/>
  <headerFooter scaleWithDoc="0" alignWithMargins="0">
    <oddHeader>&amp;C&amp;"Times New Roman,обычный"&amp;12&amp;P</oddHeader>
  </headerFooter>
  <rowBreaks count="1" manualBreakCount="1">
    <brk id="8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(11208)</vt:lpstr>
      <vt:lpstr>'Приложение № 1 (11208)'!Заголовки_для_печати</vt:lpstr>
      <vt:lpstr>'Приложение № 1 (11208)'!Область_печати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2023-12-21T07:36:03Z</dcterms:modified>
</cp:coreProperties>
</file>