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6" windowHeight="8220" tabRatio="390"/>
  </bookViews>
  <sheets>
    <sheet name="Приложение № 2 (815)" sheetId="1" r:id="rId1"/>
  </sheets>
  <definedNames>
    <definedName name="_xlnm.Print_Titles" localSheetId="0">'Приложение № 2 (815)'!$A:$D,'Приложение № 2 (815)'!$15:$15</definedName>
    <definedName name="_xlnm.Print_Area" localSheetId="0">'Приложение № 2 (815)'!$A$1:$CZ$340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7" i="1" l="1"/>
  <c r="Y157" i="1"/>
  <c r="X157" i="1"/>
  <c r="O276" i="1"/>
  <c r="CC184" i="1"/>
  <c r="O53" i="1"/>
  <c r="CV308" i="1" l="1"/>
  <c r="Y278" i="1"/>
  <c r="Z276" i="1"/>
  <c r="Y275" i="1"/>
  <c r="AD266" i="1"/>
  <c r="P266" i="1"/>
  <c r="P258" i="1"/>
  <c r="CV231" i="1" l="1"/>
  <c r="BM225" i="1"/>
  <c r="AC211" i="1"/>
  <c r="CC200" i="1"/>
  <c r="Y188" i="1"/>
  <c r="AD187" i="1"/>
  <c r="Z187" i="1"/>
  <c r="Y187" i="1"/>
  <c r="X187" i="1"/>
  <c r="AD186" i="1"/>
  <c r="CC183" i="1"/>
  <c r="AD176" i="1"/>
  <c r="Y176" i="1"/>
  <c r="AD173" i="1"/>
  <c r="X173" i="1"/>
  <c r="AD171" i="1" l="1"/>
  <c r="Z156" i="1" l="1"/>
  <c r="Y156" i="1"/>
  <c r="X156" i="1"/>
  <c r="CB132" i="1"/>
  <c r="AD132" i="1"/>
  <c r="AD129" i="1"/>
  <c r="Z129" i="1"/>
  <c r="Y129" i="1"/>
  <c r="X129" i="1"/>
  <c r="AD128" i="1"/>
  <c r="Z128" i="1"/>
  <c r="Y128" i="1"/>
  <c r="X128" i="1"/>
  <c r="Y90" i="1"/>
  <c r="AO81" i="1"/>
  <c r="Z81" i="1"/>
  <c r="AD57" i="1"/>
  <c r="Z57" i="1"/>
  <c r="Y57" i="1"/>
  <c r="Y53" i="1"/>
  <c r="AA38" i="1"/>
  <c r="X38" i="1"/>
  <c r="Z25" i="1"/>
  <c r="Y25" i="1"/>
  <c r="X25" i="1"/>
  <c r="BC173" i="1" l="1"/>
  <c r="BC179" i="1"/>
  <c r="S164" i="1" l="1"/>
  <c r="U164" i="1"/>
  <c r="CH243" i="1" l="1"/>
  <c r="P243" i="1"/>
  <c r="CO331" i="1"/>
  <c r="O331" i="1"/>
  <c r="CH331" i="1"/>
  <c r="CJ331" i="1"/>
  <c r="CK331" i="1"/>
  <c r="CL331" i="1"/>
  <c r="CP331" i="1"/>
  <c r="CQ331" i="1"/>
  <c r="Z278" i="1" l="1"/>
  <c r="BC278" i="1"/>
  <c r="BC275" i="1"/>
  <c r="CH262" i="1"/>
  <c r="AD280" i="1"/>
  <c r="AJ262" i="1"/>
  <c r="O280" i="1"/>
  <c r="O266" i="1"/>
  <c r="I266" i="1"/>
  <c r="H266" i="1"/>
  <c r="L262" i="1"/>
  <c r="K262" i="1"/>
  <c r="I262" i="1"/>
  <c r="H262" i="1"/>
  <c r="CH272" i="1"/>
  <c r="BC268" i="1"/>
  <c r="AR261" i="1"/>
  <c r="AD281" i="1"/>
  <c r="AB281" i="1"/>
  <c r="Z281" i="1"/>
  <c r="Y281" i="1"/>
  <c r="X281" i="1"/>
  <c r="U272" i="1"/>
  <c r="Z268" i="1"/>
  <c r="O272" i="1"/>
  <c r="L272" i="1"/>
  <c r="P268" i="1"/>
  <c r="I268" i="1"/>
  <c r="H268" i="1"/>
  <c r="P261" i="1"/>
  <c r="I62" i="1"/>
  <c r="P137" i="1" l="1"/>
  <c r="H26" i="1"/>
  <c r="H25" i="1"/>
  <c r="AA77" i="1"/>
  <c r="AD77" i="1"/>
  <c r="I33" i="1" l="1"/>
  <c r="H33" i="1"/>
  <c r="P81" i="1"/>
  <c r="BM325" i="1"/>
  <c r="BM322" i="1"/>
  <c r="BM319" i="1"/>
  <c r="BM317" i="1"/>
  <c r="BJ323" i="1"/>
  <c r="CV296" i="1"/>
  <c r="CV286" i="1"/>
  <c r="CV295" i="1"/>
  <c r="CV294" i="1"/>
  <c r="CV292" i="1"/>
  <c r="CV302" i="1"/>
  <c r="CV297" i="1"/>
  <c r="CV288" i="1"/>
  <c r="CV289" i="1"/>
  <c r="BC254" i="1"/>
  <c r="BC249" i="1"/>
  <c r="AK245" i="1"/>
  <c r="AL247" i="1"/>
  <c r="CH253" i="1"/>
  <c r="BC238" i="1"/>
  <c r="CX238" i="1"/>
  <c r="CW238" i="1" s="1"/>
  <c r="CN238" i="1"/>
  <c r="CI238" i="1"/>
  <c r="CF238" i="1"/>
  <c r="CE238" i="1" s="1"/>
  <c r="CD238" i="1" s="1"/>
  <c r="BR238" i="1"/>
  <c r="BO238" i="1"/>
  <c r="BI238" i="1"/>
  <c r="BE238" i="1"/>
  <c r="AF238" i="1"/>
  <c r="V238" i="1"/>
  <c r="Q238" i="1"/>
  <c r="J238" i="1"/>
  <c r="X233" i="1"/>
  <c r="CJ228" i="1"/>
  <c r="CJ227" i="1" s="1"/>
  <c r="CJ226" i="1" s="1"/>
  <c r="CX228" i="1"/>
  <c r="CW228" i="1" s="1"/>
  <c r="CW227" i="1" s="1"/>
  <c r="CW226" i="1" s="1"/>
  <c r="CT228" i="1"/>
  <c r="CT227" i="1" s="1"/>
  <c r="CT226" i="1" s="1"/>
  <c r="CN228" i="1"/>
  <c r="CN227" i="1" s="1"/>
  <c r="CN226" i="1" s="1"/>
  <c r="CI228" i="1"/>
  <c r="CI227" i="1" s="1"/>
  <c r="CI226" i="1" s="1"/>
  <c r="CF228" i="1"/>
  <c r="BR228" i="1"/>
  <c r="BR227" i="1" s="1"/>
  <c r="BR226" i="1" s="1"/>
  <c r="BO228" i="1"/>
  <c r="BI228" i="1"/>
  <c r="BE228" i="1"/>
  <c r="AF228" i="1"/>
  <c r="AF227" i="1" s="1"/>
  <c r="AF226" i="1" s="1"/>
  <c r="V228" i="1"/>
  <c r="V227" i="1" s="1"/>
  <c r="V226" i="1" s="1"/>
  <c r="Q228" i="1"/>
  <c r="Q227" i="1" s="1"/>
  <c r="Q226" i="1" s="1"/>
  <c r="J228" i="1"/>
  <c r="CZ227" i="1"/>
  <c r="CY227" i="1"/>
  <c r="CY226" i="1" s="1"/>
  <c r="CX227" i="1"/>
  <c r="CX226" i="1" s="1"/>
  <c r="CV227" i="1"/>
  <c r="CU227" i="1"/>
  <c r="CQ227" i="1"/>
  <c r="CQ226" i="1" s="1"/>
  <c r="CP227" i="1"/>
  <c r="CP226" i="1" s="1"/>
  <c r="CO227" i="1"/>
  <c r="CM227" i="1"/>
  <c r="CM226" i="1" s="1"/>
  <c r="CL227" i="1"/>
  <c r="CL226" i="1" s="1"/>
  <c r="CK227" i="1"/>
  <c r="CH227" i="1"/>
  <c r="CH226" i="1" s="1"/>
  <c r="CG227" i="1"/>
  <c r="CG226" i="1" s="1"/>
  <c r="CC227" i="1"/>
  <c r="CB227" i="1"/>
  <c r="CA227" i="1"/>
  <c r="CA226" i="1" s="1"/>
  <c r="BZ227" i="1"/>
  <c r="BZ226" i="1" s="1"/>
  <c r="BY227" i="1"/>
  <c r="BX227" i="1"/>
  <c r="BW227" i="1"/>
  <c r="BW226" i="1" s="1"/>
  <c r="BV227" i="1"/>
  <c r="BV226" i="1" s="1"/>
  <c r="BU227" i="1"/>
  <c r="BT227" i="1"/>
  <c r="BS227" i="1"/>
  <c r="BS226" i="1" s="1"/>
  <c r="BQ227" i="1"/>
  <c r="BQ226" i="1" s="1"/>
  <c r="BP227" i="1"/>
  <c r="BO227" i="1"/>
  <c r="BN227" i="1"/>
  <c r="BN226" i="1" s="1"/>
  <c r="BM227" i="1"/>
  <c r="BM226" i="1" s="1"/>
  <c r="BL227" i="1"/>
  <c r="BK227" i="1"/>
  <c r="BJ227" i="1"/>
  <c r="BJ226" i="1" s="1"/>
  <c r="BI227" i="1"/>
  <c r="BI226" i="1" s="1"/>
  <c r="BH227" i="1"/>
  <c r="BG227" i="1"/>
  <c r="BF227" i="1"/>
  <c r="BF226" i="1" s="1"/>
  <c r="BE227" i="1"/>
  <c r="BE226" i="1" s="1"/>
  <c r="BC227" i="1"/>
  <c r="BA227" i="1"/>
  <c r="AZ227" i="1"/>
  <c r="AZ226" i="1" s="1"/>
  <c r="AY227" i="1"/>
  <c r="AY226" i="1" s="1"/>
  <c r="AX227" i="1"/>
  <c r="AU227" i="1"/>
  <c r="AT227" i="1"/>
  <c r="AT226" i="1" s="1"/>
  <c r="AS227" i="1"/>
  <c r="AS226" i="1" s="1"/>
  <c r="AQ227" i="1"/>
  <c r="AP227" i="1"/>
  <c r="AO227" i="1"/>
  <c r="AO226" i="1" s="1"/>
  <c r="AN227" i="1"/>
  <c r="AN226" i="1" s="1"/>
  <c r="AM227" i="1"/>
  <c r="AL227" i="1"/>
  <c r="AK227" i="1"/>
  <c r="AK226" i="1" s="1"/>
  <c r="AJ227" i="1"/>
  <c r="AJ226" i="1" s="1"/>
  <c r="AI227" i="1"/>
  <c r="AH227" i="1"/>
  <c r="AG227" i="1"/>
  <c r="AG226" i="1" s="1"/>
  <c r="AE227" i="1"/>
  <c r="AE226" i="1" s="1"/>
  <c r="AD227" i="1"/>
  <c r="AC227" i="1"/>
  <c r="AB227" i="1"/>
  <c r="AB226" i="1" s="1"/>
  <c r="AA227" i="1"/>
  <c r="AA226" i="1" s="1"/>
  <c r="Z227" i="1"/>
  <c r="Y227" i="1"/>
  <c r="X227" i="1"/>
  <c r="X226" i="1" s="1"/>
  <c r="W227" i="1"/>
  <c r="W226" i="1" s="1"/>
  <c r="U227" i="1"/>
  <c r="T227" i="1"/>
  <c r="T226" i="1" s="1"/>
  <c r="S227" i="1"/>
  <c r="S226" i="1" s="1"/>
  <c r="R227" i="1"/>
  <c r="P227" i="1"/>
  <c r="P226" i="1" s="1"/>
  <c r="O227" i="1"/>
  <c r="O226" i="1" s="1"/>
  <c r="N227" i="1"/>
  <c r="M227" i="1"/>
  <c r="L227" i="1"/>
  <c r="L226" i="1" s="1"/>
  <c r="K227" i="1"/>
  <c r="K226" i="1" s="1"/>
  <c r="J227" i="1"/>
  <c r="I227" i="1"/>
  <c r="H227" i="1"/>
  <c r="H226" i="1" s="1"/>
  <c r="CZ226" i="1"/>
  <c r="CV226" i="1"/>
  <c r="CU226" i="1"/>
  <c r="CO226" i="1"/>
  <c r="CK226" i="1"/>
  <c r="CC226" i="1"/>
  <c r="CB226" i="1"/>
  <c r="BY226" i="1"/>
  <c r="BX226" i="1"/>
  <c r="BU226" i="1"/>
  <c r="BT226" i="1"/>
  <c r="BP226" i="1"/>
  <c r="BO226" i="1"/>
  <c r="BL226" i="1"/>
  <c r="BK226" i="1"/>
  <c r="BH226" i="1"/>
  <c r="BG226" i="1"/>
  <c r="BC226" i="1"/>
  <c r="BA226" i="1"/>
  <c r="AX226" i="1"/>
  <c r="AU226" i="1"/>
  <c r="AQ226" i="1"/>
  <c r="AP226" i="1"/>
  <c r="AM226" i="1"/>
  <c r="AL226" i="1"/>
  <c r="AI226" i="1"/>
  <c r="AH226" i="1"/>
  <c r="AD226" i="1"/>
  <c r="AC226" i="1"/>
  <c r="Z226" i="1"/>
  <c r="Y226" i="1"/>
  <c r="U226" i="1"/>
  <c r="R226" i="1"/>
  <c r="N226" i="1"/>
  <c r="M226" i="1"/>
  <c r="J226" i="1"/>
  <c r="I226" i="1"/>
  <c r="AC209" i="1"/>
  <c r="AC213" i="1"/>
  <c r="AC215" i="1"/>
  <c r="CC203" i="1"/>
  <c r="CB202" i="1"/>
  <c r="CB201" i="1"/>
  <c r="CB200" i="1"/>
  <c r="BC200" i="1"/>
  <c r="AY204" i="1"/>
  <c r="L204" i="1"/>
  <c r="H204" i="1"/>
  <c r="CB190" i="1"/>
  <c r="BY190" i="1"/>
  <c r="X188" i="1"/>
  <c r="CH187" i="1"/>
  <c r="AT187" i="1"/>
  <c r="AN187" i="1"/>
  <c r="AJ187" i="1"/>
  <c r="M187" i="1"/>
  <c r="L187" i="1"/>
  <c r="AN186" i="1"/>
  <c r="X186" i="1"/>
  <c r="M186" i="1"/>
  <c r="L186" i="1"/>
  <c r="BS184" i="1"/>
  <c r="CB183" i="1"/>
  <c r="BS183" i="1"/>
  <c r="X177" i="1"/>
  <c r="U177" i="1"/>
  <c r="BC176" i="1"/>
  <c r="AN176" i="1"/>
  <c r="M176" i="1"/>
  <c r="L176" i="1"/>
  <c r="X174" i="1"/>
  <c r="CH173" i="1"/>
  <c r="Y173" i="1"/>
  <c r="U173" i="1"/>
  <c r="CP171" i="1"/>
  <c r="CK171" i="1"/>
  <c r="CC171" i="1"/>
  <c r="BC171" i="1"/>
  <c r="AN171" i="1"/>
  <c r="Z171" i="1"/>
  <c r="X171" i="1"/>
  <c r="U171" i="1"/>
  <c r="P171" i="1"/>
  <c r="K171" i="1"/>
  <c r="I171" i="1"/>
  <c r="H171" i="1"/>
  <c r="CH168" i="1"/>
  <c r="AO168" i="1"/>
  <c r="AN168" i="1"/>
  <c r="AJ168" i="1"/>
  <c r="AI168" i="1"/>
  <c r="W168" i="1"/>
  <c r="U168" i="1"/>
  <c r="P168" i="1"/>
  <c r="I168" i="1"/>
  <c r="H168" i="1"/>
  <c r="CH164" i="1"/>
  <c r="BC164" i="1"/>
  <c r="AN164" i="1"/>
  <c r="P164" i="1"/>
  <c r="O164" i="1"/>
  <c r="I164" i="1"/>
  <c r="H164" i="1"/>
  <c r="BC165" i="1"/>
  <c r="CH157" i="1"/>
  <c r="AT157" i="1"/>
  <c r="AD157" i="1"/>
  <c r="R157" i="1"/>
  <c r="BC153" i="1"/>
  <c r="BC161" i="1"/>
  <c r="AT150" i="1"/>
  <c r="AD150" i="1"/>
  <c r="Y150" i="1"/>
  <c r="W150" i="1"/>
  <c r="U150" i="1"/>
  <c r="CH149" i="1"/>
  <c r="BC149" i="1"/>
  <c r="AT149" i="1"/>
  <c r="X149" i="1"/>
  <c r="U149" i="1"/>
  <c r="L149" i="1"/>
  <c r="BD238" i="1" l="1"/>
  <c r="CE228" i="1"/>
  <c r="CD228" i="1" s="1"/>
  <c r="CD227" i="1" s="1"/>
  <c r="CD226" i="1" s="1"/>
  <c r="CF227" i="1"/>
  <c r="CF226" i="1" s="1"/>
  <c r="BD228" i="1"/>
  <c r="BD227" i="1" s="1"/>
  <c r="BD226" i="1" s="1"/>
  <c r="G228" i="1"/>
  <c r="F228" i="1" s="1"/>
  <c r="G238" i="1"/>
  <c r="F238" i="1" s="1"/>
  <c r="E238" i="1" s="1"/>
  <c r="BC146" i="1"/>
  <c r="AO146" i="1"/>
  <c r="P145" i="1"/>
  <c r="AN142" i="1"/>
  <c r="X142" i="1"/>
  <c r="L142" i="1"/>
  <c r="X140" i="1"/>
  <c r="W140" i="1"/>
  <c r="U140" i="1"/>
  <c r="R140" i="1"/>
  <c r="BC138" i="1"/>
  <c r="AA138" i="1"/>
  <c r="X138" i="1"/>
  <c r="U138" i="1"/>
  <c r="CH137" i="1"/>
  <c r="CC137" i="1"/>
  <c r="CB137" i="1"/>
  <c r="BU137" i="1"/>
  <c r="BC137" i="1"/>
  <c r="X137" i="1"/>
  <c r="U137" i="1"/>
  <c r="O137" i="1"/>
  <c r="M137" i="1"/>
  <c r="AT134" i="1"/>
  <c r="Z134" i="1"/>
  <c r="Y134" i="1"/>
  <c r="X134" i="1"/>
  <c r="K134" i="1"/>
  <c r="CH133" i="1"/>
  <c r="BU133" i="1"/>
  <c r="BC133" i="1"/>
  <c r="AO133" i="1"/>
  <c r="AN133" i="1"/>
  <c r="AK133" i="1"/>
  <c r="AJ133" i="1"/>
  <c r="AI133" i="1"/>
  <c r="X133" i="1"/>
  <c r="U133" i="1"/>
  <c r="R133" i="1"/>
  <c r="X132" i="1"/>
  <c r="W132" i="1"/>
  <c r="U132" i="1"/>
  <c r="P132" i="1"/>
  <c r="M132" i="1"/>
  <c r="CC130" i="1"/>
  <c r="AT130" i="1"/>
  <c r="AN130" i="1"/>
  <c r="X130" i="1"/>
  <c r="U130" i="1"/>
  <c r="L130" i="1"/>
  <c r="CP129" i="1"/>
  <c r="CC129" i="1"/>
  <c r="AT129" i="1"/>
  <c r="AN129" i="1"/>
  <c r="L129" i="1"/>
  <c r="CC128" i="1"/>
  <c r="AN128" i="1"/>
  <c r="M128" i="1"/>
  <c r="L128" i="1"/>
  <c r="BC125" i="1"/>
  <c r="BC123" i="1"/>
  <c r="CH113" i="1"/>
  <c r="X113" i="1"/>
  <c r="O113" i="1"/>
  <c r="AH98" i="1"/>
  <c r="AH93" i="1"/>
  <c r="AL91" i="1"/>
  <c r="AG91" i="1"/>
  <c r="P91" i="1"/>
  <c r="O91" i="1"/>
  <c r="L91" i="1"/>
  <c r="BU90" i="1"/>
  <c r="X90" i="1"/>
  <c r="AY87" i="1"/>
  <c r="AP87" i="1"/>
  <c r="AD87" i="1"/>
  <c r="Y87" i="1"/>
  <c r="U87" i="1"/>
  <c r="S87" i="1"/>
  <c r="O87" i="1"/>
  <c r="I87" i="1"/>
  <c r="H87" i="1"/>
  <c r="CQ85" i="1"/>
  <c r="CL85" i="1"/>
  <c r="CH85" i="1"/>
  <c r="CB85" i="1"/>
  <c r="BP85" i="1"/>
  <c r="BA85" i="1"/>
  <c r="AY85" i="1"/>
  <c r="AP85" i="1"/>
  <c r="AD85" i="1"/>
  <c r="X85" i="1"/>
  <c r="U85" i="1"/>
  <c r="S85" i="1"/>
  <c r="R85" i="1"/>
  <c r="O85" i="1"/>
  <c r="L85" i="1"/>
  <c r="I85" i="1"/>
  <c r="H85" i="1"/>
  <c r="CB83" i="1"/>
  <c r="AP83" i="1"/>
  <c r="AO83" i="1"/>
  <c r="Z83" i="1"/>
  <c r="X83" i="1"/>
  <c r="W83" i="1"/>
  <c r="U83" i="1"/>
  <c r="O83" i="1"/>
  <c r="H83" i="1"/>
  <c r="CH81" i="1"/>
  <c r="CB81" i="1"/>
  <c r="BC81" i="1"/>
  <c r="AJ81" i="1"/>
  <c r="AD81" i="1"/>
  <c r="AB81" i="1"/>
  <c r="X81" i="1"/>
  <c r="U81" i="1"/>
  <c r="O81" i="1"/>
  <c r="L81" i="1"/>
  <c r="H81" i="1"/>
  <c r="BC79" i="1"/>
  <c r="AY79" i="1"/>
  <c r="AU79" i="1"/>
  <c r="AT79" i="1"/>
  <c r="AP79" i="1"/>
  <c r="Z79" i="1"/>
  <c r="X79" i="1"/>
  <c r="W79" i="1"/>
  <c r="U79" i="1"/>
  <c r="P79" i="1"/>
  <c r="L79" i="1"/>
  <c r="K79" i="1"/>
  <c r="CQ77" i="1"/>
  <c r="AY77" i="1"/>
  <c r="Z77" i="1"/>
  <c r="Y77" i="1"/>
  <c r="X77" i="1"/>
  <c r="U77" i="1"/>
  <c r="P77" i="1"/>
  <c r="H77" i="1"/>
  <c r="CH75" i="1"/>
  <c r="BP75" i="1"/>
  <c r="AD75" i="1"/>
  <c r="X75" i="1"/>
  <c r="U75" i="1"/>
  <c r="P75" i="1"/>
  <c r="H75" i="1"/>
  <c r="X74" i="1"/>
  <c r="CH74" i="1"/>
  <c r="AA74" i="1"/>
  <c r="Z74" i="1"/>
  <c r="U74" i="1"/>
  <c r="L74" i="1"/>
  <c r="CH72" i="1"/>
  <c r="BU72" i="1"/>
  <c r="BC72" i="1"/>
  <c r="BB72" i="1"/>
  <c r="BB71" i="1" s="1"/>
  <c r="BA72" i="1"/>
  <c r="AN72" i="1"/>
  <c r="AD72" i="1"/>
  <c r="Z72" i="1"/>
  <c r="Y72" i="1"/>
  <c r="X72" i="1"/>
  <c r="U72" i="1"/>
  <c r="O72" i="1"/>
  <c r="H72" i="1"/>
  <c r="CC69" i="1"/>
  <c r="CB69" i="1"/>
  <c r="AY69" i="1"/>
  <c r="H69" i="1"/>
  <c r="CC67" i="1"/>
  <c r="CB67" i="1"/>
  <c r="BA67" i="1"/>
  <c r="AY67" i="1"/>
  <c r="AT67" i="1"/>
  <c r="AD67" i="1"/>
  <c r="AB67" i="1"/>
  <c r="X67" i="1"/>
  <c r="W67" i="1"/>
  <c r="U67" i="1"/>
  <c r="R67" i="1"/>
  <c r="I67" i="1"/>
  <c r="H67" i="1"/>
  <c r="BC62" i="1"/>
  <c r="AP62" i="1"/>
  <c r="AL62" i="1"/>
  <c r="AB62" i="1"/>
  <c r="W62" i="1"/>
  <c r="U62" i="1"/>
  <c r="O62" i="1"/>
  <c r="H62" i="1"/>
  <c r="AV59" i="1"/>
  <c r="CH57" i="1"/>
  <c r="CB57" i="1"/>
  <c r="AT57" i="1"/>
  <c r="AP57" i="1"/>
  <c r="AN57" i="1"/>
  <c r="U57" i="1"/>
  <c r="H57" i="1"/>
  <c r="CQ55" i="1"/>
  <c r="AT55" i="1"/>
  <c r="AQ55" i="1"/>
  <c r="AL55" i="1"/>
  <c r="AD55" i="1"/>
  <c r="X55" i="1"/>
  <c r="U55" i="1"/>
  <c r="L55" i="1"/>
  <c r="H55" i="1"/>
  <c r="AT53" i="1"/>
  <c r="AP53" i="1"/>
  <c r="AM53" i="1"/>
  <c r="X53" i="1"/>
  <c r="U53" i="1"/>
  <c r="R53" i="1"/>
  <c r="G227" i="1" l="1"/>
  <c r="G226" i="1" s="1"/>
  <c r="CE227" i="1"/>
  <c r="CE226" i="1" s="1"/>
  <c r="E228" i="1"/>
  <c r="E227" i="1" s="1"/>
  <c r="E226" i="1" s="1"/>
  <c r="F227" i="1"/>
  <c r="F226" i="1" s="1"/>
  <c r="L53" i="1"/>
  <c r="I53" i="1"/>
  <c r="H53" i="1"/>
  <c r="CB51" i="1"/>
  <c r="AP51" i="1"/>
  <c r="AJ51" i="1"/>
  <c r="AD51" i="1"/>
  <c r="U51" i="1"/>
  <c r="L51" i="1"/>
  <c r="H51" i="1"/>
  <c r="Z48" i="1"/>
  <c r="X48" i="1"/>
  <c r="U48" i="1"/>
  <c r="CH46" i="1"/>
  <c r="AO46" i="1"/>
  <c r="AN46" i="1"/>
  <c r="AB46" i="1"/>
  <c r="AA46" i="1"/>
  <c r="X46" i="1"/>
  <c r="W46" i="1"/>
  <c r="U46" i="1"/>
  <c r="CH44" i="1"/>
  <c r="AL44" i="1"/>
  <c r="X44" i="1"/>
  <c r="H44" i="1"/>
  <c r="I44" i="1"/>
  <c r="CH43" i="1"/>
  <c r="CB43" i="1"/>
  <c r="AT43" i="1"/>
  <c r="AM43" i="1"/>
  <c r="AJ43" i="1"/>
  <c r="AD43" i="1"/>
  <c r="AB43" i="1"/>
  <c r="Z43" i="1"/>
  <c r="X43" i="1"/>
  <c r="W43" i="1"/>
  <c r="U43" i="1"/>
  <c r="H43" i="1"/>
  <c r="CH42" i="1"/>
  <c r="BA42" i="1"/>
  <c r="AI42" i="1"/>
  <c r="Z42" i="1"/>
  <c r="Y42" i="1"/>
  <c r="X42" i="1"/>
  <c r="U42" i="1"/>
  <c r="S42" i="1"/>
  <c r="CH41" i="1"/>
  <c r="AU41" i="1"/>
  <c r="AI41" i="1"/>
  <c r="U41" i="1"/>
  <c r="S41" i="1"/>
  <c r="P41" i="1"/>
  <c r="O41" i="1"/>
  <c r="I41" i="1"/>
  <c r="H41" i="1"/>
  <c r="CH40" i="1"/>
  <c r="BC40" i="1"/>
  <c r="AB40" i="1"/>
  <c r="Y40" i="1"/>
  <c r="X40" i="1"/>
  <c r="U40" i="1"/>
  <c r="S40" i="1"/>
  <c r="R40" i="1"/>
  <c r="P40" i="1"/>
  <c r="O40" i="1"/>
  <c r="CQ38" i="1"/>
  <c r="AY38" i="1"/>
  <c r="AT38" i="1"/>
  <c r="AP38" i="1"/>
  <c r="AO38" i="1"/>
  <c r="AN38" i="1"/>
  <c r="AJ38" i="1"/>
  <c r="AD38" i="1"/>
  <c r="Y38" i="1"/>
  <c r="U38" i="1"/>
  <c r="O38" i="1"/>
  <c r="CH36" i="1"/>
  <c r="AT36" i="1"/>
  <c r="AP36" i="1"/>
  <c r="AN36" i="1"/>
  <c r="X36" i="1"/>
  <c r="U36" i="1"/>
  <c r="P36" i="1"/>
  <c r="I36" i="1"/>
  <c r="H36" i="1"/>
  <c r="CH35" i="1"/>
  <c r="X35" i="1"/>
  <c r="U35" i="1"/>
  <c r="I35" i="1"/>
  <c r="H35" i="1"/>
  <c r="CH34" i="1"/>
  <c r="BC34" i="1"/>
  <c r="AJ34" i="1"/>
  <c r="Y34" i="1"/>
  <c r="X34" i="1"/>
  <c r="P34" i="1"/>
  <c r="O34" i="1"/>
  <c r="L34" i="1"/>
  <c r="CB33" i="1" l="1"/>
  <c r="AT33" i="1"/>
  <c r="X33" i="1"/>
  <c r="W33" i="1"/>
  <c r="U33" i="1"/>
  <c r="X31" i="1"/>
  <c r="BC30" i="1"/>
  <c r="BA30" i="1"/>
  <c r="AN30" i="1"/>
  <c r="X30" i="1"/>
  <c r="S30" i="1"/>
  <c r="P30" i="1"/>
  <c r="O30" i="1"/>
  <c r="H30" i="1" l="1"/>
  <c r="I30" i="1"/>
  <c r="BC29" i="1"/>
  <c r="AT29" i="1"/>
  <c r="AL29" i="1"/>
  <c r="AJ29" i="1"/>
  <c r="AD29" i="1"/>
  <c r="Z29" i="1"/>
  <c r="W29" i="1"/>
  <c r="U29" i="1"/>
  <c r="P29" i="1"/>
  <c r="O29" i="1"/>
  <c r="L29" i="1"/>
  <c r="I29" i="1"/>
  <c r="H29" i="1"/>
  <c r="CB28" i="1"/>
  <c r="BA28" i="1"/>
  <c r="AP28" i="1"/>
  <c r="AD28" i="1"/>
  <c r="Z28" i="1"/>
  <c r="X28" i="1"/>
  <c r="U28" i="1"/>
  <c r="O28" i="1"/>
  <c r="L28" i="1"/>
  <c r="X27" i="1"/>
  <c r="U27" i="1"/>
  <c r="S27" i="1"/>
  <c r="BC25" i="1"/>
  <c r="AJ25" i="1"/>
  <c r="AD25" i="1"/>
  <c r="AA25" i="1"/>
  <c r="S25" i="1"/>
  <c r="K25" i="1"/>
  <c r="I25" i="1"/>
  <c r="CH24" i="1"/>
  <c r="BA24" i="1"/>
  <c r="AP24" i="1"/>
  <c r="AN24" i="1"/>
  <c r="AL24" i="1"/>
  <c r="AJ24" i="1"/>
  <c r="AI24" i="1"/>
  <c r="AD24" i="1"/>
  <c r="AB24" i="1"/>
  <c r="X24" i="1"/>
  <c r="W24" i="1"/>
  <c r="U24" i="1"/>
  <c r="CH22" i="1"/>
  <c r="AT22" i="1"/>
  <c r="X22" i="1"/>
  <c r="AD21" i="1"/>
  <c r="Y21" i="1"/>
  <c r="X21" i="1"/>
  <c r="O21" i="1"/>
  <c r="CB20" i="1"/>
  <c r="AD20" i="1"/>
  <c r="AA20" i="1"/>
  <c r="Y20" i="1"/>
  <c r="X20" i="1"/>
  <c r="W20" i="1"/>
  <c r="AD18" i="1"/>
  <c r="X18" i="1"/>
  <c r="U18" i="1"/>
  <c r="O18" i="1"/>
  <c r="CX249" i="1" l="1"/>
  <c r="CN249" i="1"/>
  <c r="CI249" i="1"/>
  <c r="CF249" i="1"/>
  <c r="BR249" i="1"/>
  <c r="BO249" i="1"/>
  <c r="BI249" i="1"/>
  <c r="BE249" i="1"/>
  <c r="AF249" i="1"/>
  <c r="V249" i="1"/>
  <c r="Q249" i="1"/>
  <c r="J249" i="1"/>
  <c r="BD249" i="1" l="1"/>
  <c r="CW249" i="1"/>
  <c r="CE249" i="1"/>
  <c r="G249" i="1"/>
  <c r="BC333" i="1"/>
  <c r="CU221" i="1"/>
  <c r="CD249" i="1" l="1"/>
  <c r="F249" i="1"/>
  <c r="BM321" i="1"/>
  <c r="CX324" i="1"/>
  <c r="CN324" i="1"/>
  <c r="CI324" i="1"/>
  <c r="CF324" i="1"/>
  <c r="BR324" i="1"/>
  <c r="BO324" i="1"/>
  <c r="BI324" i="1"/>
  <c r="BE324" i="1"/>
  <c r="AF324" i="1"/>
  <c r="V324" i="1"/>
  <c r="Q324" i="1"/>
  <c r="J324" i="1"/>
  <c r="CX321" i="1"/>
  <c r="CN321" i="1"/>
  <c r="CI321" i="1"/>
  <c r="CF321" i="1"/>
  <c r="BR321" i="1"/>
  <c r="BO321" i="1"/>
  <c r="BI321" i="1"/>
  <c r="BE321" i="1"/>
  <c r="AF321" i="1"/>
  <c r="V321" i="1"/>
  <c r="Q321" i="1"/>
  <c r="J321" i="1"/>
  <c r="BC316" i="1"/>
  <c r="E249" i="1" l="1"/>
  <c r="CW321" i="1"/>
  <c r="CW324" i="1"/>
  <c r="CE321" i="1"/>
  <c r="G321" i="1"/>
  <c r="CE324" i="1"/>
  <c r="BD324" i="1"/>
  <c r="G324" i="1"/>
  <c r="BD321" i="1"/>
  <c r="CD324" i="1" l="1"/>
  <c r="E324" i="1" s="1"/>
  <c r="CD321" i="1"/>
  <c r="F324" i="1"/>
  <c r="F321" i="1"/>
  <c r="E321" i="1" l="1"/>
  <c r="CM331" i="1" l="1"/>
  <c r="CZ313" i="1" l="1"/>
  <c r="CH274" i="1"/>
  <c r="BC274" i="1"/>
  <c r="AN274" i="1"/>
  <c r="AL274" i="1"/>
  <c r="AJ274" i="1"/>
  <c r="AI274" i="1"/>
  <c r="AA274" i="1"/>
  <c r="Z274" i="1"/>
  <c r="Y274" i="1"/>
  <c r="X274" i="1"/>
  <c r="W274" i="1"/>
  <c r="U274" i="1"/>
  <c r="P274" i="1"/>
  <c r="K274" i="1"/>
  <c r="I274" i="1"/>
  <c r="H274" i="1"/>
  <c r="BN252" i="1"/>
  <c r="U159" i="1"/>
  <c r="I159" i="1"/>
  <c r="H159" i="1"/>
  <c r="CH79" i="1"/>
  <c r="O79" i="1"/>
  <c r="Z20" i="1"/>
  <c r="BF339" i="1"/>
  <c r="BC339" i="1"/>
  <c r="CQ233" i="1" l="1"/>
  <c r="CH233" i="1"/>
  <c r="BC331" i="1" l="1"/>
  <c r="P331" i="1"/>
  <c r="BC329" i="1" l="1"/>
  <c r="CC329" i="1"/>
  <c r="CP271" i="1" l="1"/>
  <c r="X271" i="1"/>
  <c r="M271" i="1"/>
  <c r="CL265" i="1"/>
  <c r="AR265" i="1"/>
  <c r="AJ265" i="1"/>
  <c r="P265" i="1"/>
  <c r="O265" i="1"/>
  <c r="I265" i="1"/>
  <c r="H265" i="1"/>
  <c r="I204" i="1"/>
  <c r="BC134" i="1" l="1"/>
  <c r="CH134" i="1"/>
  <c r="AR338" i="1" l="1"/>
  <c r="AR336" i="1"/>
  <c r="AR334" i="1"/>
  <c r="AR332" i="1"/>
  <c r="AR330" i="1"/>
  <c r="AR328" i="1"/>
  <c r="AR326" i="1"/>
  <c r="AR315" i="1"/>
  <c r="AR312" i="1"/>
  <c r="AR309" i="1"/>
  <c r="AR307" i="1"/>
  <c r="AR283" i="1"/>
  <c r="AR256" i="1"/>
  <c r="AR175" i="1"/>
  <c r="AR172" i="1"/>
  <c r="AR170" i="1"/>
  <c r="AR124" i="1"/>
  <c r="AR120" i="1"/>
  <c r="AR118" i="1"/>
  <c r="AR115" i="1"/>
  <c r="AR109" i="1"/>
  <c r="AR58" i="1"/>
  <c r="AR45" i="1"/>
  <c r="AR16" i="1" l="1"/>
  <c r="AR234" i="1"/>
  <c r="AR311" i="1"/>
  <c r="AR169" i="1"/>
  <c r="AR314" i="1"/>
  <c r="AR229" i="1"/>
  <c r="CX322" i="1"/>
  <c r="CN322" i="1"/>
  <c r="CI322" i="1"/>
  <c r="CF322" i="1"/>
  <c r="BR322" i="1"/>
  <c r="BO322" i="1"/>
  <c r="BI322" i="1"/>
  <c r="BE322" i="1"/>
  <c r="AF322" i="1"/>
  <c r="V322" i="1"/>
  <c r="Q322" i="1"/>
  <c r="J322" i="1"/>
  <c r="BM320" i="1"/>
  <c r="CX318" i="1"/>
  <c r="CN318" i="1"/>
  <c r="CI318" i="1"/>
  <c r="CF318" i="1"/>
  <c r="BR318" i="1"/>
  <c r="BO318" i="1"/>
  <c r="BI318" i="1"/>
  <c r="BE318" i="1"/>
  <c r="AF318" i="1"/>
  <c r="V318" i="1"/>
  <c r="Q318" i="1"/>
  <c r="J318" i="1"/>
  <c r="CX320" i="1"/>
  <c r="CN320" i="1"/>
  <c r="CI320" i="1"/>
  <c r="CF320" i="1"/>
  <c r="BR320" i="1"/>
  <c r="BO320" i="1"/>
  <c r="BI320" i="1"/>
  <c r="BE320" i="1"/>
  <c r="AF320" i="1"/>
  <c r="V320" i="1"/>
  <c r="Q320" i="1"/>
  <c r="J320" i="1"/>
  <c r="BM310" i="1"/>
  <c r="CV305" i="1"/>
  <c r="CH298" i="1"/>
  <c r="BC285" i="1"/>
  <c r="BC255" i="1"/>
  <c r="BC251" i="1"/>
  <c r="BC237" i="1"/>
  <c r="AK246" i="1"/>
  <c r="P246" i="1"/>
  <c r="L244" i="1"/>
  <c r="P241" i="1"/>
  <c r="AK241" i="1"/>
  <c r="H233" i="1"/>
  <c r="CA200" i="1"/>
  <c r="I177" i="1"/>
  <c r="H177" i="1"/>
  <c r="AJ176" i="1"/>
  <c r="H176" i="1"/>
  <c r="BC150" i="1"/>
  <c r="AJ150" i="1"/>
  <c r="P138" i="1"/>
  <c r="I138" i="1"/>
  <c r="H138" i="1"/>
  <c r="I137" i="1"/>
  <c r="H137" i="1"/>
  <c r="BC122" i="1"/>
  <c r="CZ120" i="1"/>
  <c r="CY120" i="1"/>
  <c r="CV120" i="1"/>
  <c r="CU120" i="1"/>
  <c r="CT120" i="1"/>
  <c r="CS120" i="1"/>
  <c r="CR120" i="1"/>
  <c r="CQ120" i="1"/>
  <c r="CP120" i="1"/>
  <c r="CO120" i="1"/>
  <c r="CM120" i="1"/>
  <c r="CL120" i="1"/>
  <c r="CK120" i="1"/>
  <c r="CJ120" i="1"/>
  <c r="CH120" i="1"/>
  <c r="CG120" i="1"/>
  <c r="CC120" i="1"/>
  <c r="CB120" i="1"/>
  <c r="CA120" i="1"/>
  <c r="BZ120" i="1"/>
  <c r="BY120" i="1"/>
  <c r="BX120" i="1"/>
  <c r="BW120" i="1"/>
  <c r="BV120" i="1"/>
  <c r="BU120" i="1"/>
  <c r="BT120" i="1"/>
  <c r="BS120" i="1"/>
  <c r="BQ120" i="1"/>
  <c r="BP120" i="1"/>
  <c r="BN120" i="1"/>
  <c r="BM120" i="1"/>
  <c r="BL120" i="1"/>
  <c r="BK120" i="1"/>
  <c r="BJ120" i="1"/>
  <c r="BH120" i="1"/>
  <c r="BG120" i="1"/>
  <c r="BF120" i="1"/>
  <c r="BB120" i="1"/>
  <c r="BA120" i="1"/>
  <c r="AZ120" i="1"/>
  <c r="AY120" i="1"/>
  <c r="AX120" i="1"/>
  <c r="AW120" i="1"/>
  <c r="AV120" i="1"/>
  <c r="AU120" i="1"/>
  <c r="AT120" i="1"/>
  <c r="AS120" i="1"/>
  <c r="AQ120" i="1"/>
  <c r="AP120" i="1"/>
  <c r="AO120" i="1"/>
  <c r="AN120" i="1"/>
  <c r="AM120" i="1"/>
  <c r="AL120" i="1"/>
  <c r="AK120" i="1"/>
  <c r="AJ120" i="1"/>
  <c r="AI120" i="1"/>
  <c r="AH120" i="1"/>
  <c r="AG120" i="1"/>
  <c r="AE120" i="1"/>
  <c r="AD120" i="1"/>
  <c r="AC120" i="1"/>
  <c r="AB120" i="1"/>
  <c r="AA120" i="1"/>
  <c r="Z120" i="1"/>
  <c r="Y120" i="1"/>
  <c r="X120" i="1"/>
  <c r="W120" i="1"/>
  <c r="U120" i="1"/>
  <c r="T120" i="1"/>
  <c r="S120" i="1"/>
  <c r="R120" i="1"/>
  <c r="P120" i="1"/>
  <c r="O120" i="1"/>
  <c r="N120" i="1"/>
  <c r="M120" i="1"/>
  <c r="L120" i="1"/>
  <c r="K120" i="1"/>
  <c r="I120" i="1"/>
  <c r="H120" i="1"/>
  <c r="BC121" i="1"/>
  <c r="AR340" i="1" l="1"/>
  <c r="BD320" i="1"/>
  <c r="BC120" i="1"/>
  <c r="G320" i="1"/>
  <c r="CW320" i="1"/>
  <c r="CW318" i="1"/>
  <c r="CW322" i="1"/>
  <c r="BD322" i="1"/>
  <c r="CE322" i="1"/>
  <c r="CE318" i="1"/>
  <c r="CE320" i="1"/>
  <c r="BD318" i="1"/>
  <c r="G322" i="1"/>
  <c r="G318" i="1"/>
  <c r="F322" i="1" l="1"/>
  <c r="CD320" i="1"/>
  <c r="CD322" i="1"/>
  <c r="CD318" i="1"/>
  <c r="F320" i="1"/>
  <c r="F318" i="1"/>
  <c r="CX123" i="1"/>
  <c r="CN123" i="1"/>
  <c r="CI123" i="1"/>
  <c r="CF123" i="1"/>
  <c r="BR123" i="1"/>
  <c r="BO123" i="1"/>
  <c r="BI123" i="1"/>
  <c r="BE123" i="1"/>
  <c r="AF123" i="1"/>
  <c r="V123" i="1"/>
  <c r="Q123" i="1"/>
  <c r="J123" i="1"/>
  <c r="CX122" i="1"/>
  <c r="CN122" i="1"/>
  <c r="CI122" i="1"/>
  <c r="CF122" i="1"/>
  <c r="BR122" i="1"/>
  <c r="BO122" i="1"/>
  <c r="BI122" i="1"/>
  <c r="BE122" i="1"/>
  <c r="AF122" i="1"/>
  <c r="V122" i="1"/>
  <c r="Q122" i="1"/>
  <c r="J122" i="1"/>
  <c r="BH119" i="1"/>
  <c r="CZ109" i="1"/>
  <c r="CY109" i="1"/>
  <c r="CV109" i="1"/>
  <c r="CU109" i="1"/>
  <c r="CT109" i="1"/>
  <c r="CS109" i="1"/>
  <c r="CR109" i="1"/>
  <c r="CQ109" i="1"/>
  <c r="CP109" i="1"/>
  <c r="CO109" i="1"/>
  <c r="CM109" i="1"/>
  <c r="CL109" i="1"/>
  <c r="CK109" i="1"/>
  <c r="CJ109" i="1"/>
  <c r="CH109" i="1"/>
  <c r="CG109" i="1"/>
  <c r="CC109" i="1"/>
  <c r="CB109" i="1"/>
  <c r="CA109" i="1"/>
  <c r="BZ109" i="1"/>
  <c r="BY109" i="1"/>
  <c r="BX109" i="1"/>
  <c r="BW109" i="1"/>
  <c r="BV109" i="1"/>
  <c r="BU109" i="1"/>
  <c r="BT109" i="1"/>
  <c r="BS109" i="1"/>
  <c r="BQ109" i="1"/>
  <c r="BP109" i="1"/>
  <c r="BN109" i="1"/>
  <c r="BM109" i="1"/>
  <c r="BL109" i="1"/>
  <c r="BK109" i="1"/>
  <c r="BJ109" i="1"/>
  <c r="BH109" i="1"/>
  <c r="BG109" i="1"/>
  <c r="BF109" i="1"/>
  <c r="BB109" i="1"/>
  <c r="BA109" i="1"/>
  <c r="AZ109" i="1"/>
  <c r="AY109" i="1"/>
  <c r="AX109" i="1"/>
  <c r="AW109" i="1"/>
  <c r="AV109" i="1"/>
  <c r="AU109" i="1"/>
  <c r="AT109" i="1"/>
  <c r="AS109" i="1"/>
  <c r="AQ109" i="1"/>
  <c r="AP109" i="1"/>
  <c r="AO109" i="1"/>
  <c r="AN109" i="1"/>
  <c r="AM109" i="1"/>
  <c r="AL109" i="1"/>
  <c r="AK109" i="1"/>
  <c r="AJ109" i="1"/>
  <c r="AI109" i="1"/>
  <c r="AH109" i="1"/>
  <c r="AG109" i="1"/>
  <c r="AE109" i="1"/>
  <c r="AD109" i="1"/>
  <c r="AC109" i="1"/>
  <c r="AB109" i="1"/>
  <c r="AA109" i="1"/>
  <c r="Z109" i="1"/>
  <c r="Y109" i="1"/>
  <c r="X109" i="1"/>
  <c r="W109" i="1"/>
  <c r="U109" i="1"/>
  <c r="T109" i="1"/>
  <c r="S109" i="1"/>
  <c r="R109" i="1"/>
  <c r="P109" i="1"/>
  <c r="O109" i="1"/>
  <c r="N109" i="1"/>
  <c r="M109" i="1"/>
  <c r="L109" i="1"/>
  <c r="K109" i="1"/>
  <c r="I109" i="1"/>
  <c r="H109" i="1"/>
  <c r="CX111" i="1"/>
  <c r="CN111" i="1"/>
  <c r="CI111" i="1"/>
  <c r="CF111" i="1"/>
  <c r="BR111" i="1"/>
  <c r="BO111" i="1"/>
  <c r="BI111" i="1"/>
  <c r="BE111" i="1"/>
  <c r="AF111" i="1"/>
  <c r="V111" i="1"/>
  <c r="Q111" i="1"/>
  <c r="J111" i="1"/>
  <c r="BC110" i="1"/>
  <c r="O77" i="1"/>
  <c r="O67" i="1"/>
  <c r="I57" i="1"/>
  <c r="I55" i="1"/>
  <c r="I51" i="1"/>
  <c r="BA44" i="1"/>
  <c r="U44" i="1"/>
  <c r="I34" i="1"/>
  <c r="H34" i="1"/>
  <c r="BC109" i="1" l="1"/>
  <c r="CW111" i="1"/>
  <c r="CW122" i="1"/>
  <c r="CW123" i="1"/>
  <c r="E318" i="1"/>
  <c r="E320" i="1"/>
  <c r="E322" i="1"/>
  <c r="BD111" i="1"/>
  <c r="CE111" i="1"/>
  <c r="BD122" i="1"/>
  <c r="CE122" i="1"/>
  <c r="BD123" i="1"/>
  <c r="G123" i="1"/>
  <c r="G111" i="1"/>
  <c r="G122" i="1"/>
  <c r="CE123" i="1"/>
  <c r="CD111" i="1" l="1"/>
  <c r="F111" i="1"/>
  <c r="F122" i="1"/>
  <c r="F123" i="1"/>
  <c r="CD122" i="1"/>
  <c r="CD123" i="1"/>
  <c r="E122" i="1" l="1"/>
  <c r="E111" i="1"/>
  <c r="E123" i="1"/>
  <c r="AA24" i="1"/>
  <c r="Z24" i="1"/>
  <c r="Y24" i="1"/>
  <c r="P24" i="1"/>
  <c r="O24" i="1"/>
  <c r="I24" i="1"/>
  <c r="H24" i="1"/>
  <c r="BC20" i="1" l="1"/>
  <c r="M77" i="1" l="1"/>
  <c r="L77" i="1"/>
  <c r="AB41" i="1" l="1"/>
  <c r="CQ79" i="1"/>
  <c r="AO41" i="1"/>
  <c r="AL41" i="1"/>
  <c r="AI331" i="1" l="1"/>
  <c r="P275" i="1" l="1"/>
  <c r="AO257" i="1" l="1"/>
  <c r="CQ67" i="1"/>
  <c r="CH67" i="1"/>
  <c r="M67" i="1"/>
  <c r="CH269" i="1" l="1"/>
  <c r="CQ265" i="1"/>
  <c r="CH275" i="1"/>
  <c r="CH267" i="1"/>
  <c r="CH266" i="1"/>
  <c r="CH265" i="1"/>
  <c r="CH261" i="1"/>
  <c r="CH259" i="1"/>
  <c r="CH258" i="1"/>
  <c r="BC280" i="1"/>
  <c r="BC277" i="1"/>
  <c r="BC269" i="1"/>
  <c r="BC265" i="1"/>
  <c r="BC262" i="1"/>
  <c r="BC261" i="1"/>
  <c r="BC260" i="1"/>
  <c r="BC258" i="1"/>
  <c r="AJ279" i="1"/>
  <c r="AJ273" i="1"/>
  <c r="AJ271" i="1"/>
  <c r="AN269" i="1"/>
  <c r="AJ269" i="1"/>
  <c r="AT267" i="1"/>
  <c r="AJ267" i="1"/>
  <c r="AU266" i="1"/>
  <c r="AY265" i="1"/>
  <c r="AU265" i="1"/>
  <c r="AS265" i="1"/>
  <c r="AO265" i="1"/>
  <c r="AN265" i="1"/>
  <c r="AO264" i="1"/>
  <c r="AJ263" i="1"/>
  <c r="AU261" i="1"/>
  <c r="AJ261" i="1"/>
  <c r="AU260" i="1"/>
  <c r="AJ260" i="1"/>
  <c r="AO259" i="1"/>
  <c r="Z282" i="1"/>
  <c r="Y282" i="1"/>
  <c r="X282" i="1"/>
  <c r="AI275" i="1"/>
  <c r="Z275" i="1"/>
  <c r="W275" i="1"/>
  <c r="AD273" i="1"/>
  <c r="AA273" i="1"/>
  <c r="Z273" i="1"/>
  <c r="Y273" i="1"/>
  <c r="AI269" i="1"/>
  <c r="AD268" i="1"/>
  <c r="AD267" i="1"/>
  <c r="Z267" i="1"/>
  <c r="Y267" i="1"/>
  <c r="X267" i="1"/>
  <c r="AB266" i="1"/>
  <c r="X266" i="1"/>
  <c r="AI265" i="1"/>
  <c r="AD265" i="1"/>
  <c r="AB265" i="1"/>
  <c r="AA265" i="1"/>
  <c r="Z265" i="1"/>
  <c r="Y265" i="1"/>
  <c r="X265" i="1"/>
  <c r="W265" i="1"/>
  <c r="U265" i="1"/>
  <c r="X264" i="1"/>
  <c r="AA263" i="1"/>
  <c r="Z263" i="1"/>
  <c r="Y263" i="1"/>
  <c r="X263" i="1"/>
  <c r="W263" i="1"/>
  <c r="U263" i="1"/>
  <c r="AD262" i="1"/>
  <c r="X262" i="1"/>
  <c r="U262" i="1"/>
  <c r="AD261" i="1"/>
  <c r="Z261" i="1"/>
  <c r="Y261" i="1"/>
  <c r="X261" i="1"/>
  <c r="W261" i="1"/>
  <c r="AI260" i="1"/>
  <c r="AD260" i="1"/>
  <c r="X260" i="1"/>
  <c r="U260" i="1"/>
  <c r="AI259" i="1"/>
  <c r="X259" i="1"/>
  <c r="U259" i="1"/>
  <c r="W258" i="1"/>
  <c r="P282" i="1"/>
  <c r="O282" i="1"/>
  <c r="P276" i="1"/>
  <c r="O275" i="1"/>
  <c r="P273" i="1"/>
  <c r="O273" i="1"/>
  <c r="P269" i="1"/>
  <c r="P267" i="1"/>
  <c r="O267" i="1"/>
  <c r="I267" i="1"/>
  <c r="H267" i="1"/>
  <c r="L265" i="1"/>
  <c r="P263" i="1"/>
  <c r="O263" i="1"/>
  <c r="M263" i="1"/>
  <c r="I263" i="1"/>
  <c r="H263" i="1"/>
  <c r="P262" i="1"/>
  <c r="O262" i="1"/>
  <c r="O261" i="1"/>
  <c r="K261" i="1"/>
  <c r="P260" i="1"/>
  <c r="O260" i="1"/>
  <c r="K260" i="1"/>
  <c r="I260" i="1"/>
  <c r="H260" i="1"/>
  <c r="P259" i="1"/>
  <c r="M259" i="1"/>
  <c r="I259" i="1"/>
  <c r="H259" i="1"/>
  <c r="I26" i="1"/>
  <c r="I32" i="1"/>
  <c r="BC337" i="1" l="1"/>
  <c r="CC335" i="1" l="1"/>
  <c r="BL327" i="1" l="1"/>
  <c r="CX323" i="1"/>
  <c r="CN323" i="1"/>
  <c r="CI323" i="1"/>
  <c r="CF323" i="1"/>
  <c r="BR323" i="1"/>
  <c r="BO323" i="1"/>
  <c r="BI323" i="1"/>
  <c r="BE323" i="1"/>
  <c r="AF323" i="1"/>
  <c r="V323" i="1"/>
  <c r="Q323" i="1"/>
  <c r="J323" i="1"/>
  <c r="CX317" i="1"/>
  <c r="CN317" i="1"/>
  <c r="CI317" i="1"/>
  <c r="CF317" i="1"/>
  <c r="BR317" i="1"/>
  <c r="BO317" i="1"/>
  <c r="BI317" i="1"/>
  <c r="BE317" i="1"/>
  <c r="AF317" i="1"/>
  <c r="V317" i="1"/>
  <c r="Q317" i="1"/>
  <c r="J317" i="1"/>
  <c r="CX319" i="1"/>
  <c r="CN319" i="1"/>
  <c r="CI319" i="1"/>
  <c r="CF319" i="1"/>
  <c r="BR319" i="1"/>
  <c r="BO319" i="1"/>
  <c r="BI319" i="1"/>
  <c r="BE319" i="1"/>
  <c r="AF319" i="1"/>
  <c r="V319" i="1"/>
  <c r="Q319" i="1"/>
  <c r="J319" i="1"/>
  <c r="CV306" i="1"/>
  <c r="CX250" i="1"/>
  <c r="CN250" i="1"/>
  <c r="CI250" i="1"/>
  <c r="CF250" i="1"/>
  <c r="BR250" i="1"/>
  <c r="BO250" i="1"/>
  <c r="BI250" i="1"/>
  <c r="BE250" i="1"/>
  <c r="AF250" i="1"/>
  <c r="V250" i="1"/>
  <c r="Q250" i="1"/>
  <c r="J250" i="1"/>
  <c r="CT221" i="1"/>
  <c r="CX221" i="1"/>
  <c r="CN221" i="1"/>
  <c r="CI221" i="1"/>
  <c r="CF221" i="1"/>
  <c r="BR221" i="1"/>
  <c r="BO221" i="1"/>
  <c r="BI221" i="1"/>
  <c r="BE221" i="1"/>
  <c r="AF221" i="1"/>
  <c r="V221" i="1"/>
  <c r="Q221" i="1"/>
  <c r="J221" i="1"/>
  <c r="CZ220" i="1"/>
  <c r="CZ219" i="1" s="1"/>
  <c r="CY220" i="1"/>
  <c r="CV220" i="1"/>
  <c r="CU220" i="1"/>
  <c r="CQ220" i="1"/>
  <c r="CP220" i="1"/>
  <c r="CO220" i="1"/>
  <c r="CM220" i="1"/>
  <c r="CL220" i="1"/>
  <c r="CK220" i="1"/>
  <c r="CJ220" i="1"/>
  <c r="CH220" i="1"/>
  <c r="CG220" i="1"/>
  <c r="CC220" i="1"/>
  <c r="CB220" i="1"/>
  <c r="CA220" i="1"/>
  <c r="BZ220" i="1"/>
  <c r="BY220" i="1"/>
  <c r="BX220" i="1"/>
  <c r="BW220" i="1"/>
  <c r="BV220" i="1"/>
  <c r="BU220" i="1"/>
  <c r="BT220" i="1"/>
  <c r="BS220" i="1"/>
  <c r="BQ220" i="1"/>
  <c r="BP220" i="1"/>
  <c r="BN220" i="1"/>
  <c r="BM220" i="1"/>
  <c r="BL220" i="1"/>
  <c r="BK220" i="1"/>
  <c r="BJ220" i="1"/>
  <c r="BH220" i="1"/>
  <c r="BG220" i="1"/>
  <c r="BG219" i="1" s="1"/>
  <c r="BF220" i="1"/>
  <c r="BC220" i="1"/>
  <c r="BA220" i="1"/>
  <c r="AZ220" i="1"/>
  <c r="AY220" i="1"/>
  <c r="AX220" i="1"/>
  <c r="AU220" i="1"/>
  <c r="AT220" i="1"/>
  <c r="AS220" i="1"/>
  <c r="AQ220" i="1"/>
  <c r="AP220" i="1"/>
  <c r="AO220" i="1"/>
  <c r="AN220" i="1"/>
  <c r="AM220" i="1"/>
  <c r="AL220" i="1"/>
  <c r="AK220" i="1"/>
  <c r="AJ220" i="1"/>
  <c r="AI220" i="1"/>
  <c r="AH220" i="1"/>
  <c r="AG220" i="1"/>
  <c r="AE220" i="1"/>
  <c r="AD220" i="1"/>
  <c r="AC220" i="1"/>
  <c r="AB220" i="1"/>
  <c r="AA220" i="1"/>
  <c r="Z220" i="1"/>
  <c r="Y220" i="1"/>
  <c r="X220" i="1"/>
  <c r="W220" i="1"/>
  <c r="U220" i="1"/>
  <c r="T220" i="1"/>
  <c r="S220" i="1"/>
  <c r="R220" i="1"/>
  <c r="P220" i="1"/>
  <c r="O220" i="1"/>
  <c r="N220" i="1"/>
  <c r="M220" i="1"/>
  <c r="L220" i="1"/>
  <c r="K220" i="1"/>
  <c r="I220" i="1"/>
  <c r="H220" i="1"/>
  <c r="CP219" i="1"/>
  <c r="CY218" i="1"/>
  <c r="BU219" i="1" l="1"/>
  <c r="BK219" i="1"/>
  <c r="BP219" i="1"/>
  <c r="BY219" i="1"/>
  <c r="CC219" i="1"/>
  <c r="CK219" i="1"/>
  <c r="H219" i="1"/>
  <c r="M219" i="1"/>
  <c r="O219" i="1"/>
  <c r="T219" i="1"/>
  <c r="Y219" i="1"/>
  <c r="I219" i="1"/>
  <c r="L219" i="1"/>
  <c r="N219" i="1"/>
  <c r="P219" i="1"/>
  <c r="S219" i="1"/>
  <c r="U219" i="1"/>
  <c r="X219" i="1"/>
  <c r="Z219" i="1"/>
  <c r="AB219" i="1"/>
  <c r="AD219" i="1"/>
  <c r="AG219" i="1"/>
  <c r="AI219" i="1"/>
  <c r="AK219" i="1"/>
  <c r="AM219" i="1"/>
  <c r="AO219" i="1"/>
  <c r="AQ219" i="1"/>
  <c r="AT219" i="1"/>
  <c r="AX219" i="1"/>
  <c r="AZ219" i="1"/>
  <c r="BC219" i="1"/>
  <c r="BJ219" i="1"/>
  <c r="BL219" i="1"/>
  <c r="BN219" i="1"/>
  <c r="BQ219" i="1"/>
  <c r="BT219" i="1"/>
  <c r="BV219" i="1"/>
  <c r="BX219" i="1"/>
  <c r="BZ219" i="1"/>
  <c r="CB219" i="1"/>
  <c r="CG219" i="1"/>
  <c r="CJ219" i="1"/>
  <c r="CL219" i="1"/>
  <c r="CO219" i="1"/>
  <c r="CQ219" i="1"/>
  <c r="CV219" i="1"/>
  <c r="Q220" i="1"/>
  <c r="AF220" i="1"/>
  <c r="BI220" i="1"/>
  <c r="BR220" i="1"/>
  <c r="CI220" i="1"/>
  <c r="CW221" i="1"/>
  <c r="K219" i="1"/>
  <c r="R219" i="1"/>
  <c r="W219" i="1"/>
  <c r="AA219" i="1"/>
  <c r="AC219" i="1"/>
  <c r="AE219" i="1"/>
  <c r="AH219" i="1"/>
  <c r="AJ219" i="1"/>
  <c r="AL219" i="1"/>
  <c r="AN219" i="1"/>
  <c r="AP219" i="1"/>
  <c r="AS219" i="1"/>
  <c r="AU219" i="1"/>
  <c r="AY219" i="1"/>
  <c r="BA219" i="1"/>
  <c r="BF219" i="1"/>
  <c r="BH219" i="1"/>
  <c r="BM219" i="1"/>
  <c r="BS219" i="1"/>
  <c r="BW219" i="1"/>
  <c r="CA219" i="1"/>
  <c r="CH219" i="1"/>
  <c r="CM219" i="1"/>
  <c r="CU219" i="1"/>
  <c r="CY219" i="1"/>
  <c r="V220" i="1"/>
  <c r="BE220" i="1"/>
  <c r="BO220" i="1"/>
  <c r="CN220" i="1"/>
  <c r="CT220" i="1"/>
  <c r="CW250" i="1"/>
  <c r="CW319" i="1"/>
  <c r="CW317" i="1"/>
  <c r="CW323" i="1"/>
  <c r="G221" i="1"/>
  <c r="BD323" i="1"/>
  <c r="J220" i="1"/>
  <c r="CE250" i="1"/>
  <c r="CE319" i="1"/>
  <c r="CE317" i="1"/>
  <c r="G323" i="1"/>
  <c r="BD250" i="1"/>
  <c r="CE323" i="1"/>
  <c r="BD221" i="1"/>
  <c r="CE221" i="1"/>
  <c r="G319" i="1"/>
  <c r="BD319" i="1"/>
  <c r="G317" i="1"/>
  <c r="BD317" i="1"/>
  <c r="G250" i="1"/>
  <c r="CE220" i="1"/>
  <c r="CF220" i="1"/>
  <c r="CX220" i="1"/>
  <c r="CH186" i="1"/>
  <c r="P186" i="1"/>
  <c r="AX179" i="1"/>
  <c r="CH176" i="1"/>
  <c r="AW176" i="1"/>
  <c r="P176" i="1"/>
  <c r="P173" i="1"/>
  <c r="K173" i="1"/>
  <c r="CH142" i="1"/>
  <c r="P142" i="1"/>
  <c r="BI110" i="1"/>
  <c r="BI327" i="1"/>
  <c r="BK338" i="1"/>
  <c r="BK336" i="1"/>
  <c r="BK334" i="1"/>
  <c r="BK332" i="1"/>
  <c r="BK330" i="1"/>
  <c r="BK328" i="1"/>
  <c r="BK326" i="1"/>
  <c r="BK315" i="1"/>
  <c r="BK312" i="1"/>
  <c r="BK309" i="1"/>
  <c r="BK307" i="1"/>
  <c r="BK283" i="1"/>
  <c r="BK256" i="1"/>
  <c r="BK232" i="1"/>
  <c r="BK230" i="1"/>
  <c r="BK223" i="1"/>
  <c r="BK217" i="1"/>
  <c r="BK205" i="1"/>
  <c r="BK197" i="1"/>
  <c r="BK195" i="1"/>
  <c r="BK193" i="1"/>
  <c r="BK191" i="1"/>
  <c r="BK189" i="1"/>
  <c r="BK185" i="1"/>
  <c r="BK180" i="1"/>
  <c r="BK178" i="1"/>
  <c r="BK175" i="1"/>
  <c r="BK172" i="1"/>
  <c r="BK170" i="1"/>
  <c r="BK166" i="1"/>
  <c r="BK163" i="1"/>
  <c r="BK155" i="1"/>
  <c r="BK152" i="1"/>
  <c r="BK148" i="1"/>
  <c r="BK143" i="1"/>
  <c r="BK141" i="1"/>
  <c r="BK139" i="1"/>
  <c r="BK135" i="1"/>
  <c r="BK131" i="1"/>
  <c r="BK127" i="1"/>
  <c r="BK124" i="1"/>
  <c r="BK118" i="1"/>
  <c r="BK115" i="1"/>
  <c r="BK112" i="1"/>
  <c r="BK106" i="1"/>
  <c r="BK103" i="1"/>
  <c r="BK92" i="1"/>
  <c r="BK89" i="1"/>
  <c r="BK86" i="1"/>
  <c r="BK84" i="1"/>
  <c r="BK82" i="1"/>
  <c r="BK80" i="1"/>
  <c r="BK78" i="1"/>
  <c r="BK76" i="1"/>
  <c r="BK73" i="1"/>
  <c r="BK71" i="1"/>
  <c r="BK68" i="1"/>
  <c r="BK66" i="1"/>
  <c r="BK63" i="1"/>
  <c r="BK61" i="1"/>
  <c r="BK58" i="1"/>
  <c r="BK56" i="1"/>
  <c r="BK54" i="1"/>
  <c r="BK52" i="1"/>
  <c r="BK50" i="1"/>
  <c r="BK47" i="1"/>
  <c r="BK45" i="1"/>
  <c r="BK39" i="1"/>
  <c r="BK37" i="1"/>
  <c r="BK23" i="1"/>
  <c r="BK19" i="1"/>
  <c r="BK17" i="1"/>
  <c r="I83" i="1"/>
  <c r="AY72" i="1"/>
  <c r="I72" i="1"/>
  <c r="I48" i="1"/>
  <c r="H48" i="1"/>
  <c r="H32" i="1"/>
  <c r="BI109" i="1" l="1"/>
  <c r="BK105" i="1"/>
  <c r="BK216" i="1"/>
  <c r="BK234" i="1"/>
  <c r="BK311" i="1"/>
  <c r="CX219" i="1"/>
  <c r="CE219" i="1"/>
  <c r="CD221" i="1"/>
  <c r="CD317" i="1"/>
  <c r="CD250" i="1"/>
  <c r="BK102" i="1"/>
  <c r="BK222" i="1"/>
  <c r="CF219" i="1"/>
  <c r="BD220" i="1"/>
  <c r="CD323" i="1"/>
  <c r="CD319" i="1"/>
  <c r="J219" i="1"/>
  <c r="G220" i="1"/>
  <c r="CT219" i="1"/>
  <c r="CN219" i="1"/>
  <c r="BO219" i="1"/>
  <c r="BE219" i="1"/>
  <c r="V219" i="1"/>
  <c r="CW220" i="1"/>
  <c r="CI219" i="1"/>
  <c r="BR219" i="1"/>
  <c r="BI219" i="1"/>
  <c r="AF219" i="1"/>
  <c r="Q219" i="1"/>
  <c r="BK16" i="1"/>
  <c r="BK60" i="1"/>
  <c r="BK65" i="1"/>
  <c r="BK88" i="1"/>
  <c r="BK126" i="1"/>
  <c r="BK147" i="1"/>
  <c r="BK182" i="1"/>
  <c r="F323" i="1"/>
  <c r="F250" i="1"/>
  <c r="F317" i="1"/>
  <c r="F319" i="1"/>
  <c r="F221" i="1"/>
  <c r="BK49" i="1"/>
  <c r="BK169" i="1"/>
  <c r="BK108" i="1"/>
  <c r="BK114" i="1"/>
  <c r="BK162" i="1"/>
  <c r="BK314" i="1"/>
  <c r="BK229" i="1"/>
  <c r="BK70" i="1"/>
  <c r="BK340" i="1" l="1"/>
  <c r="E319" i="1"/>
  <c r="E317" i="1"/>
  <c r="E250" i="1"/>
  <c r="E323" i="1"/>
  <c r="F220" i="1"/>
  <c r="CW219" i="1"/>
  <c r="G219" i="1"/>
  <c r="BD219" i="1"/>
  <c r="CD220" i="1"/>
  <c r="E221" i="1"/>
  <c r="CL79" i="1"/>
  <c r="E220" i="1" l="1"/>
  <c r="CD219" i="1"/>
  <c r="F219" i="1"/>
  <c r="CT330" i="1"/>
  <c r="CU330" i="1"/>
  <c r="CV330" i="1"/>
  <c r="CY330" i="1"/>
  <c r="CZ330" i="1"/>
  <c r="CR330" i="1"/>
  <c r="CS330" i="1"/>
  <c r="CX303" i="1"/>
  <c r="CN303" i="1"/>
  <c r="CI303" i="1"/>
  <c r="CF303" i="1"/>
  <c r="BR303" i="1"/>
  <c r="BO303" i="1"/>
  <c r="BI303" i="1"/>
  <c r="BE303" i="1"/>
  <c r="AF303" i="1"/>
  <c r="V303" i="1"/>
  <c r="Q303" i="1"/>
  <c r="J303" i="1"/>
  <c r="CW303" i="1" l="1"/>
  <c r="E219" i="1"/>
  <c r="BD303" i="1"/>
  <c r="CE303" i="1"/>
  <c r="G303" i="1"/>
  <c r="CX305" i="1"/>
  <c r="CN305" i="1"/>
  <c r="CI305" i="1"/>
  <c r="CF305" i="1"/>
  <c r="BR305" i="1"/>
  <c r="BO305" i="1"/>
  <c r="BI305" i="1"/>
  <c r="BE305" i="1"/>
  <c r="AF305" i="1"/>
  <c r="V305" i="1"/>
  <c r="Q305" i="1"/>
  <c r="J305" i="1"/>
  <c r="CR315" i="1"/>
  <c r="CR172" i="1"/>
  <c r="CR124" i="1"/>
  <c r="CR118" i="1"/>
  <c r="CR115" i="1"/>
  <c r="CR45" i="1"/>
  <c r="CP338" i="1"/>
  <c r="CP336" i="1"/>
  <c r="CP334" i="1"/>
  <c r="CP332" i="1"/>
  <c r="CP330" i="1"/>
  <c r="CP328" i="1"/>
  <c r="CP326" i="1"/>
  <c r="CP315" i="1"/>
  <c r="CP312" i="1"/>
  <c r="CP309" i="1"/>
  <c r="CP307" i="1"/>
  <c r="CP283" i="1"/>
  <c r="CP256" i="1"/>
  <c r="CP232" i="1"/>
  <c r="CP230" i="1"/>
  <c r="CP223" i="1"/>
  <c r="CP217" i="1"/>
  <c r="CP205" i="1"/>
  <c r="CP197" i="1"/>
  <c r="CP195" i="1"/>
  <c r="CP193" i="1"/>
  <c r="CP191" i="1"/>
  <c r="CP189" i="1"/>
  <c r="CP185" i="1"/>
  <c r="CP180" i="1"/>
  <c r="CP178" i="1"/>
  <c r="CP175" i="1"/>
  <c r="CP172" i="1"/>
  <c r="CP170" i="1"/>
  <c r="CP166" i="1"/>
  <c r="CP163" i="1"/>
  <c r="CP155" i="1"/>
  <c r="CP152" i="1"/>
  <c r="CP148" i="1"/>
  <c r="CP143" i="1"/>
  <c r="CP141" i="1"/>
  <c r="CP139" i="1"/>
  <c r="CP135" i="1"/>
  <c r="CP131" i="1"/>
  <c r="CP127" i="1"/>
  <c r="CP124" i="1"/>
  <c r="CP118" i="1"/>
  <c r="CP115" i="1"/>
  <c r="CP112" i="1"/>
  <c r="CP106" i="1"/>
  <c r="CP103" i="1"/>
  <c r="CP92" i="1"/>
  <c r="CP89" i="1"/>
  <c r="CP86" i="1"/>
  <c r="CP84" i="1"/>
  <c r="CP82" i="1"/>
  <c r="CP80" i="1"/>
  <c r="CP78" i="1"/>
  <c r="CP76" i="1"/>
  <c r="CP73" i="1"/>
  <c r="CP71" i="1"/>
  <c r="CP68" i="1"/>
  <c r="CP66" i="1"/>
  <c r="CP63" i="1"/>
  <c r="CP61" i="1"/>
  <c r="CP58" i="1"/>
  <c r="CP56" i="1"/>
  <c r="CP54" i="1"/>
  <c r="CP52" i="1"/>
  <c r="CP50" i="1"/>
  <c r="CP47" i="1"/>
  <c r="CP45" i="1"/>
  <c r="CP39" i="1"/>
  <c r="CP37" i="1"/>
  <c r="CP23" i="1"/>
  <c r="CP19" i="1"/>
  <c r="CP17" i="1"/>
  <c r="CL338" i="1"/>
  <c r="CL336" i="1"/>
  <c r="CL334" i="1"/>
  <c r="CL332" i="1"/>
  <c r="CL330" i="1"/>
  <c r="CL328" i="1"/>
  <c r="CL326" i="1"/>
  <c r="CL315" i="1"/>
  <c r="CL312" i="1"/>
  <c r="CL309" i="1"/>
  <c r="CL307" i="1"/>
  <c r="CL283" i="1"/>
  <c r="CL256" i="1"/>
  <c r="CL232" i="1"/>
  <c r="CL230" i="1"/>
  <c r="CL223" i="1"/>
  <c r="CL217" i="1"/>
  <c r="CL205" i="1"/>
  <c r="CL197" i="1"/>
  <c r="CL195" i="1"/>
  <c r="CL193" i="1"/>
  <c r="CL191" i="1"/>
  <c r="CL189" i="1"/>
  <c r="CL185" i="1"/>
  <c r="CL180" i="1"/>
  <c r="CL178" i="1"/>
  <c r="CL175" i="1"/>
  <c r="CL172" i="1"/>
  <c r="CL170" i="1"/>
  <c r="CL166" i="1"/>
  <c r="CL163" i="1"/>
  <c r="CL155" i="1"/>
  <c r="CL152" i="1"/>
  <c r="CL148" i="1"/>
  <c r="CL143" i="1"/>
  <c r="CL141" i="1"/>
  <c r="CL139" i="1"/>
  <c r="CL135" i="1"/>
  <c r="CL131" i="1"/>
  <c r="CL127" i="1"/>
  <c r="CL124" i="1"/>
  <c r="CL118" i="1"/>
  <c r="CL115" i="1"/>
  <c r="CL112" i="1"/>
  <c r="CL106" i="1"/>
  <c r="CL103" i="1"/>
  <c r="CL92" i="1"/>
  <c r="CL89" i="1"/>
  <c r="CL86" i="1"/>
  <c r="CL84" i="1"/>
  <c r="CL82" i="1"/>
  <c r="CL80" i="1"/>
  <c r="CL78" i="1"/>
  <c r="CL76" i="1"/>
  <c r="CL73" i="1"/>
  <c r="CL71" i="1"/>
  <c r="CL68" i="1"/>
  <c r="CL66" i="1"/>
  <c r="CL63" i="1"/>
  <c r="CL61" i="1"/>
  <c r="CL58" i="1"/>
  <c r="CL56" i="1"/>
  <c r="CL54" i="1"/>
  <c r="CL52" i="1"/>
  <c r="CL50" i="1"/>
  <c r="CL47" i="1"/>
  <c r="CL45" i="1"/>
  <c r="CL39" i="1"/>
  <c r="CL37" i="1"/>
  <c r="CL23" i="1"/>
  <c r="CL19" i="1"/>
  <c r="CL17" i="1"/>
  <c r="CK338" i="1"/>
  <c r="CK336" i="1"/>
  <c r="CK334" i="1"/>
  <c r="CK332" i="1"/>
  <c r="CK330" i="1"/>
  <c r="CK328" i="1"/>
  <c r="CK326" i="1"/>
  <c r="CK315" i="1"/>
  <c r="CK312" i="1"/>
  <c r="CK309" i="1"/>
  <c r="CK307" i="1"/>
  <c r="CK283" i="1"/>
  <c r="CK256" i="1"/>
  <c r="CK232" i="1"/>
  <c r="CK230" i="1"/>
  <c r="CK223" i="1"/>
  <c r="CK217" i="1"/>
  <c r="CK205" i="1"/>
  <c r="CK197" i="1"/>
  <c r="CK195" i="1"/>
  <c r="CK193" i="1"/>
  <c r="CK191" i="1"/>
  <c r="CK189" i="1"/>
  <c r="CK185" i="1"/>
  <c r="CK180" i="1"/>
  <c r="CK178" i="1"/>
  <c r="CK175" i="1"/>
  <c r="CK172" i="1"/>
  <c r="CK170" i="1"/>
  <c r="CK166" i="1"/>
  <c r="CK163" i="1"/>
  <c r="CK155" i="1"/>
  <c r="CK152" i="1"/>
  <c r="CK148" i="1"/>
  <c r="CK143" i="1"/>
  <c r="CK141" i="1"/>
  <c r="CK139" i="1"/>
  <c r="CK135" i="1"/>
  <c r="CK131" i="1"/>
  <c r="CK127" i="1"/>
  <c r="CK124" i="1"/>
  <c r="CK118" i="1"/>
  <c r="CK115" i="1"/>
  <c r="CK112" i="1"/>
  <c r="CK106" i="1"/>
  <c r="CK103" i="1"/>
  <c r="CK92" i="1"/>
  <c r="CK89" i="1"/>
  <c r="CK86" i="1"/>
  <c r="CK84" i="1"/>
  <c r="CK82" i="1"/>
  <c r="CK80" i="1"/>
  <c r="CK78" i="1"/>
  <c r="CK76" i="1"/>
  <c r="CK73" i="1"/>
  <c r="CK71" i="1"/>
  <c r="CK68" i="1"/>
  <c r="CK66" i="1"/>
  <c r="CK63" i="1"/>
  <c r="CK61" i="1"/>
  <c r="CK58" i="1"/>
  <c r="CK56" i="1"/>
  <c r="CK54" i="1"/>
  <c r="CK52" i="1"/>
  <c r="CK50" i="1"/>
  <c r="CK47" i="1"/>
  <c r="CK45" i="1"/>
  <c r="CK39" i="1"/>
  <c r="CK37" i="1"/>
  <c r="CK23" i="1"/>
  <c r="CK19" i="1"/>
  <c r="CK17" i="1"/>
  <c r="CX251" i="1"/>
  <c r="CN251" i="1"/>
  <c r="CI251" i="1"/>
  <c r="CF251" i="1"/>
  <c r="BR251" i="1"/>
  <c r="BO251" i="1"/>
  <c r="BM251" i="1"/>
  <c r="BI251" i="1"/>
  <c r="BE251" i="1"/>
  <c r="AF251" i="1"/>
  <c r="V251" i="1"/>
  <c r="Q251" i="1"/>
  <c r="P251" i="1"/>
  <c r="CX304" i="1"/>
  <c r="CN304" i="1"/>
  <c r="CI304" i="1"/>
  <c r="CF304" i="1"/>
  <c r="BR304" i="1"/>
  <c r="BO304" i="1"/>
  <c r="BI304" i="1"/>
  <c r="BE304" i="1"/>
  <c r="AF304" i="1"/>
  <c r="V304" i="1"/>
  <c r="Q304" i="1"/>
  <c r="J304" i="1"/>
  <c r="CX285" i="1"/>
  <c r="CN285" i="1"/>
  <c r="CI285" i="1"/>
  <c r="CF285" i="1"/>
  <c r="BR285" i="1"/>
  <c r="BO285" i="1"/>
  <c r="BI285" i="1"/>
  <c r="BE285" i="1"/>
  <c r="AF285" i="1"/>
  <c r="V285" i="1"/>
  <c r="Q285" i="1"/>
  <c r="J285" i="1"/>
  <c r="CX236" i="1"/>
  <c r="CN236" i="1"/>
  <c r="CI236" i="1"/>
  <c r="CF236" i="1"/>
  <c r="BR236" i="1"/>
  <c r="BO236" i="1"/>
  <c r="BM236" i="1"/>
  <c r="BI236" i="1"/>
  <c r="BE236" i="1"/>
  <c r="AF236" i="1"/>
  <c r="V236" i="1"/>
  <c r="Q236" i="1"/>
  <c r="P236" i="1"/>
  <c r="CX243" i="1"/>
  <c r="CN243" i="1"/>
  <c r="CI243" i="1"/>
  <c r="CF243" i="1"/>
  <c r="BR243" i="1"/>
  <c r="BO243" i="1"/>
  <c r="BI243" i="1"/>
  <c r="BE243" i="1"/>
  <c r="AF243" i="1"/>
  <c r="V243" i="1"/>
  <c r="Q243" i="1"/>
  <c r="J243" i="1"/>
  <c r="AF204" i="1"/>
  <c r="AF203" i="1"/>
  <c r="AF202" i="1"/>
  <c r="AF201" i="1"/>
  <c r="AF200" i="1"/>
  <c r="AF199" i="1"/>
  <c r="AF198" i="1"/>
  <c r="AF196" i="1"/>
  <c r="BR55" i="1"/>
  <c r="CW236" i="1" l="1"/>
  <c r="CW285" i="1"/>
  <c r="CW304" i="1"/>
  <c r="CK102" i="1"/>
  <c r="CL102" i="1"/>
  <c r="BR54" i="1"/>
  <c r="CW243" i="1"/>
  <c r="J251" i="1"/>
  <c r="CW251" i="1"/>
  <c r="CK105" i="1"/>
  <c r="CK216" i="1"/>
  <c r="CK234" i="1"/>
  <c r="CK311" i="1"/>
  <c r="CL105" i="1"/>
  <c r="CL216" i="1"/>
  <c r="CL234" i="1"/>
  <c r="CL311" i="1"/>
  <c r="CP105" i="1"/>
  <c r="CP216" i="1"/>
  <c r="CP234" i="1"/>
  <c r="CP311" i="1"/>
  <c r="CR314" i="1"/>
  <c r="CW305" i="1"/>
  <c r="CD303" i="1"/>
  <c r="J236" i="1"/>
  <c r="CK222" i="1"/>
  <c r="CL222" i="1"/>
  <c r="CP102" i="1"/>
  <c r="CP222" i="1"/>
  <c r="CR169" i="1"/>
  <c r="CR340" i="1" s="1"/>
  <c r="F303" i="1"/>
  <c r="CP169" i="1"/>
  <c r="BD285" i="1"/>
  <c r="CE305" i="1"/>
  <c r="CL126" i="1"/>
  <c r="CL182" i="1"/>
  <c r="CE251" i="1"/>
  <c r="BD305" i="1"/>
  <c r="BD243" i="1"/>
  <c r="CE304" i="1"/>
  <c r="CK126" i="1"/>
  <c r="CK182" i="1"/>
  <c r="CL169" i="1"/>
  <c r="CL314" i="1"/>
  <c r="CP16" i="1"/>
  <c r="CP60" i="1"/>
  <c r="CP65" i="1"/>
  <c r="CP70" i="1"/>
  <c r="CP126" i="1"/>
  <c r="CP147" i="1"/>
  <c r="CP182" i="1"/>
  <c r="CP314" i="1"/>
  <c r="BD304" i="1"/>
  <c r="G305" i="1"/>
  <c r="CK49" i="1"/>
  <c r="CK169" i="1"/>
  <c r="CK314" i="1"/>
  <c r="CL16" i="1"/>
  <c r="CL60" i="1"/>
  <c r="CL65" i="1"/>
  <c r="CL70" i="1"/>
  <c r="CL88" i="1"/>
  <c r="CL108" i="1"/>
  <c r="CL114" i="1"/>
  <c r="CL162" i="1"/>
  <c r="CP49" i="1"/>
  <c r="CP108" i="1"/>
  <c r="CP114" i="1"/>
  <c r="CP162" i="1"/>
  <c r="CK70" i="1"/>
  <c r="CK108" i="1"/>
  <c r="CK114" i="1"/>
  <c r="CK162" i="1"/>
  <c r="CL49" i="1"/>
  <c r="CP88" i="1"/>
  <c r="CP229" i="1"/>
  <c r="CK16" i="1"/>
  <c r="CK60" i="1"/>
  <c r="CK65" i="1"/>
  <c r="CK147" i="1"/>
  <c r="CL147" i="1"/>
  <c r="CL229" i="1"/>
  <c r="CE285" i="1"/>
  <c r="CK88" i="1"/>
  <c r="CE236" i="1"/>
  <c r="G285" i="1"/>
  <c r="CE243" i="1"/>
  <c r="G304" i="1"/>
  <c r="BD236" i="1"/>
  <c r="G243" i="1"/>
  <c r="BB84" i="1"/>
  <c r="BB256" i="1"/>
  <c r="BA47" i="1"/>
  <c r="BB47" i="1"/>
  <c r="BC47" i="1"/>
  <c r="BB23" i="1"/>
  <c r="CT265" i="1"/>
  <c r="CX248" i="1"/>
  <c r="CN248" i="1"/>
  <c r="CI248" i="1"/>
  <c r="CF248" i="1"/>
  <c r="BR248" i="1"/>
  <c r="BO248" i="1"/>
  <c r="BI248" i="1"/>
  <c r="BE248" i="1"/>
  <c r="AF248" i="1"/>
  <c r="V248" i="1"/>
  <c r="Q248" i="1"/>
  <c r="J248" i="1"/>
  <c r="AF179" i="1"/>
  <c r="CL340" i="1" l="1"/>
  <c r="CP340" i="1"/>
  <c r="G251" i="1"/>
  <c r="G236" i="1"/>
  <c r="F236" i="1" s="1"/>
  <c r="CK229" i="1"/>
  <c r="CK340" i="1" s="1"/>
  <c r="BB234" i="1"/>
  <c r="F243" i="1"/>
  <c r="CD243" i="1"/>
  <c r="CD236" i="1"/>
  <c r="CD285" i="1"/>
  <c r="CD251" i="1"/>
  <c r="E303" i="1"/>
  <c r="BB70" i="1"/>
  <c r="F285" i="1"/>
  <c r="CD304" i="1"/>
  <c r="CD305" i="1"/>
  <c r="F305" i="1"/>
  <c r="F304" i="1"/>
  <c r="BB16" i="1"/>
  <c r="CW248" i="1"/>
  <c r="BD248" i="1"/>
  <c r="CE248" i="1"/>
  <c r="G248" i="1"/>
  <c r="F251" i="1" l="1"/>
  <c r="BB229" i="1"/>
  <c r="BB340" i="1" s="1"/>
  <c r="E243" i="1"/>
  <c r="E285" i="1"/>
  <c r="E236" i="1"/>
  <c r="E305" i="1"/>
  <c r="E251" i="1"/>
  <c r="E304" i="1"/>
  <c r="F248" i="1"/>
  <c r="CD248" i="1"/>
  <c r="CX302" i="1"/>
  <c r="CN302" i="1"/>
  <c r="CI302" i="1"/>
  <c r="CF302" i="1"/>
  <c r="BR302" i="1"/>
  <c r="BO302" i="1"/>
  <c r="BI302" i="1"/>
  <c r="BE302" i="1"/>
  <c r="AF302" i="1"/>
  <c r="V302" i="1"/>
  <c r="Q302" i="1"/>
  <c r="J302" i="1"/>
  <c r="CX301" i="1"/>
  <c r="CN301" i="1"/>
  <c r="CI301" i="1"/>
  <c r="CF301" i="1"/>
  <c r="BR301" i="1"/>
  <c r="BO301" i="1"/>
  <c r="BI301" i="1"/>
  <c r="BE301" i="1"/>
  <c r="AF301" i="1"/>
  <c r="V301" i="1"/>
  <c r="Q301" i="1"/>
  <c r="J301" i="1"/>
  <c r="CX299" i="1"/>
  <c r="CN299" i="1"/>
  <c r="CI299" i="1"/>
  <c r="CF299" i="1"/>
  <c r="BR299" i="1"/>
  <c r="BO299" i="1"/>
  <c r="BI299" i="1"/>
  <c r="BE299" i="1"/>
  <c r="AF299" i="1"/>
  <c r="V299" i="1"/>
  <c r="Q299" i="1"/>
  <c r="J299" i="1"/>
  <c r="CX298" i="1"/>
  <c r="CN298" i="1"/>
  <c r="CI298" i="1"/>
  <c r="CF298" i="1"/>
  <c r="BR298" i="1"/>
  <c r="BO298" i="1"/>
  <c r="BI298" i="1"/>
  <c r="BE298" i="1"/>
  <c r="AF298" i="1"/>
  <c r="V298" i="1"/>
  <c r="Q298" i="1"/>
  <c r="J298" i="1"/>
  <c r="CX286" i="1"/>
  <c r="CN286" i="1"/>
  <c r="CI286" i="1"/>
  <c r="CF286" i="1"/>
  <c r="BR286" i="1"/>
  <c r="BO286" i="1"/>
  <c r="BI286" i="1"/>
  <c r="BE286" i="1"/>
  <c r="AF286" i="1"/>
  <c r="V286" i="1"/>
  <c r="Q286" i="1"/>
  <c r="J286" i="1"/>
  <c r="CX288" i="1"/>
  <c r="CN288" i="1"/>
  <c r="CI288" i="1"/>
  <c r="CF288" i="1"/>
  <c r="BR288" i="1"/>
  <c r="BO288" i="1"/>
  <c r="BI288" i="1"/>
  <c r="BE288" i="1"/>
  <c r="AF288" i="1"/>
  <c r="V288" i="1"/>
  <c r="Q288" i="1"/>
  <c r="J288" i="1"/>
  <c r="CX290" i="1"/>
  <c r="CN290" i="1"/>
  <c r="CI290" i="1"/>
  <c r="CF290" i="1"/>
  <c r="BR290" i="1"/>
  <c r="BO290" i="1"/>
  <c r="BI290" i="1"/>
  <c r="BE290" i="1"/>
  <c r="AF290" i="1"/>
  <c r="V290" i="1"/>
  <c r="Q290" i="1"/>
  <c r="J290" i="1"/>
  <c r="CX297" i="1"/>
  <c r="CN297" i="1"/>
  <c r="CI297" i="1"/>
  <c r="CF297" i="1"/>
  <c r="BR297" i="1"/>
  <c r="BO297" i="1"/>
  <c r="BI297" i="1"/>
  <c r="BE297" i="1"/>
  <c r="AF297" i="1"/>
  <c r="V297" i="1"/>
  <c r="Q297" i="1"/>
  <c r="J297" i="1"/>
  <c r="CX255" i="1"/>
  <c r="CN255" i="1"/>
  <c r="CI255" i="1"/>
  <c r="CF255" i="1"/>
  <c r="BR255" i="1"/>
  <c r="BO255" i="1"/>
  <c r="BI255" i="1"/>
  <c r="BE255" i="1"/>
  <c r="AF255" i="1"/>
  <c r="V255" i="1"/>
  <c r="Q255" i="1"/>
  <c r="J255" i="1"/>
  <c r="CX254" i="1"/>
  <c r="CN254" i="1"/>
  <c r="CI254" i="1"/>
  <c r="CF254" i="1"/>
  <c r="BR254" i="1"/>
  <c r="BO254" i="1"/>
  <c r="BI254" i="1"/>
  <c r="BE254" i="1"/>
  <c r="AF254" i="1"/>
  <c r="V254" i="1"/>
  <c r="Q254" i="1"/>
  <c r="J254" i="1"/>
  <c r="CX246" i="1"/>
  <c r="CN246" i="1"/>
  <c r="CI246" i="1"/>
  <c r="CF246" i="1"/>
  <c r="BR246" i="1"/>
  <c r="BO246" i="1"/>
  <c r="BI246" i="1"/>
  <c r="BE246" i="1"/>
  <c r="AF246" i="1"/>
  <c r="V246" i="1"/>
  <c r="Q246" i="1"/>
  <c r="J246" i="1"/>
  <c r="CX245" i="1"/>
  <c r="CN245" i="1"/>
  <c r="CI245" i="1"/>
  <c r="CF245" i="1"/>
  <c r="BR245" i="1"/>
  <c r="BO245" i="1"/>
  <c r="BI245" i="1"/>
  <c r="BE245" i="1"/>
  <c r="AF245" i="1"/>
  <c r="V245" i="1"/>
  <c r="Q245" i="1"/>
  <c r="J245" i="1"/>
  <c r="CX244" i="1"/>
  <c r="CN244" i="1"/>
  <c r="CI244" i="1"/>
  <c r="CF244" i="1"/>
  <c r="BR244" i="1"/>
  <c r="BO244" i="1"/>
  <c r="BI244" i="1"/>
  <c r="BE244" i="1"/>
  <c r="AF244" i="1"/>
  <c r="V244" i="1"/>
  <c r="Q244" i="1"/>
  <c r="J244" i="1"/>
  <c r="CX241" i="1"/>
  <c r="CN241" i="1"/>
  <c r="CI241" i="1"/>
  <c r="CF241" i="1"/>
  <c r="BR241" i="1"/>
  <c r="BO241" i="1"/>
  <c r="BI241" i="1"/>
  <c r="BE241" i="1"/>
  <c r="AF241" i="1"/>
  <c r="V241" i="1"/>
  <c r="Q241" i="1"/>
  <c r="J241" i="1"/>
  <c r="CX240" i="1"/>
  <c r="CN240" i="1"/>
  <c r="CI240" i="1"/>
  <c r="CF240" i="1"/>
  <c r="BR240" i="1"/>
  <c r="BO240" i="1"/>
  <c r="BI240" i="1"/>
  <c r="BE240" i="1"/>
  <c r="AF240" i="1"/>
  <c r="V240" i="1"/>
  <c r="Q240" i="1"/>
  <c r="J240" i="1"/>
  <c r="CX239" i="1"/>
  <c r="CN239" i="1"/>
  <c r="CI239" i="1"/>
  <c r="CF239" i="1"/>
  <c r="BR239" i="1"/>
  <c r="BO239" i="1"/>
  <c r="BI239" i="1"/>
  <c r="BE239" i="1"/>
  <c r="AF239" i="1"/>
  <c r="V239" i="1"/>
  <c r="Q239" i="1"/>
  <c r="J239" i="1"/>
  <c r="CX101" i="1"/>
  <c r="CN101" i="1"/>
  <c r="CI101" i="1"/>
  <c r="CF101" i="1"/>
  <c r="BR101" i="1"/>
  <c r="BO101" i="1"/>
  <c r="BI101" i="1"/>
  <c r="BE101" i="1"/>
  <c r="AF101" i="1"/>
  <c r="V101" i="1"/>
  <c r="Q101" i="1"/>
  <c r="J101" i="1"/>
  <c r="CX100" i="1"/>
  <c r="CN100" i="1"/>
  <c r="CI100" i="1"/>
  <c r="CF100" i="1"/>
  <c r="BR100" i="1"/>
  <c r="BO100" i="1"/>
  <c r="BI100" i="1"/>
  <c r="BE100" i="1"/>
  <c r="AF100" i="1"/>
  <c r="V100" i="1"/>
  <c r="Q100" i="1"/>
  <c r="J100" i="1"/>
  <c r="CX97" i="1"/>
  <c r="CN97" i="1"/>
  <c r="CI97" i="1"/>
  <c r="CF97" i="1"/>
  <c r="BR97" i="1"/>
  <c r="BO97" i="1"/>
  <c r="BI97" i="1"/>
  <c r="BE97" i="1"/>
  <c r="AF97" i="1"/>
  <c r="V97" i="1"/>
  <c r="Q97" i="1"/>
  <c r="J97" i="1"/>
  <c r="E248" i="1" l="1"/>
  <c r="BD254" i="1"/>
  <c r="CE101" i="1"/>
  <c r="CW101" i="1"/>
  <c r="BD239" i="1"/>
  <c r="CE286" i="1"/>
  <c r="BD97" i="1"/>
  <c r="BD244" i="1"/>
  <c r="G297" i="1"/>
  <c r="BD302" i="1"/>
  <c r="G100" i="1"/>
  <c r="BD241" i="1"/>
  <c r="BD246" i="1"/>
  <c r="CE290" i="1"/>
  <c r="CW290" i="1"/>
  <c r="G288" i="1"/>
  <c r="BD299" i="1"/>
  <c r="CW100" i="1"/>
  <c r="G239" i="1"/>
  <c r="BD240" i="1"/>
  <c r="CE240" i="1"/>
  <c r="G241" i="1"/>
  <c r="G244" i="1"/>
  <c r="BD245" i="1"/>
  <c r="CE245" i="1"/>
  <c r="G246" i="1"/>
  <c r="G254" i="1"/>
  <c r="BD255" i="1"/>
  <c r="CE255" i="1"/>
  <c r="CW297" i="1"/>
  <c r="CW288" i="1"/>
  <c r="CD286" i="1"/>
  <c r="CW286" i="1"/>
  <c r="BD298" i="1"/>
  <c r="CE298" i="1"/>
  <c r="G299" i="1"/>
  <c r="BD301" i="1"/>
  <c r="CE301" i="1"/>
  <c r="G302" i="1"/>
  <c r="G97" i="1"/>
  <c r="CE97" i="1"/>
  <c r="CW97" i="1"/>
  <c r="BD100" i="1"/>
  <c r="CE100" i="1"/>
  <c r="G101" i="1"/>
  <c r="BD101" i="1"/>
  <c r="CE239" i="1"/>
  <c r="CW239" i="1"/>
  <c r="G240" i="1"/>
  <c r="CW240" i="1"/>
  <c r="CE241" i="1"/>
  <c r="CW241" i="1"/>
  <c r="CE244" i="1"/>
  <c r="CW244" i="1"/>
  <c r="G245" i="1"/>
  <c r="CW245" i="1"/>
  <c r="CE246" i="1"/>
  <c r="CW246" i="1"/>
  <c r="CE254" i="1"/>
  <c r="CW254" i="1"/>
  <c r="G255" i="1"/>
  <c r="CW255" i="1"/>
  <c r="BD297" i="1"/>
  <c r="CE297" i="1"/>
  <c r="G290" i="1"/>
  <c r="BD290" i="1"/>
  <c r="BD288" i="1"/>
  <c r="CE288" i="1"/>
  <c r="G286" i="1"/>
  <c r="BD286" i="1"/>
  <c r="G298" i="1"/>
  <c r="CW298" i="1"/>
  <c r="CE299" i="1"/>
  <c r="CW299" i="1"/>
  <c r="G301" i="1"/>
  <c r="CW301" i="1"/>
  <c r="CE302" i="1"/>
  <c r="CW302" i="1"/>
  <c r="CD290" i="1" l="1"/>
  <c r="CD101" i="1"/>
  <c r="F245" i="1"/>
  <c r="CD302" i="1"/>
  <c r="F290" i="1"/>
  <c r="CD297" i="1"/>
  <c r="CD244" i="1"/>
  <c r="CD239" i="1"/>
  <c r="CD100" i="1"/>
  <c r="F240" i="1"/>
  <c r="F255" i="1"/>
  <c r="F301" i="1"/>
  <c r="CD299" i="1"/>
  <c r="F286" i="1"/>
  <c r="CD288" i="1"/>
  <c r="CD246" i="1"/>
  <c r="CD241" i="1"/>
  <c r="F101" i="1"/>
  <c r="CD97" i="1"/>
  <c r="F97" i="1"/>
  <c r="F302" i="1"/>
  <c r="CD301" i="1"/>
  <c r="F299" i="1"/>
  <c r="CD298" i="1"/>
  <c r="F288" i="1"/>
  <c r="F297" i="1"/>
  <c r="CD255" i="1"/>
  <c r="F254" i="1"/>
  <c r="F246" i="1"/>
  <c r="CD245" i="1"/>
  <c r="F244" i="1"/>
  <c r="F241" i="1"/>
  <c r="CD240" i="1"/>
  <c r="F239" i="1"/>
  <c r="F298" i="1"/>
  <c r="CD254" i="1"/>
  <c r="F100" i="1"/>
  <c r="E297" i="1" l="1"/>
  <c r="E255" i="1"/>
  <c r="E100" i="1"/>
  <c r="E298" i="1"/>
  <c r="E239" i="1"/>
  <c r="E241" i="1"/>
  <c r="E244" i="1"/>
  <c r="E246" i="1"/>
  <c r="E254" i="1"/>
  <c r="E288" i="1"/>
  <c r="E299" i="1"/>
  <c r="E302" i="1"/>
  <c r="E97" i="1"/>
  <c r="E101" i="1"/>
  <c r="E286" i="1"/>
  <c r="E301" i="1"/>
  <c r="E240" i="1"/>
  <c r="E290" i="1"/>
  <c r="E245" i="1"/>
  <c r="CF46" i="1" l="1"/>
  <c r="BC45" i="1"/>
  <c r="AN45" i="1"/>
  <c r="AL45" i="1"/>
  <c r="AJ45" i="1"/>
  <c r="AI45" i="1"/>
  <c r="AB45" i="1"/>
  <c r="AA45" i="1"/>
  <c r="Z45" i="1"/>
  <c r="Y45" i="1"/>
  <c r="X45" i="1"/>
  <c r="W45" i="1"/>
  <c r="U45" i="1"/>
  <c r="P45" i="1"/>
  <c r="I45" i="1"/>
  <c r="H45" i="1"/>
  <c r="CZ45" i="1"/>
  <c r="CY45" i="1"/>
  <c r="CV45" i="1"/>
  <c r="CU45" i="1"/>
  <c r="CT45" i="1"/>
  <c r="CS45" i="1"/>
  <c r="CQ45" i="1"/>
  <c r="CO45" i="1"/>
  <c r="CM45" i="1"/>
  <c r="CJ45" i="1"/>
  <c r="CG45" i="1"/>
  <c r="CC45" i="1"/>
  <c r="CB45" i="1"/>
  <c r="CA45" i="1"/>
  <c r="BZ45" i="1"/>
  <c r="BY45" i="1"/>
  <c r="BX45" i="1"/>
  <c r="BW45" i="1"/>
  <c r="BV45" i="1"/>
  <c r="BU45" i="1"/>
  <c r="BT45" i="1"/>
  <c r="BS45" i="1"/>
  <c r="BQ45" i="1"/>
  <c r="BP45" i="1"/>
  <c r="BN45" i="1"/>
  <c r="BM45" i="1"/>
  <c r="BL45" i="1"/>
  <c r="BJ45" i="1"/>
  <c r="BH45" i="1"/>
  <c r="BG45" i="1"/>
  <c r="BF45" i="1"/>
  <c r="BA45" i="1"/>
  <c r="AZ45" i="1"/>
  <c r="AY45" i="1"/>
  <c r="AX45" i="1"/>
  <c r="AW45" i="1"/>
  <c r="AV45" i="1"/>
  <c r="AU45" i="1"/>
  <c r="AT45" i="1"/>
  <c r="AS45" i="1"/>
  <c r="AQ45" i="1"/>
  <c r="AP45" i="1"/>
  <c r="AO45" i="1"/>
  <c r="AM45" i="1"/>
  <c r="AK45" i="1"/>
  <c r="AH45" i="1"/>
  <c r="AG45" i="1"/>
  <c r="AE45" i="1"/>
  <c r="AD45" i="1"/>
  <c r="AC45" i="1"/>
  <c r="T45" i="1"/>
  <c r="S45" i="1"/>
  <c r="R45" i="1"/>
  <c r="O45" i="1"/>
  <c r="N45" i="1"/>
  <c r="M45" i="1"/>
  <c r="L45" i="1"/>
  <c r="K45" i="1"/>
  <c r="CX46" i="1"/>
  <c r="CN46" i="1"/>
  <c r="CI46" i="1"/>
  <c r="BR46" i="1"/>
  <c r="BO46" i="1"/>
  <c r="BI46" i="1"/>
  <c r="BE46" i="1"/>
  <c r="Q46" i="1"/>
  <c r="AW16" i="1" l="1"/>
  <c r="AV16" i="1"/>
  <c r="BR67" i="1"/>
  <c r="CW46" i="1"/>
  <c r="CH45" i="1"/>
  <c r="J46" i="1"/>
  <c r="V46" i="1"/>
  <c r="AF46" i="1"/>
  <c r="BD46" i="1"/>
  <c r="CE46" i="1"/>
  <c r="G46" i="1" l="1"/>
  <c r="CD46" i="1"/>
  <c r="F46" i="1" l="1"/>
  <c r="E46" i="1" l="1"/>
  <c r="CZ315" i="1"/>
  <c r="CY315" i="1"/>
  <c r="CV315" i="1"/>
  <c r="CU315" i="1"/>
  <c r="CT315" i="1"/>
  <c r="CS315" i="1"/>
  <c r="CQ315" i="1"/>
  <c r="CO315" i="1"/>
  <c r="CM315" i="1"/>
  <c r="CJ315" i="1"/>
  <c r="CH315" i="1"/>
  <c r="CG315" i="1"/>
  <c r="CC315" i="1"/>
  <c r="CB315" i="1"/>
  <c r="CA315" i="1"/>
  <c r="BZ315" i="1"/>
  <c r="BY315" i="1"/>
  <c r="BX315" i="1"/>
  <c r="BW315" i="1"/>
  <c r="BV315" i="1"/>
  <c r="BU315" i="1"/>
  <c r="BT315" i="1"/>
  <c r="BS315" i="1"/>
  <c r="BQ315" i="1"/>
  <c r="BP315" i="1"/>
  <c r="BN315" i="1"/>
  <c r="BL315" i="1"/>
  <c r="BH315" i="1"/>
  <c r="BG315" i="1"/>
  <c r="BF315" i="1"/>
  <c r="BA315" i="1"/>
  <c r="AZ315" i="1"/>
  <c r="AX315" i="1"/>
  <c r="AW315" i="1"/>
  <c r="AV315" i="1"/>
  <c r="AU315" i="1"/>
  <c r="AT315" i="1"/>
  <c r="AS315" i="1"/>
  <c r="AQ315" i="1"/>
  <c r="AP315" i="1"/>
  <c r="AO315" i="1"/>
  <c r="AN315" i="1"/>
  <c r="AM315" i="1"/>
  <c r="AL315" i="1"/>
  <c r="AK315" i="1"/>
  <c r="AJ315" i="1"/>
  <c r="AI315" i="1"/>
  <c r="AH315" i="1"/>
  <c r="AG315" i="1"/>
  <c r="AE315" i="1"/>
  <c r="AD315" i="1"/>
  <c r="AC315" i="1"/>
  <c r="AB315" i="1"/>
  <c r="AA315" i="1"/>
  <c r="Z315" i="1"/>
  <c r="Y315" i="1"/>
  <c r="X315" i="1"/>
  <c r="W315" i="1"/>
  <c r="U315" i="1"/>
  <c r="T315" i="1"/>
  <c r="S315" i="1"/>
  <c r="R315" i="1"/>
  <c r="P315" i="1"/>
  <c r="O315" i="1"/>
  <c r="N315" i="1"/>
  <c r="M315" i="1"/>
  <c r="L315" i="1"/>
  <c r="K315" i="1"/>
  <c r="I315" i="1"/>
  <c r="H315" i="1"/>
  <c r="CS314" i="1" l="1"/>
  <c r="BC315" i="1"/>
  <c r="CX316" i="1"/>
  <c r="CN316" i="1"/>
  <c r="CI316" i="1"/>
  <c r="CF316" i="1"/>
  <c r="BR316" i="1"/>
  <c r="BO316" i="1"/>
  <c r="BI316" i="1"/>
  <c r="BE316" i="1"/>
  <c r="AF316" i="1"/>
  <c r="V316" i="1"/>
  <c r="Q316" i="1"/>
  <c r="J316" i="1"/>
  <c r="G316" i="1" l="1"/>
  <c r="CW316" i="1"/>
  <c r="CE316" i="1"/>
  <c r="BD316" i="1"/>
  <c r="CD316" i="1" l="1"/>
  <c r="F316" i="1"/>
  <c r="BM315" i="1" l="1"/>
  <c r="E316" i="1"/>
  <c r="BO117" i="1"/>
  <c r="BJ315" i="1" l="1"/>
  <c r="BQ338" i="1"/>
  <c r="BQ336" i="1"/>
  <c r="BQ334" i="1"/>
  <c r="BQ332" i="1"/>
  <c r="BQ330" i="1"/>
  <c r="BQ328" i="1"/>
  <c r="BQ326" i="1"/>
  <c r="BQ312" i="1"/>
  <c r="BQ309" i="1"/>
  <c r="BQ307" i="1"/>
  <c r="BQ283" i="1"/>
  <c r="BQ256" i="1"/>
  <c r="BQ232" i="1"/>
  <c r="BQ230" i="1"/>
  <c r="BQ223" i="1"/>
  <c r="BQ217" i="1"/>
  <c r="BQ205" i="1"/>
  <c r="BQ197" i="1"/>
  <c r="BQ195" i="1"/>
  <c r="BQ193" i="1"/>
  <c r="BQ191" i="1"/>
  <c r="BQ189" i="1"/>
  <c r="BQ185" i="1"/>
  <c r="BQ180" i="1"/>
  <c r="BQ178" i="1"/>
  <c r="BQ175" i="1"/>
  <c r="BQ172" i="1"/>
  <c r="BQ170" i="1"/>
  <c r="BQ166" i="1"/>
  <c r="BQ163" i="1"/>
  <c r="BQ155" i="1"/>
  <c r="BQ152" i="1"/>
  <c r="BQ148" i="1"/>
  <c r="BQ143" i="1"/>
  <c r="BQ141" i="1"/>
  <c r="BQ139" i="1"/>
  <c r="BQ135" i="1"/>
  <c r="BQ131" i="1"/>
  <c r="BQ127" i="1"/>
  <c r="BQ124" i="1"/>
  <c r="BQ118" i="1"/>
  <c r="BQ115" i="1"/>
  <c r="BQ112" i="1"/>
  <c r="BQ106" i="1"/>
  <c r="BQ103" i="1"/>
  <c r="BQ92" i="1"/>
  <c r="BQ89" i="1"/>
  <c r="BQ86" i="1"/>
  <c r="BQ84" i="1"/>
  <c r="BQ82" i="1"/>
  <c r="BQ80" i="1"/>
  <c r="BQ78" i="1"/>
  <c r="BQ76" i="1"/>
  <c r="BQ73" i="1"/>
  <c r="BQ71" i="1"/>
  <c r="BQ68" i="1"/>
  <c r="BQ66" i="1"/>
  <c r="BQ63" i="1"/>
  <c r="BQ61" i="1"/>
  <c r="BQ58" i="1"/>
  <c r="BQ56" i="1"/>
  <c r="BQ54" i="1"/>
  <c r="BQ52" i="1"/>
  <c r="BQ50" i="1"/>
  <c r="BQ47" i="1"/>
  <c r="BQ39" i="1"/>
  <c r="BQ37" i="1"/>
  <c r="BQ23" i="1"/>
  <c r="BQ19" i="1"/>
  <c r="BQ17" i="1"/>
  <c r="CZ115" i="1"/>
  <c r="CY115" i="1"/>
  <c r="CV115" i="1"/>
  <c r="CU115" i="1"/>
  <c r="CT115" i="1"/>
  <c r="CS115" i="1"/>
  <c r="CQ115" i="1"/>
  <c r="CO115" i="1"/>
  <c r="CM115" i="1"/>
  <c r="CJ115" i="1"/>
  <c r="CH115" i="1"/>
  <c r="CG115" i="1"/>
  <c r="CC115" i="1"/>
  <c r="CB115" i="1"/>
  <c r="CA115" i="1"/>
  <c r="BZ115" i="1"/>
  <c r="BY115" i="1"/>
  <c r="BX115" i="1"/>
  <c r="BW115" i="1"/>
  <c r="BV115" i="1"/>
  <c r="BU115" i="1"/>
  <c r="BT115" i="1"/>
  <c r="BS115" i="1"/>
  <c r="BP115" i="1"/>
  <c r="BN115" i="1"/>
  <c r="BM115" i="1"/>
  <c r="BL115" i="1"/>
  <c r="BJ115" i="1"/>
  <c r="BH115" i="1"/>
  <c r="BF115" i="1"/>
  <c r="BC115" i="1"/>
  <c r="BA115" i="1"/>
  <c r="AZ115" i="1"/>
  <c r="AY115" i="1"/>
  <c r="AX115" i="1"/>
  <c r="AW115" i="1"/>
  <c r="AV115" i="1"/>
  <c r="AU115" i="1"/>
  <c r="AT115" i="1"/>
  <c r="AS115" i="1"/>
  <c r="AQ115" i="1"/>
  <c r="AP115" i="1"/>
  <c r="AO115" i="1"/>
  <c r="AN115" i="1"/>
  <c r="AM115" i="1"/>
  <c r="AL115" i="1"/>
  <c r="AK115" i="1"/>
  <c r="AJ115" i="1"/>
  <c r="AI115" i="1"/>
  <c r="AH115" i="1"/>
  <c r="AG115" i="1"/>
  <c r="AE115" i="1"/>
  <c r="AD115" i="1"/>
  <c r="AC115" i="1"/>
  <c r="AB115" i="1"/>
  <c r="AA115" i="1"/>
  <c r="Z115" i="1"/>
  <c r="Y115" i="1"/>
  <c r="X115" i="1"/>
  <c r="W115" i="1"/>
  <c r="U115" i="1"/>
  <c r="T115" i="1"/>
  <c r="S115" i="1"/>
  <c r="R115" i="1"/>
  <c r="P115" i="1"/>
  <c r="O115" i="1"/>
  <c r="N115" i="1"/>
  <c r="M115" i="1"/>
  <c r="L115" i="1"/>
  <c r="K115" i="1"/>
  <c r="I115" i="1"/>
  <c r="H115" i="1"/>
  <c r="CX117" i="1"/>
  <c r="CN117" i="1"/>
  <c r="CI117" i="1"/>
  <c r="CF117" i="1"/>
  <c r="BR117" i="1"/>
  <c r="BI117" i="1"/>
  <c r="BE117" i="1"/>
  <c r="AF117" i="1"/>
  <c r="V117" i="1"/>
  <c r="Q117" i="1"/>
  <c r="J117" i="1"/>
  <c r="BQ311" i="1" l="1"/>
  <c r="BQ126" i="1"/>
  <c r="BQ169" i="1"/>
  <c r="BQ222" i="1"/>
  <c r="BD117" i="1"/>
  <c r="CE117" i="1"/>
  <c r="CW117" i="1"/>
  <c r="BQ182" i="1"/>
  <c r="BQ314" i="1"/>
  <c r="BQ162" i="1"/>
  <c r="BQ216" i="1"/>
  <c r="BQ102" i="1"/>
  <c r="BQ114" i="1"/>
  <c r="BQ234" i="1"/>
  <c r="BG115" i="1"/>
  <c r="BQ105" i="1"/>
  <c r="G117" i="1"/>
  <c r="BQ108" i="1"/>
  <c r="BQ49" i="1"/>
  <c r="BQ16" i="1"/>
  <c r="BQ60" i="1"/>
  <c r="BQ65" i="1"/>
  <c r="BQ88" i="1"/>
  <c r="BQ147" i="1"/>
  <c r="BQ70" i="1"/>
  <c r="CD117" i="1" l="1"/>
  <c r="F117" i="1"/>
  <c r="BQ229" i="1"/>
  <c r="BQ340" i="1" s="1"/>
  <c r="E117" i="1" l="1"/>
  <c r="BR36" i="1" l="1"/>
  <c r="H56" i="1"/>
  <c r="H47" i="1"/>
  <c r="V36" i="1"/>
  <c r="I19" i="1"/>
  <c r="CX281" i="1"/>
  <c r="CN281" i="1"/>
  <c r="CI281" i="1"/>
  <c r="BR281" i="1"/>
  <c r="BO281" i="1"/>
  <c r="BI281" i="1"/>
  <c r="BE281" i="1"/>
  <c r="CX280" i="1"/>
  <c r="CN280" i="1"/>
  <c r="CI280" i="1"/>
  <c r="CF280" i="1"/>
  <c r="BR280" i="1"/>
  <c r="BO280" i="1"/>
  <c r="BI280" i="1"/>
  <c r="BE280" i="1"/>
  <c r="AF280" i="1"/>
  <c r="V280" i="1"/>
  <c r="Q280" i="1"/>
  <c r="J280" i="1"/>
  <c r="CX214" i="1"/>
  <c r="CN214" i="1"/>
  <c r="CI214" i="1"/>
  <c r="CF214" i="1"/>
  <c r="BR214" i="1"/>
  <c r="BO214" i="1"/>
  <c r="BI214" i="1"/>
  <c r="BE214" i="1"/>
  <c r="AF214" i="1"/>
  <c r="V214" i="1"/>
  <c r="Q214" i="1"/>
  <c r="J214" i="1"/>
  <c r="CX164" i="1"/>
  <c r="CN164" i="1"/>
  <c r="CI164" i="1"/>
  <c r="BR164" i="1"/>
  <c r="BO164" i="1"/>
  <c r="BI164" i="1"/>
  <c r="BE164" i="1"/>
  <c r="CZ124" i="1"/>
  <c r="CY124" i="1"/>
  <c r="CV124" i="1"/>
  <c r="CU124" i="1"/>
  <c r="CT124" i="1"/>
  <c r="CS124" i="1"/>
  <c r="CQ124" i="1"/>
  <c r="CO124" i="1"/>
  <c r="CM124" i="1"/>
  <c r="CJ124" i="1"/>
  <c r="CH124" i="1"/>
  <c r="CG124" i="1"/>
  <c r="CC124" i="1"/>
  <c r="CB124" i="1"/>
  <c r="CA124" i="1"/>
  <c r="BZ124" i="1"/>
  <c r="BY124" i="1"/>
  <c r="BX124" i="1"/>
  <c r="BW124" i="1"/>
  <c r="BV124" i="1"/>
  <c r="BU124" i="1"/>
  <c r="BT124" i="1"/>
  <c r="BS124" i="1"/>
  <c r="BP124" i="1"/>
  <c r="BN124" i="1"/>
  <c r="BM124" i="1"/>
  <c r="BL124" i="1"/>
  <c r="BJ124" i="1"/>
  <c r="BH124" i="1"/>
  <c r="BG124" i="1"/>
  <c r="BF124" i="1"/>
  <c r="BA124" i="1"/>
  <c r="AZ124" i="1"/>
  <c r="AY124" i="1"/>
  <c r="AX124" i="1"/>
  <c r="AW124" i="1"/>
  <c r="AV124" i="1"/>
  <c r="AU124" i="1"/>
  <c r="AT124" i="1"/>
  <c r="AS124" i="1"/>
  <c r="AQ124" i="1"/>
  <c r="AP124" i="1"/>
  <c r="AO124" i="1"/>
  <c r="AN124" i="1"/>
  <c r="AM124" i="1"/>
  <c r="AL124" i="1"/>
  <c r="AK124" i="1"/>
  <c r="AJ124" i="1"/>
  <c r="AI124" i="1"/>
  <c r="AH124" i="1"/>
  <c r="AG124" i="1"/>
  <c r="AE124" i="1"/>
  <c r="AD124" i="1"/>
  <c r="AC124" i="1"/>
  <c r="AB124" i="1"/>
  <c r="AA124" i="1"/>
  <c r="Z124" i="1"/>
  <c r="Y124" i="1"/>
  <c r="X124" i="1"/>
  <c r="W124" i="1"/>
  <c r="U124" i="1"/>
  <c r="T124" i="1"/>
  <c r="S124" i="1"/>
  <c r="R124" i="1"/>
  <c r="P124" i="1"/>
  <c r="O124" i="1"/>
  <c r="N124" i="1"/>
  <c r="M124" i="1"/>
  <c r="L124" i="1"/>
  <c r="K124" i="1"/>
  <c r="I124" i="1"/>
  <c r="H124" i="1"/>
  <c r="CZ118" i="1"/>
  <c r="CY118" i="1"/>
  <c r="CV118" i="1"/>
  <c r="CU118" i="1"/>
  <c r="CT118" i="1"/>
  <c r="CS118" i="1"/>
  <c r="CQ118" i="1"/>
  <c r="CO118" i="1"/>
  <c r="CM118" i="1"/>
  <c r="CJ118" i="1"/>
  <c r="CH118" i="1"/>
  <c r="CG118" i="1"/>
  <c r="CC118" i="1"/>
  <c r="CB118" i="1"/>
  <c r="CA118" i="1"/>
  <c r="BZ118" i="1"/>
  <c r="BY118" i="1"/>
  <c r="BX118" i="1"/>
  <c r="BW118" i="1"/>
  <c r="BV118" i="1"/>
  <c r="BU118" i="1"/>
  <c r="BT118" i="1"/>
  <c r="BS118" i="1"/>
  <c r="BP118" i="1"/>
  <c r="BN118" i="1"/>
  <c r="BM118" i="1"/>
  <c r="BL118" i="1"/>
  <c r="BJ118" i="1"/>
  <c r="BG118" i="1"/>
  <c r="BF118" i="1"/>
  <c r="BC118" i="1"/>
  <c r="BA118" i="1"/>
  <c r="AZ118" i="1"/>
  <c r="AY118" i="1"/>
  <c r="AX118" i="1"/>
  <c r="AW118" i="1"/>
  <c r="AV118" i="1"/>
  <c r="AU118" i="1"/>
  <c r="AT118" i="1"/>
  <c r="AS118" i="1"/>
  <c r="AQ118" i="1"/>
  <c r="AP118" i="1"/>
  <c r="AO118" i="1"/>
  <c r="AN118" i="1"/>
  <c r="AM118" i="1"/>
  <c r="AL118" i="1"/>
  <c r="AK118" i="1"/>
  <c r="AJ118" i="1"/>
  <c r="AI118" i="1"/>
  <c r="AH118" i="1"/>
  <c r="AG118" i="1"/>
  <c r="AE118" i="1"/>
  <c r="AD118" i="1"/>
  <c r="AC118" i="1"/>
  <c r="AB118" i="1"/>
  <c r="AA118" i="1"/>
  <c r="Z118" i="1"/>
  <c r="Y118" i="1"/>
  <c r="X118" i="1"/>
  <c r="W118" i="1"/>
  <c r="U118" i="1"/>
  <c r="T118" i="1"/>
  <c r="S118" i="1"/>
  <c r="R118" i="1"/>
  <c r="P118" i="1"/>
  <c r="O118" i="1"/>
  <c r="N118" i="1"/>
  <c r="M118" i="1"/>
  <c r="L118" i="1"/>
  <c r="K118" i="1"/>
  <c r="I118" i="1"/>
  <c r="H118" i="1"/>
  <c r="CX119" i="1"/>
  <c r="CN119" i="1"/>
  <c r="CI119" i="1"/>
  <c r="CF119" i="1"/>
  <c r="BR119" i="1"/>
  <c r="BO119" i="1"/>
  <c r="BI119" i="1"/>
  <c r="AF119" i="1"/>
  <c r="V119" i="1"/>
  <c r="Q119" i="1"/>
  <c r="J119" i="1"/>
  <c r="CX339" i="1"/>
  <c r="CX338" i="1" s="1"/>
  <c r="CN339" i="1"/>
  <c r="CI339" i="1"/>
  <c r="CF339" i="1"/>
  <c r="BR339" i="1"/>
  <c r="BO339" i="1"/>
  <c r="BI339" i="1"/>
  <c r="BE339" i="1"/>
  <c r="AF339" i="1"/>
  <c r="V339" i="1"/>
  <c r="Q339" i="1"/>
  <c r="J339" i="1"/>
  <c r="CZ338" i="1"/>
  <c r="CY338" i="1"/>
  <c r="CV338" i="1"/>
  <c r="CU338" i="1"/>
  <c r="CT338" i="1"/>
  <c r="CQ338" i="1"/>
  <c r="CO338" i="1"/>
  <c r="CM338" i="1"/>
  <c r="CJ338" i="1"/>
  <c r="CH338" i="1"/>
  <c r="CG338" i="1"/>
  <c r="CC338" i="1"/>
  <c r="CB338" i="1"/>
  <c r="CA338" i="1"/>
  <c r="BZ338" i="1"/>
  <c r="BY338" i="1"/>
  <c r="BX338" i="1"/>
  <c r="BW338" i="1"/>
  <c r="BV338" i="1"/>
  <c r="BU338" i="1"/>
  <c r="BT338" i="1"/>
  <c r="BS338" i="1"/>
  <c r="BP338" i="1"/>
  <c r="BN338" i="1"/>
  <c r="BM338" i="1"/>
  <c r="BL338" i="1"/>
  <c r="BJ338" i="1"/>
  <c r="BH338" i="1"/>
  <c r="BG338" i="1"/>
  <c r="BF338" i="1"/>
  <c r="BC338" i="1"/>
  <c r="BA338" i="1"/>
  <c r="AZ338" i="1"/>
  <c r="AY338" i="1"/>
  <c r="AX338" i="1"/>
  <c r="AW338" i="1"/>
  <c r="AV338" i="1"/>
  <c r="AU338" i="1"/>
  <c r="AT338" i="1"/>
  <c r="AS338" i="1"/>
  <c r="AQ338" i="1"/>
  <c r="AP338" i="1"/>
  <c r="AO338" i="1"/>
  <c r="AN338" i="1"/>
  <c r="AM338" i="1"/>
  <c r="AL338" i="1"/>
  <c r="AK338" i="1"/>
  <c r="AJ338" i="1"/>
  <c r="AI338" i="1"/>
  <c r="AH338" i="1"/>
  <c r="AG338" i="1"/>
  <c r="AE338" i="1"/>
  <c r="AD338" i="1"/>
  <c r="AC338" i="1"/>
  <c r="AB338" i="1"/>
  <c r="AA338" i="1"/>
  <c r="Z338" i="1"/>
  <c r="Y338" i="1"/>
  <c r="X338" i="1"/>
  <c r="W338" i="1"/>
  <c r="U338" i="1"/>
  <c r="T338" i="1"/>
  <c r="S338" i="1"/>
  <c r="R338" i="1"/>
  <c r="P338" i="1"/>
  <c r="O338" i="1"/>
  <c r="N338" i="1"/>
  <c r="M338" i="1"/>
  <c r="L338" i="1"/>
  <c r="K338" i="1"/>
  <c r="I338" i="1"/>
  <c r="H338" i="1"/>
  <c r="CX337" i="1"/>
  <c r="CN337" i="1"/>
  <c r="CI337" i="1"/>
  <c r="CF337" i="1"/>
  <c r="BR337" i="1"/>
  <c r="BO337" i="1"/>
  <c r="BI337" i="1"/>
  <c r="BE337" i="1"/>
  <c r="AF337" i="1"/>
  <c r="V337" i="1"/>
  <c r="Q337" i="1"/>
  <c r="J337" i="1"/>
  <c r="CZ336" i="1"/>
  <c r="CY336" i="1"/>
  <c r="CV336" i="1"/>
  <c r="CU336" i="1"/>
  <c r="CT336" i="1"/>
  <c r="CQ336" i="1"/>
  <c r="CO336" i="1"/>
  <c r="CM336" i="1"/>
  <c r="CJ336" i="1"/>
  <c r="CH336" i="1"/>
  <c r="CG336" i="1"/>
  <c r="CC336" i="1"/>
  <c r="CB336" i="1"/>
  <c r="CA336" i="1"/>
  <c r="BZ336" i="1"/>
  <c r="BY336" i="1"/>
  <c r="BX336" i="1"/>
  <c r="BW336" i="1"/>
  <c r="BV336" i="1"/>
  <c r="BU336" i="1"/>
  <c r="BT336" i="1"/>
  <c r="BS336" i="1"/>
  <c r="BP336" i="1"/>
  <c r="BN336" i="1"/>
  <c r="BM336" i="1"/>
  <c r="BL336" i="1"/>
  <c r="BJ336" i="1"/>
  <c r="BH336" i="1"/>
  <c r="BG336" i="1"/>
  <c r="BF336" i="1"/>
  <c r="BC336" i="1"/>
  <c r="BA336" i="1"/>
  <c r="AZ336" i="1"/>
  <c r="AY336" i="1"/>
  <c r="AX336" i="1"/>
  <c r="AW336" i="1"/>
  <c r="AV336" i="1"/>
  <c r="AU336" i="1"/>
  <c r="AT336" i="1"/>
  <c r="AS336" i="1"/>
  <c r="AQ336" i="1"/>
  <c r="AP336" i="1"/>
  <c r="AO336" i="1"/>
  <c r="AN336" i="1"/>
  <c r="AM336" i="1"/>
  <c r="AL336" i="1"/>
  <c r="AK336" i="1"/>
  <c r="AJ336" i="1"/>
  <c r="AI336" i="1"/>
  <c r="AH336" i="1"/>
  <c r="AG336" i="1"/>
  <c r="AE336" i="1"/>
  <c r="AD336" i="1"/>
  <c r="AC336" i="1"/>
  <c r="AB336" i="1"/>
  <c r="AA336" i="1"/>
  <c r="Z336" i="1"/>
  <c r="Y336" i="1"/>
  <c r="X336" i="1"/>
  <c r="W336" i="1"/>
  <c r="U336" i="1"/>
  <c r="T336" i="1"/>
  <c r="S336" i="1"/>
  <c r="R336" i="1"/>
  <c r="P336" i="1"/>
  <c r="O336" i="1"/>
  <c r="N336" i="1"/>
  <c r="M336" i="1"/>
  <c r="L336" i="1"/>
  <c r="K336" i="1"/>
  <c r="I336" i="1"/>
  <c r="H336" i="1"/>
  <c r="CX335" i="1"/>
  <c r="CN335" i="1"/>
  <c r="CI335" i="1"/>
  <c r="CF335" i="1"/>
  <c r="BR335" i="1"/>
  <c r="BO335" i="1"/>
  <c r="BI335" i="1"/>
  <c r="BE335" i="1"/>
  <c r="AF335" i="1"/>
  <c r="V335" i="1"/>
  <c r="Q335" i="1"/>
  <c r="J335" i="1"/>
  <c r="CZ334" i="1"/>
  <c r="CY334" i="1"/>
  <c r="CV334" i="1"/>
  <c r="CU334" i="1"/>
  <c r="CT334" i="1"/>
  <c r="CQ334" i="1"/>
  <c r="CO334" i="1"/>
  <c r="CM334" i="1"/>
  <c r="CJ334" i="1"/>
  <c r="CH334" i="1"/>
  <c r="CG334" i="1"/>
  <c r="CC334" i="1"/>
  <c r="CB334" i="1"/>
  <c r="CA334" i="1"/>
  <c r="BZ334" i="1"/>
  <c r="BY334" i="1"/>
  <c r="BX334" i="1"/>
  <c r="BW334" i="1"/>
  <c r="BV334" i="1"/>
  <c r="BU334" i="1"/>
  <c r="BT334" i="1"/>
  <c r="BS334" i="1"/>
  <c r="BP334" i="1"/>
  <c r="BN334" i="1"/>
  <c r="BM334" i="1"/>
  <c r="BL334" i="1"/>
  <c r="BJ334" i="1"/>
  <c r="BH334" i="1"/>
  <c r="BG334" i="1"/>
  <c r="BF334" i="1"/>
  <c r="BC334" i="1"/>
  <c r="BA334" i="1"/>
  <c r="AZ334" i="1"/>
  <c r="AY334" i="1"/>
  <c r="AX334" i="1"/>
  <c r="AW334" i="1"/>
  <c r="AV334" i="1"/>
  <c r="AU334" i="1"/>
  <c r="AT334" i="1"/>
  <c r="AS334" i="1"/>
  <c r="AQ334" i="1"/>
  <c r="AP334" i="1"/>
  <c r="AO334" i="1"/>
  <c r="AN334" i="1"/>
  <c r="AM334" i="1"/>
  <c r="AL334" i="1"/>
  <c r="AK334" i="1"/>
  <c r="AJ334" i="1"/>
  <c r="AI334" i="1"/>
  <c r="AH334" i="1"/>
  <c r="AG334" i="1"/>
  <c r="AE334" i="1"/>
  <c r="AD334" i="1"/>
  <c r="AC334" i="1"/>
  <c r="AB334" i="1"/>
  <c r="AA334" i="1"/>
  <c r="Z334" i="1"/>
  <c r="Y334" i="1"/>
  <c r="X334" i="1"/>
  <c r="W334" i="1"/>
  <c r="U334" i="1"/>
  <c r="T334" i="1"/>
  <c r="S334" i="1"/>
  <c r="R334" i="1"/>
  <c r="P334" i="1"/>
  <c r="O334" i="1"/>
  <c r="N334" i="1"/>
  <c r="M334" i="1"/>
  <c r="L334" i="1"/>
  <c r="K334" i="1"/>
  <c r="I334" i="1"/>
  <c r="H334" i="1"/>
  <c r="CX333" i="1"/>
  <c r="CN333" i="1"/>
  <c r="CI333" i="1"/>
  <c r="CF333" i="1"/>
  <c r="BR333" i="1"/>
  <c r="BO333" i="1"/>
  <c r="BI333" i="1"/>
  <c r="BE333" i="1"/>
  <c r="AF333" i="1"/>
  <c r="V333" i="1"/>
  <c r="Q333" i="1"/>
  <c r="J333" i="1"/>
  <c r="CZ332" i="1"/>
  <c r="CY332" i="1"/>
  <c r="CV332" i="1"/>
  <c r="CU332" i="1"/>
  <c r="CT332" i="1"/>
  <c r="CQ332" i="1"/>
  <c r="CO332" i="1"/>
  <c r="CM332" i="1"/>
  <c r="CJ332" i="1"/>
  <c r="CH332" i="1"/>
  <c r="CG332" i="1"/>
  <c r="CC332" i="1"/>
  <c r="CB332" i="1"/>
  <c r="CA332" i="1"/>
  <c r="BZ332" i="1"/>
  <c r="BY332" i="1"/>
  <c r="BX332" i="1"/>
  <c r="BW332" i="1"/>
  <c r="BV332" i="1"/>
  <c r="BU332" i="1"/>
  <c r="BT332" i="1"/>
  <c r="BS332" i="1"/>
  <c r="BP332" i="1"/>
  <c r="BN332" i="1"/>
  <c r="BM332" i="1"/>
  <c r="BL332" i="1"/>
  <c r="BJ332" i="1"/>
  <c r="BH332" i="1"/>
  <c r="BG332" i="1"/>
  <c r="BF332" i="1"/>
  <c r="BC332" i="1"/>
  <c r="BA332" i="1"/>
  <c r="AZ332" i="1"/>
  <c r="AY332" i="1"/>
  <c r="AX332" i="1"/>
  <c r="AW332" i="1"/>
  <c r="AV332" i="1"/>
  <c r="AU332" i="1"/>
  <c r="AT332" i="1"/>
  <c r="AS332" i="1"/>
  <c r="AQ332" i="1"/>
  <c r="AP332" i="1"/>
  <c r="AO332" i="1"/>
  <c r="AN332" i="1"/>
  <c r="AM332" i="1"/>
  <c r="AL332" i="1"/>
  <c r="AK332" i="1"/>
  <c r="AJ332" i="1"/>
  <c r="AI332" i="1"/>
  <c r="AH332" i="1"/>
  <c r="AG332" i="1"/>
  <c r="AE332" i="1"/>
  <c r="AD332" i="1"/>
  <c r="AC332" i="1"/>
  <c r="AB332" i="1"/>
  <c r="AA332" i="1"/>
  <c r="Z332" i="1"/>
  <c r="Y332" i="1"/>
  <c r="X332" i="1"/>
  <c r="W332" i="1"/>
  <c r="U332" i="1"/>
  <c r="T332" i="1"/>
  <c r="S332" i="1"/>
  <c r="R332" i="1"/>
  <c r="P332" i="1"/>
  <c r="O332" i="1"/>
  <c r="N332" i="1"/>
  <c r="M332" i="1"/>
  <c r="L332" i="1"/>
  <c r="K332" i="1"/>
  <c r="I332" i="1"/>
  <c r="H332" i="1"/>
  <c r="CX331" i="1"/>
  <c r="CN331" i="1"/>
  <c r="BR331" i="1"/>
  <c r="BO331" i="1"/>
  <c r="BI331" i="1"/>
  <c r="BE331" i="1"/>
  <c r="BC330" i="1"/>
  <c r="V331" i="1"/>
  <c r="Q331" i="1"/>
  <c r="P330" i="1"/>
  <c r="O330" i="1"/>
  <c r="K331" i="1"/>
  <c r="CQ330" i="1"/>
  <c r="CO330" i="1"/>
  <c r="CJ330" i="1"/>
  <c r="CG330" i="1"/>
  <c r="CC330" i="1"/>
  <c r="CB330" i="1"/>
  <c r="CA330" i="1"/>
  <c r="BZ330" i="1"/>
  <c r="BY330" i="1"/>
  <c r="BX330" i="1"/>
  <c r="BW330" i="1"/>
  <c r="BV330" i="1"/>
  <c r="BU330" i="1"/>
  <c r="BT330" i="1"/>
  <c r="BS330" i="1"/>
  <c r="BP330" i="1"/>
  <c r="BN330" i="1"/>
  <c r="BM330" i="1"/>
  <c r="BL330" i="1"/>
  <c r="BJ330" i="1"/>
  <c r="BH330" i="1"/>
  <c r="BG330" i="1"/>
  <c r="BF330" i="1"/>
  <c r="BA330" i="1"/>
  <c r="AZ330" i="1"/>
  <c r="AY330" i="1"/>
  <c r="AW330" i="1"/>
  <c r="AV330" i="1"/>
  <c r="AU330" i="1"/>
  <c r="AT330" i="1"/>
  <c r="AS330" i="1"/>
  <c r="AQ330" i="1"/>
  <c r="AP330" i="1"/>
  <c r="AO330" i="1"/>
  <c r="AN330" i="1"/>
  <c r="AM330" i="1"/>
  <c r="AL330" i="1"/>
  <c r="AK330" i="1"/>
  <c r="AJ330" i="1"/>
  <c r="AI330" i="1"/>
  <c r="AH330" i="1"/>
  <c r="AG330" i="1"/>
  <c r="AE330" i="1"/>
  <c r="AD330" i="1"/>
  <c r="AC330" i="1"/>
  <c r="AB330" i="1"/>
  <c r="AA330" i="1"/>
  <c r="Z330" i="1"/>
  <c r="Y330" i="1"/>
  <c r="X330" i="1"/>
  <c r="W330" i="1"/>
  <c r="U330" i="1"/>
  <c r="T330" i="1"/>
  <c r="S330" i="1"/>
  <c r="R330" i="1"/>
  <c r="N330" i="1"/>
  <c r="M330" i="1"/>
  <c r="L330" i="1"/>
  <c r="I330" i="1"/>
  <c r="H330" i="1"/>
  <c r="CX329" i="1"/>
  <c r="CN329" i="1"/>
  <c r="CI329" i="1"/>
  <c r="CF329" i="1"/>
  <c r="BR329" i="1"/>
  <c r="BO329" i="1"/>
  <c r="BI329" i="1"/>
  <c r="BE329" i="1"/>
  <c r="AF329" i="1"/>
  <c r="V329" i="1"/>
  <c r="Q329" i="1"/>
  <c r="J329" i="1"/>
  <c r="CZ328" i="1"/>
  <c r="CY328" i="1"/>
  <c r="CV328" i="1"/>
  <c r="CU328" i="1"/>
  <c r="CT328" i="1"/>
  <c r="CQ328" i="1"/>
  <c r="CO328" i="1"/>
  <c r="CM328" i="1"/>
  <c r="CJ328" i="1"/>
  <c r="CH328" i="1"/>
  <c r="CG328" i="1"/>
  <c r="CC328" i="1"/>
  <c r="CB328" i="1"/>
  <c r="CA328" i="1"/>
  <c r="BZ328" i="1"/>
  <c r="BY328" i="1"/>
  <c r="BX328" i="1"/>
  <c r="BW328" i="1"/>
  <c r="BV328" i="1"/>
  <c r="BU328" i="1"/>
  <c r="BT328" i="1"/>
  <c r="BS328" i="1"/>
  <c r="BP328" i="1"/>
  <c r="BN328" i="1"/>
  <c r="BM328" i="1"/>
  <c r="BL328" i="1"/>
  <c r="BJ328" i="1"/>
  <c r="BH328" i="1"/>
  <c r="BG328" i="1"/>
  <c r="BF328" i="1"/>
  <c r="BC328" i="1"/>
  <c r="BA328" i="1"/>
  <c r="AZ328" i="1"/>
  <c r="AY328" i="1"/>
  <c r="AX328" i="1"/>
  <c r="AW328" i="1"/>
  <c r="AV328" i="1"/>
  <c r="AU328" i="1"/>
  <c r="AT328" i="1"/>
  <c r="AS328" i="1"/>
  <c r="AQ328" i="1"/>
  <c r="AP328" i="1"/>
  <c r="AO328" i="1"/>
  <c r="AN328" i="1"/>
  <c r="AM328" i="1"/>
  <c r="AL328" i="1"/>
  <c r="AK328" i="1"/>
  <c r="AJ328" i="1"/>
  <c r="AI328" i="1"/>
  <c r="AH328" i="1"/>
  <c r="AG328" i="1"/>
  <c r="AE328" i="1"/>
  <c r="AD328" i="1"/>
  <c r="AC328" i="1"/>
  <c r="AB328" i="1"/>
  <c r="AA328" i="1"/>
  <c r="Z328" i="1"/>
  <c r="Y328" i="1"/>
  <c r="X328" i="1"/>
  <c r="W328" i="1"/>
  <c r="U328" i="1"/>
  <c r="T328" i="1"/>
  <c r="S328" i="1"/>
  <c r="R328" i="1"/>
  <c r="P328" i="1"/>
  <c r="O328" i="1"/>
  <c r="N328" i="1"/>
  <c r="M328" i="1"/>
  <c r="L328" i="1"/>
  <c r="K328" i="1"/>
  <c r="I328" i="1"/>
  <c r="H328" i="1"/>
  <c r="CX327" i="1"/>
  <c r="CN327" i="1"/>
  <c r="CI327" i="1"/>
  <c r="CF327" i="1"/>
  <c r="BR327" i="1"/>
  <c r="BO327" i="1"/>
  <c r="BE327" i="1"/>
  <c r="AF327" i="1"/>
  <c r="V327" i="1"/>
  <c r="Q327" i="1"/>
  <c r="J327" i="1"/>
  <c r="CZ326" i="1"/>
  <c r="CY326" i="1"/>
  <c r="CV326" i="1"/>
  <c r="CU326" i="1"/>
  <c r="CT326" i="1"/>
  <c r="CQ326" i="1"/>
  <c r="CO326" i="1"/>
  <c r="CM326" i="1"/>
  <c r="CJ326" i="1"/>
  <c r="CH326" i="1"/>
  <c r="CG326" i="1"/>
  <c r="CC326" i="1"/>
  <c r="CB326" i="1"/>
  <c r="CA326" i="1"/>
  <c r="BZ326" i="1"/>
  <c r="BY326" i="1"/>
  <c r="BX326" i="1"/>
  <c r="BW326" i="1"/>
  <c r="BV326" i="1"/>
  <c r="BU326" i="1"/>
  <c r="BT326" i="1"/>
  <c r="BS326" i="1"/>
  <c r="BP326" i="1"/>
  <c r="BN326" i="1"/>
  <c r="BM326" i="1"/>
  <c r="BJ326" i="1"/>
  <c r="BH326" i="1"/>
  <c r="BG326" i="1"/>
  <c r="BF326" i="1"/>
  <c r="BC326" i="1"/>
  <c r="BA326" i="1"/>
  <c r="AZ326" i="1"/>
  <c r="AY326" i="1"/>
  <c r="AX326" i="1"/>
  <c r="AW326" i="1"/>
  <c r="AV326" i="1"/>
  <c r="AU326" i="1"/>
  <c r="AT326" i="1"/>
  <c r="AS326" i="1"/>
  <c r="AQ326" i="1"/>
  <c r="AP326" i="1"/>
  <c r="AO326" i="1"/>
  <c r="AN326" i="1"/>
  <c r="AM326" i="1"/>
  <c r="AL326" i="1"/>
  <c r="AK326" i="1"/>
  <c r="AJ326" i="1"/>
  <c r="AI326" i="1"/>
  <c r="AH326" i="1"/>
  <c r="AG326" i="1"/>
  <c r="AE326" i="1"/>
  <c r="AD326" i="1"/>
  <c r="AC326" i="1"/>
  <c r="AB326" i="1"/>
  <c r="AA326" i="1"/>
  <c r="Z326" i="1"/>
  <c r="Y326" i="1"/>
  <c r="X326" i="1"/>
  <c r="W326" i="1"/>
  <c r="U326" i="1"/>
  <c r="T326" i="1"/>
  <c r="S326" i="1"/>
  <c r="R326" i="1"/>
  <c r="P326" i="1"/>
  <c r="O326" i="1"/>
  <c r="N326" i="1"/>
  <c r="M326" i="1"/>
  <c r="L326" i="1"/>
  <c r="K326" i="1"/>
  <c r="I326" i="1"/>
  <c r="H326" i="1"/>
  <c r="CX325" i="1"/>
  <c r="CN325" i="1"/>
  <c r="CI325" i="1"/>
  <c r="CF325" i="1"/>
  <c r="BR325" i="1"/>
  <c r="BO325" i="1"/>
  <c r="BI325" i="1"/>
  <c r="BE325" i="1"/>
  <c r="AY325" i="1"/>
  <c r="V325" i="1"/>
  <c r="Q325" i="1"/>
  <c r="J325" i="1"/>
  <c r="CX313" i="1"/>
  <c r="CN313" i="1"/>
  <c r="CI313" i="1"/>
  <c r="CF313" i="1"/>
  <c r="BR313" i="1"/>
  <c r="BO313" i="1"/>
  <c r="BI313" i="1"/>
  <c r="BE313" i="1"/>
  <c r="AF313" i="1"/>
  <c r="V313" i="1"/>
  <c r="Q313" i="1"/>
  <c r="J313" i="1"/>
  <c r="CZ312" i="1"/>
  <c r="CY312" i="1"/>
  <c r="CV312" i="1"/>
  <c r="CU312" i="1"/>
  <c r="CT312" i="1"/>
  <c r="CQ312" i="1"/>
  <c r="CO312" i="1"/>
  <c r="CM312" i="1"/>
  <c r="CJ312" i="1"/>
  <c r="CH312" i="1"/>
  <c r="CG312" i="1"/>
  <c r="CC312" i="1"/>
  <c r="CB312" i="1"/>
  <c r="CA312" i="1"/>
  <c r="BZ312" i="1"/>
  <c r="BY312" i="1"/>
  <c r="BX312" i="1"/>
  <c r="BW312" i="1"/>
  <c r="BV312" i="1"/>
  <c r="BU312" i="1"/>
  <c r="BT312" i="1"/>
  <c r="BS312" i="1"/>
  <c r="BP312" i="1"/>
  <c r="BN312" i="1"/>
  <c r="BM312" i="1"/>
  <c r="BL312" i="1"/>
  <c r="BJ312" i="1"/>
  <c r="BH312" i="1"/>
  <c r="BG312" i="1"/>
  <c r="BF312" i="1"/>
  <c r="BC312" i="1"/>
  <c r="BA312" i="1"/>
  <c r="AZ312" i="1"/>
  <c r="AY312" i="1"/>
  <c r="AX312" i="1"/>
  <c r="AW312" i="1"/>
  <c r="AV312" i="1"/>
  <c r="AU312" i="1"/>
  <c r="AT312" i="1"/>
  <c r="AS312" i="1"/>
  <c r="AQ312" i="1"/>
  <c r="AP312" i="1"/>
  <c r="AO312" i="1"/>
  <c r="AN312" i="1"/>
  <c r="AM312" i="1"/>
  <c r="AL312" i="1"/>
  <c r="AK312" i="1"/>
  <c r="AJ312" i="1"/>
  <c r="AI312" i="1"/>
  <c r="AH312" i="1"/>
  <c r="AG312" i="1"/>
  <c r="AE312" i="1"/>
  <c r="AD312" i="1"/>
  <c r="AC312" i="1"/>
  <c r="AB312" i="1"/>
  <c r="AA312" i="1"/>
  <c r="Z312" i="1"/>
  <c r="Y312" i="1"/>
  <c r="X312" i="1"/>
  <c r="W312" i="1"/>
  <c r="U312" i="1"/>
  <c r="T312" i="1"/>
  <c r="S312" i="1"/>
  <c r="R312" i="1"/>
  <c r="P312" i="1"/>
  <c r="O312" i="1"/>
  <c r="N312" i="1"/>
  <c r="M312" i="1"/>
  <c r="L312" i="1"/>
  <c r="K312" i="1"/>
  <c r="I312" i="1"/>
  <c r="H312" i="1"/>
  <c r="CX310" i="1"/>
  <c r="CN310" i="1"/>
  <c r="CI310" i="1"/>
  <c r="CF310" i="1"/>
  <c r="BR310" i="1"/>
  <c r="BO310" i="1"/>
  <c r="BI310" i="1"/>
  <c r="BE310" i="1"/>
  <c r="AF310" i="1"/>
  <c r="V310" i="1"/>
  <c r="Q310" i="1"/>
  <c r="J310" i="1"/>
  <c r="CZ309" i="1"/>
  <c r="CY309" i="1"/>
  <c r="CV309" i="1"/>
  <c r="CU309" i="1"/>
  <c r="CT309" i="1"/>
  <c r="CQ309" i="1"/>
  <c r="CO309" i="1"/>
  <c r="CM309" i="1"/>
  <c r="CJ309" i="1"/>
  <c r="CH309" i="1"/>
  <c r="CG309" i="1"/>
  <c r="CC309" i="1"/>
  <c r="CB309" i="1"/>
  <c r="CA309" i="1"/>
  <c r="BZ309" i="1"/>
  <c r="BY309" i="1"/>
  <c r="BX309" i="1"/>
  <c r="BW309" i="1"/>
  <c r="BV309" i="1"/>
  <c r="BU309" i="1"/>
  <c r="BT309" i="1"/>
  <c r="BS309" i="1"/>
  <c r="BP309" i="1"/>
  <c r="BN309" i="1"/>
  <c r="BM309" i="1"/>
  <c r="BL309" i="1"/>
  <c r="BJ309" i="1"/>
  <c r="BH309" i="1"/>
  <c r="BG309" i="1"/>
  <c r="BF309" i="1"/>
  <c r="BC309" i="1"/>
  <c r="BA309" i="1"/>
  <c r="AZ309" i="1"/>
  <c r="AY309" i="1"/>
  <c r="AX309" i="1"/>
  <c r="AW309" i="1"/>
  <c r="AV309" i="1"/>
  <c r="AU309" i="1"/>
  <c r="AT309" i="1"/>
  <c r="AS309" i="1"/>
  <c r="AQ309" i="1"/>
  <c r="AP309" i="1"/>
  <c r="AO309" i="1"/>
  <c r="AN309" i="1"/>
  <c r="AM309" i="1"/>
  <c r="AL309" i="1"/>
  <c r="AK309" i="1"/>
  <c r="AJ309" i="1"/>
  <c r="AI309" i="1"/>
  <c r="AH309" i="1"/>
  <c r="AG309" i="1"/>
  <c r="AE309" i="1"/>
  <c r="AD309" i="1"/>
  <c r="AC309" i="1"/>
  <c r="AB309" i="1"/>
  <c r="AA309" i="1"/>
  <c r="Z309" i="1"/>
  <c r="Y309" i="1"/>
  <c r="X309" i="1"/>
  <c r="W309" i="1"/>
  <c r="U309" i="1"/>
  <c r="T309" i="1"/>
  <c r="S309" i="1"/>
  <c r="R309" i="1"/>
  <c r="P309" i="1"/>
  <c r="O309" i="1"/>
  <c r="N309" i="1"/>
  <c r="M309" i="1"/>
  <c r="L309" i="1"/>
  <c r="K309" i="1"/>
  <c r="I309" i="1"/>
  <c r="H309" i="1"/>
  <c r="CX308" i="1"/>
  <c r="CN308" i="1"/>
  <c r="CI308" i="1"/>
  <c r="CF308" i="1"/>
  <c r="BR308" i="1"/>
  <c r="BO308" i="1"/>
  <c r="BI308" i="1"/>
  <c r="BE308" i="1"/>
  <c r="AF308" i="1"/>
  <c r="V308" i="1"/>
  <c r="Q308" i="1"/>
  <c r="J308" i="1"/>
  <c r="CZ307" i="1"/>
  <c r="CY307" i="1"/>
  <c r="CV307" i="1"/>
  <c r="CU307" i="1"/>
  <c r="CT307" i="1"/>
  <c r="CQ307" i="1"/>
  <c r="CO307" i="1"/>
  <c r="CM307" i="1"/>
  <c r="CJ307" i="1"/>
  <c r="CH307" i="1"/>
  <c r="CG307" i="1"/>
  <c r="CC307" i="1"/>
  <c r="CB307" i="1"/>
  <c r="CA307" i="1"/>
  <c r="BZ307" i="1"/>
  <c r="BY307" i="1"/>
  <c r="BX307" i="1"/>
  <c r="BW307" i="1"/>
  <c r="BV307" i="1"/>
  <c r="BU307" i="1"/>
  <c r="BT307" i="1"/>
  <c r="BS307" i="1"/>
  <c r="BP307" i="1"/>
  <c r="BN307" i="1"/>
  <c r="BM307" i="1"/>
  <c r="BL307" i="1"/>
  <c r="BJ307" i="1"/>
  <c r="BH307" i="1"/>
  <c r="BG307" i="1"/>
  <c r="BF307" i="1"/>
  <c r="BC307" i="1"/>
  <c r="BA307" i="1"/>
  <c r="AZ307" i="1"/>
  <c r="AY307" i="1"/>
  <c r="AX307" i="1"/>
  <c r="AW307" i="1"/>
  <c r="AV307" i="1"/>
  <c r="AU307" i="1"/>
  <c r="AT307" i="1"/>
  <c r="AS307" i="1"/>
  <c r="AQ307" i="1"/>
  <c r="AP307" i="1"/>
  <c r="AO307" i="1"/>
  <c r="AN307" i="1"/>
  <c r="AM307" i="1"/>
  <c r="AL307" i="1"/>
  <c r="AK307" i="1"/>
  <c r="AJ307" i="1"/>
  <c r="AI307" i="1"/>
  <c r="AH307" i="1"/>
  <c r="AG307" i="1"/>
  <c r="AE307" i="1"/>
  <c r="AD307" i="1"/>
  <c r="AC307" i="1"/>
  <c r="AB307" i="1"/>
  <c r="AA307" i="1"/>
  <c r="Z307" i="1"/>
  <c r="Y307" i="1"/>
  <c r="X307" i="1"/>
  <c r="W307" i="1"/>
  <c r="U307" i="1"/>
  <c r="T307" i="1"/>
  <c r="S307" i="1"/>
  <c r="R307" i="1"/>
  <c r="P307" i="1"/>
  <c r="O307" i="1"/>
  <c r="N307" i="1"/>
  <c r="M307" i="1"/>
  <c r="L307" i="1"/>
  <c r="K307" i="1"/>
  <c r="I307" i="1"/>
  <c r="H307" i="1"/>
  <c r="CX306" i="1"/>
  <c r="CN306" i="1"/>
  <c r="CI306" i="1"/>
  <c r="CF306" i="1"/>
  <c r="BR306" i="1"/>
  <c r="BO306" i="1"/>
  <c r="BI306" i="1"/>
  <c r="BE306" i="1"/>
  <c r="AF306" i="1"/>
  <c r="V306" i="1"/>
  <c r="Q306" i="1"/>
  <c r="J306" i="1"/>
  <c r="CX300" i="1"/>
  <c r="CN300" i="1"/>
  <c r="CI300" i="1"/>
  <c r="CF300" i="1"/>
  <c r="BR300" i="1"/>
  <c r="BO300" i="1"/>
  <c r="BI300" i="1"/>
  <c r="BE300" i="1"/>
  <c r="AF300" i="1"/>
  <c r="V300" i="1"/>
  <c r="Q300" i="1"/>
  <c r="J300" i="1"/>
  <c r="CX296" i="1"/>
  <c r="CN296" i="1"/>
  <c r="CI296" i="1"/>
  <c r="CF296" i="1"/>
  <c r="BR296" i="1"/>
  <c r="BO296" i="1"/>
  <c r="BI296" i="1"/>
  <c r="BE296" i="1"/>
  <c r="AF296" i="1"/>
  <c r="V296" i="1"/>
  <c r="Q296" i="1"/>
  <c r="J296" i="1"/>
  <c r="CX295" i="1"/>
  <c r="CN295" i="1"/>
  <c r="CI295" i="1"/>
  <c r="CF295" i="1"/>
  <c r="BR295" i="1"/>
  <c r="BO295" i="1"/>
  <c r="BI295" i="1"/>
  <c r="BE295" i="1"/>
  <c r="AF295" i="1"/>
  <c r="V295" i="1"/>
  <c r="Q295" i="1"/>
  <c r="J295" i="1"/>
  <c r="CX294" i="1"/>
  <c r="CN294" i="1"/>
  <c r="CI294" i="1"/>
  <c r="CF294" i="1"/>
  <c r="BR294" i="1"/>
  <c r="BO294" i="1"/>
  <c r="BI294" i="1"/>
  <c r="BE294" i="1"/>
  <c r="AF294" i="1"/>
  <c r="V294" i="1"/>
  <c r="Q294" i="1"/>
  <c r="J294" i="1"/>
  <c r="CX293" i="1"/>
  <c r="CN293" i="1"/>
  <c r="CI293" i="1"/>
  <c r="CF293" i="1"/>
  <c r="BR293" i="1"/>
  <c r="BO293" i="1"/>
  <c r="BI293" i="1"/>
  <c r="BE293" i="1"/>
  <c r="AF293" i="1"/>
  <c r="V293" i="1"/>
  <c r="Q293" i="1"/>
  <c r="J293" i="1"/>
  <c r="CX292" i="1"/>
  <c r="CN292" i="1"/>
  <c r="CI292" i="1"/>
  <c r="CF292" i="1"/>
  <c r="BR292" i="1"/>
  <c r="BO292" i="1"/>
  <c r="BI292" i="1"/>
  <c r="BE292" i="1"/>
  <c r="AF292" i="1"/>
  <c r="V292" i="1"/>
  <c r="Q292" i="1"/>
  <c r="J292" i="1"/>
  <c r="CX291" i="1"/>
  <c r="CN291" i="1"/>
  <c r="CI291" i="1"/>
  <c r="CF291" i="1"/>
  <c r="BR291" i="1"/>
  <c r="BO291" i="1"/>
  <c r="BI291" i="1"/>
  <c r="BE291" i="1"/>
  <c r="AF291" i="1"/>
  <c r="V291" i="1"/>
  <c r="Q291" i="1"/>
  <c r="J291" i="1"/>
  <c r="CX289" i="1"/>
  <c r="CN289" i="1"/>
  <c r="CI289" i="1"/>
  <c r="CF289" i="1"/>
  <c r="BR289" i="1"/>
  <c r="BO289" i="1"/>
  <c r="BI289" i="1"/>
  <c r="BE289" i="1"/>
  <c r="AF289" i="1"/>
  <c r="V289" i="1"/>
  <c r="Q289" i="1"/>
  <c r="J289" i="1"/>
  <c r="CX287" i="1"/>
  <c r="CN287" i="1"/>
  <c r="CI287" i="1"/>
  <c r="CF287" i="1"/>
  <c r="BR287" i="1"/>
  <c r="BO287" i="1"/>
  <c r="BI287" i="1"/>
  <c r="BE287" i="1"/>
  <c r="AF287" i="1"/>
  <c r="V287" i="1"/>
  <c r="Q287" i="1"/>
  <c r="J287" i="1"/>
  <c r="CX284" i="1"/>
  <c r="CN284" i="1"/>
  <c r="CI284" i="1"/>
  <c r="CF284" i="1"/>
  <c r="BR284" i="1"/>
  <c r="BO284" i="1"/>
  <c r="BI284" i="1"/>
  <c r="BE284" i="1"/>
  <c r="AF284" i="1"/>
  <c r="V284" i="1"/>
  <c r="Q284" i="1"/>
  <c r="J284" i="1"/>
  <c r="CZ283" i="1"/>
  <c r="CY283" i="1"/>
  <c r="CV283" i="1"/>
  <c r="CU283" i="1"/>
  <c r="CT283" i="1"/>
  <c r="CQ283" i="1"/>
  <c r="CO283" i="1"/>
  <c r="CM283" i="1"/>
  <c r="CJ283" i="1"/>
  <c r="CH283" i="1"/>
  <c r="CG283" i="1"/>
  <c r="CC283" i="1"/>
  <c r="CB283" i="1"/>
  <c r="CA283" i="1"/>
  <c r="BZ283" i="1"/>
  <c r="BY283" i="1"/>
  <c r="BX283" i="1"/>
  <c r="BW283" i="1"/>
  <c r="BV283" i="1"/>
  <c r="BU283" i="1"/>
  <c r="BT283" i="1"/>
  <c r="BS283" i="1"/>
  <c r="BP283" i="1"/>
  <c r="BN283" i="1"/>
  <c r="BM283" i="1"/>
  <c r="BL283" i="1"/>
  <c r="BJ283" i="1"/>
  <c r="BH283" i="1"/>
  <c r="BG283" i="1"/>
  <c r="BF283" i="1"/>
  <c r="BC283" i="1"/>
  <c r="BA283" i="1"/>
  <c r="AZ283" i="1"/>
  <c r="AY283" i="1"/>
  <c r="AX283" i="1"/>
  <c r="AW283" i="1"/>
  <c r="AV283" i="1"/>
  <c r="AU283" i="1"/>
  <c r="AT283" i="1"/>
  <c r="AS283" i="1"/>
  <c r="AQ283" i="1"/>
  <c r="AP283" i="1"/>
  <c r="AO283" i="1"/>
  <c r="AN283" i="1"/>
  <c r="AM283" i="1"/>
  <c r="AL283" i="1"/>
  <c r="AK283" i="1"/>
  <c r="AJ283" i="1"/>
  <c r="AI283" i="1"/>
  <c r="AH283" i="1"/>
  <c r="AG283" i="1"/>
  <c r="AD283" i="1"/>
  <c r="AC283" i="1"/>
  <c r="AB283" i="1"/>
  <c r="AA283" i="1"/>
  <c r="Z283" i="1"/>
  <c r="Y283" i="1"/>
  <c r="X283" i="1"/>
  <c r="W283" i="1"/>
  <c r="U283" i="1"/>
  <c r="T283" i="1"/>
  <c r="S283" i="1"/>
  <c r="R283" i="1"/>
  <c r="P283" i="1"/>
  <c r="O283" i="1"/>
  <c r="N283" i="1"/>
  <c r="M283" i="1"/>
  <c r="L283" i="1"/>
  <c r="K283" i="1"/>
  <c r="I283" i="1"/>
  <c r="H283" i="1"/>
  <c r="CX282" i="1"/>
  <c r="CN282" i="1"/>
  <c r="CI282" i="1"/>
  <c r="BR282" i="1"/>
  <c r="BO282" i="1"/>
  <c r="BI282" i="1"/>
  <c r="BE282" i="1"/>
  <c r="Q282" i="1"/>
  <c r="CX279" i="1"/>
  <c r="CN279" i="1"/>
  <c r="CI279" i="1"/>
  <c r="CF279" i="1"/>
  <c r="BR279" i="1"/>
  <c r="BO279" i="1"/>
  <c r="BI279" i="1"/>
  <c r="BE279" i="1"/>
  <c r="AF279" i="1"/>
  <c r="V279" i="1"/>
  <c r="Q279" i="1"/>
  <c r="J279" i="1"/>
  <c r="CX278" i="1"/>
  <c r="CN278" i="1"/>
  <c r="CI278" i="1"/>
  <c r="CF278" i="1"/>
  <c r="BR278" i="1"/>
  <c r="BO278" i="1"/>
  <c r="BI278" i="1"/>
  <c r="BE278" i="1"/>
  <c r="AF278" i="1"/>
  <c r="V278" i="1"/>
  <c r="Q278" i="1"/>
  <c r="J278" i="1"/>
  <c r="CX277" i="1"/>
  <c r="CN277" i="1"/>
  <c r="CI277" i="1"/>
  <c r="CF277" i="1"/>
  <c r="BR277" i="1"/>
  <c r="BO277" i="1"/>
  <c r="BI277" i="1"/>
  <c r="BE277" i="1"/>
  <c r="AF277" i="1"/>
  <c r="V277" i="1"/>
  <c r="Q277" i="1"/>
  <c r="J277" i="1"/>
  <c r="CX276" i="1"/>
  <c r="CN276" i="1"/>
  <c r="CI276" i="1"/>
  <c r="CF276" i="1"/>
  <c r="BR276" i="1"/>
  <c r="BO276" i="1"/>
  <c r="BI276" i="1"/>
  <c r="BE276" i="1"/>
  <c r="AF276" i="1"/>
  <c r="V276" i="1"/>
  <c r="Q276" i="1"/>
  <c r="J276" i="1"/>
  <c r="CX275" i="1"/>
  <c r="CN275" i="1"/>
  <c r="CI275" i="1"/>
  <c r="CF275" i="1"/>
  <c r="BR275" i="1"/>
  <c r="BO275" i="1"/>
  <c r="BI275" i="1"/>
  <c r="BE275" i="1"/>
  <c r="AF275" i="1"/>
  <c r="V275" i="1"/>
  <c r="Q275" i="1"/>
  <c r="J275" i="1"/>
  <c r="CX274" i="1"/>
  <c r="CN274" i="1"/>
  <c r="CI274" i="1"/>
  <c r="CF274" i="1"/>
  <c r="BR274" i="1"/>
  <c r="BO274" i="1"/>
  <c r="BI274" i="1"/>
  <c r="BE274" i="1"/>
  <c r="AF274" i="1"/>
  <c r="V274" i="1"/>
  <c r="Q274" i="1"/>
  <c r="J274" i="1"/>
  <c r="CX273" i="1"/>
  <c r="CN273" i="1"/>
  <c r="CI273" i="1"/>
  <c r="CF273" i="1"/>
  <c r="BR273" i="1"/>
  <c r="BO273" i="1"/>
  <c r="BI273" i="1"/>
  <c r="BE273" i="1"/>
  <c r="AF273" i="1"/>
  <c r="V273" i="1"/>
  <c r="Q273" i="1"/>
  <c r="J273" i="1"/>
  <c r="CX272" i="1"/>
  <c r="CN272" i="1"/>
  <c r="CI272" i="1"/>
  <c r="CF272" i="1"/>
  <c r="BR272" i="1"/>
  <c r="BO272" i="1"/>
  <c r="BI272" i="1"/>
  <c r="BE272" i="1"/>
  <c r="AF272" i="1"/>
  <c r="V272" i="1"/>
  <c r="Q272" i="1"/>
  <c r="J272" i="1"/>
  <c r="CX271" i="1"/>
  <c r="CN271" i="1"/>
  <c r="CI271" i="1"/>
  <c r="CF271" i="1"/>
  <c r="BR271" i="1"/>
  <c r="BO271" i="1"/>
  <c r="BI271" i="1"/>
  <c r="BE271" i="1"/>
  <c r="AF271" i="1"/>
  <c r="V271" i="1"/>
  <c r="Q271" i="1"/>
  <c r="J271" i="1"/>
  <c r="CX270" i="1"/>
  <c r="CN270" i="1"/>
  <c r="CI270" i="1"/>
  <c r="CF270" i="1"/>
  <c r="BR270" i="1"/>
  <c r="BO270" i="1"/>
  <c r="BI270" i="1"/>
  <c r="BE270" i="1"/>
  <c r="AF270" i="1"/>
  <c r="V270" i="1"/>
  <c r="Q270" i="1"/>
  <c r="J270" i="1"/>
  <c r="CX269" i="1"/>
  <c r="CN269" i="1"/>
  <c r="CI269" i="1"/>
  <c r="CF269" i="1"/>
  <c r="BR269" i="1"/>
  <c r="BO269" i="1"/>
  <c r="BI269" i="1"/>
  <c r="BE269" i="1"/>
  <c r="AF269" i="1"/>
  <c r="V269" i="1"/>
  <c r="Q269" i="1"/>
  <c r="J269" i="1"/>
  <c r="CX268" i="1"/>
  <c r="CN268" i="1"/>
  <c r="CI268" i="1"/>
  <c r="CF268" i="1"/>
  <c r="BR268" i="1"/>
  <c r="BO268" i="1"/>
  <c r="BI268" i="1"/>
  <c r="BE268" i="1"/>
  <c r="AF268" i="1"/>
  <c r="V268" i="1"/>
  <c r="Q268" i="1"/>
  <c r="J268" i="1"/>
  <c r="CX267" i="1"/>
  <c r="CN267" i="1"/>
  <c r="CI267" i="1"/>
  <c r="CF267" i="1"/>
  <c r="BR267" i="1"/>
  <c r="BO267" i="1"/>
  <c r="BI267" i="1"/>
  <c r="BE267" i="1"/>
  <c r="AF267" i="1"/>
  <c r="V267" i="1"/>
  <c r="Q267" i="1"/>
  <c r="J267" i="1"/>
  <c r="CX266" i="1"/>
  <c r="CN266" i="1"/>
  <c r="CI266" i="1"/>
  <c r="CF266" i="1"/>
  <c r="BR266" i="1"/>
  <c r="BO266" i="1"/>
  <c r="BI266" i="1"/>
  <c r="BE266" i="1"/>
  <c r="AF266" i="1"/>
  <c r="V266" i="1"/>
  <c r="Q266" i="1"/>
  <c r="J266" i="1"/>
  <c r="CX265" i="1"/>
  <c r="CN265" i="1"/>
  <c r="CI265" i="1"/>
  <c r="CF265" i="1"/>
  <c r="BR265" i="1"/>
  <c r="BO265" i="1"/>
  <c r="BI265" i="1"/>
  <c r="BE265" i="1"/>
  <c r="AF265" i="1"/>
  <c r="V265" i="1"/>
  <c r="Q265" i="1"/>
  <c r="J265" i="1"/>
  <c r="CX264" i="1"/>
  <c r="CN264" i="1"/>
  <c r="CI264" i="1"/>
  <c r="CF264" i="1"/>
  <c r="BR264" i="1"/>
  <c r="BO264" i="1"/>
  <c r="BI264" i="1"/>
  <c r="BE264" i="1"/>
  <c r="AF264" i="1"/>
  <c r="V264" i="1"/>
  <c r="Q264" i="1"/>
  <c r="J264" i="1"/>
  <c r="CX263" i="1"/>
  <c r="CN263" i="1"/>
  <c r="CI263" i="1"/>
  <c r="CF263" i="1"/>
  <c r="BR263" i="1"/>
  <c r="BO263" i="1"/>
  <c r="BI263" i="1"/>
  <c r="BE263" i="1"/>
  <c r="AF263" i="1"/>
  <c r="V263" i="1"/>
  <c r="Q263" i="1"/>
  <c r="J263" i="1"/>
  <c r="CX262" i="1"/>
  <c r="CN262" i="1"/>
  <c r="CI262" i="1"/>
  <c r="CF262" i="1"/>
  <c r="BR262" i="1"/>
  <c r="BO262" i="1"/>
  <c r="BI262" i="1"/>
  <c r="BE262" i="1"/>
  <c r="AF262" i="1"/>
  <c r="V262" i="1"/>
  <c r="Q262" i="1"/>
  <c r="J262" i="1"/>
  <c r="CX261" i="1"/>
  <c r="CN261" i="1"/>
  <c r="CI261" i="1"/>
  <c r="CF261" i="1"/>
  <c r="BR261" i="1"/>
  <c r="BO261" i="1"/>
  <c r="BI261" i="1"/>
  <c r="BE261" i="1"/>
  <c r="AF261" i="1"/>
  <c r="V261" i="1"/>
  <c r="Q261" i="1"/>
  <c r="J261" i="1"/>
  <c r="CX260" i="1"/>
  <c r="CN260" i="1"/>
  <c r="CI260" i="1"/>
  <c r="CF260" i="1"/>
  <c r="BR260" i="1"/>
  <c r="BO260" i="1"/>
  <c r="BI260" i="1"/>
  <c r="BE260" i="1"/>
  <c r="AF260" i="1"/>
  <c r="V260" i="1"/>
  <c r="Q260" i="1"/>
  <c r="J260" i="1"/>
  <c r="CX259" i="1"/>
  <c r="CN259" i="1"/>
  <c r="CI259" i="1"/>
  <c r="CF259" i="1"/>
  <c r="BR259" i="1"/>
  <c r="BO259" i="1"/>
  <c r="BI259" i="1"/>
  <c r="BE259" i="1"/>
  <c r="AF259" i="1"/>
  <c r="V259" i="1"/>
  <c r="Q259" i="1"/>
  <c r="J259" i="1"/>
  <c r="CX258" i="1"/>
  <c r="CN258" i="1"/>
  <c r="CI258" i="1"/>
  <c r="CF258" i="1"/>
  <c r="BR258" i="1"/>
  <c r="BO258" i="1"/>
  <c r="BI258" i="1"/>
  <c r="BE258" i="1"/>
  <c r="AF258" i="1"/>
  <c r="V258" i="1"/>
  <c r="Q258" i="1"/>
  <c r="J258" i="1"/>
  <c r="CX257" i="1"/>
  <c r="CN257" i="1"/>
  <c r="CI257" i="1"/>
  <c r="CF257" i="1"/>
  <c r="BR257" i="1"/>
  <c r="BO257" i="1"/>
  <c r="BI257" i="1"/>
  <c r="BE257" i="1"/>
  <c r="AF257" i="1"/>
  <c r="V257" i="1"/>
  <c r="Q257" i="1"/>
  <c r="J257" i="1"/>
  <c r="CY256" i="1"/>
  <c r="CV256" i="1"/>
  <c r="CU256" i="1"/>
  <c r="CT256" i="1"/>
  <c r="CQ256" i="1"/>
  <c r="CM256" i="1"/>
  <c r="CJ256" i="1"/>
  <c r="CG256" i="1"/>
  <c r="CC256" i="1"/>
  <c r="CB256" i="1"/>
  <c r="CA256" i="1"/>
  <c r="BZ256" i="1"/>
  <c r="BY256" i="1"/>
  <c r="BX256" i="1"/>
  <c r="BW256" i="1"/>
  <c r="BV256" i="1"/>
  <c r="BU256" i="1"/>
  <c r="BT256" i="1"/>
  <c r="BS256" i="1"/>
  <c r="BP256" i="1"/>
  <c r="BN256" i="1"/>
  <c r="BM256" i="1"/>
  <c r="BL256" i="1"/>
  <c r="BJ256" i="1"/>
  <c r="BH256" i="1"/>
  <c r="BG256" i="1"/>
  <c r="BF256" i="1"/>
  <c r="BA256" i="1"/>
  <c r="AZ256" i="1"/>
  <c r="AY256" i="1"/>
  <c r="AX256" i="1"/>
  <c r="AW256" i="1"/>
  <c r="AV256" i="1"/>
  <c r="AU256" i="1"/>
  <c r="AT256" i="1"/>
  <c r="AS256" i="1"/>
  <c r="AQ256" i="1"/>
  <c r="AP256" i="1"/>
  <c r="AO256" i="1"/>
  <c r="AN256" i="1"/>
  <c r="AM256" i="1"/>
  <c r="AK256" i="1"/>
  <c r="AH256" i="1"/>
  <c r="AG256" i="1"/>
  <c r="AE256" i="1"/>
  <c r="AC256" i="1"/>
  <c r="T256" i="1"/>
  <c r="R256" i="1"/>
  <c r="N256" i="1"/>
  <c r="M256" i="1"/>
  <c r="L256" i="1"/>
  <c r="I256" i="1"/>
  <c r="H256" i="1"/>
  <c r="CX253" i="1"/>
  <c r="CN253" i="1"/>
  <c r="CI253" i="1"/>
  <c r="CF253" i="1"/>
  <c r="BR253" i="1"/>
  <c r="BO253" i="1"/>
  <c r="BI253" i="1"/>
  <c r="BE253" i="1"/>
  <c r="AF253" i="1"/>
  <c r="V253" i="1"/>
  <c r="Q253" i="1"/>
  <c r="J253" i="1"/>
  <c r="CX252" i="1"/>
  <c r="CN252" i="1"/>
  <c r="CI252" i="1"/>
  <c r="CF252" i="1"/>
  <c r="BR252" i="1"/>
  <c r="BO252" i="1"/>
  <c r="BM252" i="1"/>
  <c r="BI252" i="1"/>
  <c r="BE252" i="1"/>
  <c r="AF252" i="1"/>
  <c r="V252" i="1"/>
  <c r="Q252" i="1"/>
  <c r="P252" i="1"/>
  <c r="CX247" i="1"/>
  <c r="CT247" i="1"/>
  <c r="CN247" i="1"/>
  <c r="CI247" i="1"/>
  <c r="CF247" i="1"/>
  <c r="BR247" i="1"/>
  <c r="BO247" i="1"/>
  <c r="BI247" i="1"/>
  <c r="BE247" i="1"/>
  <c r="AF247" i="1"/>
  <c r="V247" i="1"/>
  <c r="Q247" i="1"/>
  <c r="J247" i="1"/>
  <c r="CX242" i="1"/>
  <c r="CN242" i="1"/>
  <c r="CI242" i="1"/>
  <c r="CF242" i="1"/>
  <c r="BR242" i="1"/>
  <c r="BO242" i="1"/>
  <c r="BI242" i="1"/>
  <c r="BE242" i="1"/>
  <c r="AF242" i="1"/>
  <c r="V242" i="1"/>
  <c r="Q242" i="1"/>
  <c r="J242" i="1"/>
  <c r="CX237" i="1"/>
  <c r="CN237" i="1"/>
  <c r="CI237" i="1"/>
  <c r="CF237" i="1"/>
  <c r="BR237" i="1"/>
  <c r="BO237" i="1"/>
  <c r="BI237" i="1"/>
  <c r="BE237" i="1"/>
  <c r="AF237" i="1"/>
  <c r="V237" i="1"/>
  <c r="Q237" i="1"/>
  <c r="J237" i="1"/>
  <c r="CX235" i="1"/>
  <c r="CN235" i="1"/>
  <c r="CI235" i="1"/>
  <c r="CF235" i="1"/>
  <c r="BR235" i="1"/>
  <c r="BO235" i="1"/>
  <c r="BI235" i="1"/>
  <c r="BE235" i="1"/>
  <c r="AF235" i="1"/>
  <c r="V235" i="1"/>
  <c r="Q235" i="1"/>
  <c r="J235" i="1"/>
  <c r="CX233" i="1"/>
  <c r="CN233" i="1"/>
  <c r="CI233" i="1"/>
  <c r="CF233" i="1"/>
  <c r="BR233" i="1"/>
  <c r="BO233" i="1"/>
  <c r="BI233" i="1"/>
  <c r="BE233" i="1"/>
  <c r="V233" i="1"/>
  <c r="Q233" i="1"/>
  <c r="J233" i="1"/>
  <c r="I232" i="1"/>
  <c r="CZ232" i="1"/>
  <c r="CY232" i="1"/>
  <c r="CV232" i="1"/>
  <c r="CU232" i="1"/>
  <c r="CT232" i="1"/>
  <c r="CQ232" i="1"/>
  <c r="CO232" i="1"/>
  <c r="CM232" i="1"/>
  <c r="CJ232" i="1"/>
  <c r="CH232" i="1"/>
  <c r="CG232" i="1"/>
  <c r="CC232" i="1"/>
  <c r="CB232" i="1"/>
  <c r="CA232" i="1"/>
  <c r="BZ232" i="1"/>
  <c r="BY232" i="1"/>
  <c r="BX232" i="1"/>
  <c r="BW232" i="1"/>
  <c r="BV232" i="1"/>
  <c r="BU232" i="1"/>
  <c r="BT232" i="1"/>
  <c r="BS232" i="1"/>
  <c r="BP232" i="1"/>
  <c r="BN232" i="1"/>
  <c r="BM232" i="1"/>
  <c r="BL232" i="1"/>
  <c r="BJ232" i="1"/>
  <c r="BH232" i="1"/>
  <c r="BG232" i="1"/>
  <c r="BF232" i="1"/>
  <c r="BC232" i="1"/>
  <c r="BA232" i="1"/>
  <c r="AZ232" i="1"/>
  <c r="AX232" i="1"/>
  <c r="AU232" i="1"/>
  <c r="AT232" i="1"/>
  <c r="AS232" i="1"/>
  <c r="AQ232" i="1"/>
  <c r="AP232" i="1"/>
  <c r="AO232" i="1"/>
  <c r="AN232" i="1"/>
  <c r="AM232" i="1"/>
  <c r="AL232" i="1"/>
  <c r="AK232" i="1"/>
  <c r="AJ232" i="1"/>
  <c r="AI232" i="1"/>
  <c r="AH232" i="1"/>
  <c r="AG232" i="1"/>
  <c r="AE232" i="1"/>
  <c r="AD232" i="1"/>
  <c r="AC232" i="1"/>
  <c r="AB232" i="1"/>
  <c r="AA232" i="1"/>
  <c r="Z232" i="1"/>
  <c r="Y232" i="1"/>
  <c r="X232" i="1"/>
  <c r="W232" i="1"/>
  <c r="U232" i="1"/>
  <c r="T232" i="1"/>
  <c r="S232" i="1"/>
  <c r="R232" i="1"/>
  <c r="P232" i="1"/>
  <c r="O232" i="1"/>
  <c r="N232" i="1"/>
  <c r="M232" i="1"/>
  <c r="L232" i="1"/>
  <c r="K232" i="1"/>
  <c r="CX231" i="1"/>
  <c r="CN231" i="1"/>
  <c r="CI231" i="1"/>
  <c r="CF231" i="1"/>
  <c r="BR231" i="1"/>
  <c r="BO231" i="1"/>
  <c r="BI231" i="1"/>
  <c r="BE231" i="1"/>
  <c r="AF231" i="1"/>
  <c r="V231" i="1"/>
  <c r="Q231" i="1"/>
  <c r="J231" i="1"/>
  <c r="CZ230" i="1"/>
  <c r="CY230" i="1"/>
  <c r="CV230" i="1"/>
  <c r="CU230" i="1"/>
  <c r="CT230" i="1"/>
  <c r="CQ230" i="1"/>
  <c r="CO230" i="1"/>
  <c r="CM230" i="1"/>
  <c r="CJ230" i="1"/>
  <c r="CH230" i="1"/>
  <c r="CG230" i="1"/>
  <c r="CC230" i="1"/>
  <c r="CB230" i="1"/>
  <c r="CA230" i="1"/>
  <c r="BZ230" i="1"/>
  <c r="BY230" i="1"/>
  <c r="BX230" i="1"/>
  <c r="BW230" i="1"/>
  <c r="BV230" i="1"/>
  <c r="BU230" i="1"/>
  <c r="BT230" i="1"/>
  <c r="BS230" i="1"/>
  <c r="BP230" i="1"/>
  <c r="BN230" i="1"/>
  <c r="BM230" i="1"/>
  <c r="BL230" i="1"/>
  <c r="BJ230" i="1"/>
  <c r="BH230" i="1"/>
  <c r="BG230" i="1"/>
  <c r="BF230" i="1"/>
  <c r="BC230" i="1"/>
  <c r="BA230" i="1"/>
  <c r="AZ230" i="1"/>
  <c r="AY230" i="1"/>
  <c r="AX230" i="1"/>
  <c r="AU230" i="1"/>
  <c r="AT230" i="1"/>
  <c r="AS230" i="1"/>
  <c r="AQ230" i="1"/>
  <c r="AP230" i="1"/>
  <c r="AO230" i="1"/>
  <c r="AN230" i="1"/>
  <c r="AM230" i="1"/>
  <c r="AL230" i="1"/>
  <c r="AK230" i="1"/>
  <c r="AJ230" i="1"/>
  <c r="AI230" i="1"/>
  <c r="AH230" i="1"/>
  <c r="AG230" i="1"/>
  <c r="AE230" i="1"/>
  <c r="AD230" i="1"/>
  <c r="AC230" i="1"/>
  <c r="AB230" i="1"/>
  <c r="AA230" i="1"/>
  <c r="Z230" i="1"/>
  <c r="Y230" i="1"/>
  <c r="X230" i="1"/>
  <c r="W230" i="1"/>
  <c r="U230" i="1"/>
  <c r="T230" i="1"/>
  <c r="S230" i="1"/>
  <c r="R230" i="1"/>
  <c r="P230" i="1"/>
  <c r="O230" i="1"/>
  <c r="N230" i="1"/>
  <c r="M230" i="1"/>
  <c r="L230" i="1"/>
  <c r="K230" i="1"/>
  <c r="I230" i="1"/>
  <c r="H230" i="1"/>
  <c r="CX225" i="1"/>
  <c r="CN225" i="1"/>
  <c r="CI225" i="1"/>
  <c r="CF225" i="1"/>
  <c r="BR225" i="1"/>
  <c r="BO225" i="1"/>
  <c r="BI225" i="1"/>
  <c r="BE225" i="1"/>
  <c r="AF225" i="1"/>
  <c r="V225" i="1"/>
  <c r="Q225" i="1"/>
  <c r="J225" i="1"/>
  <c r="CX224" i="1"/>
  <c r="CN224" i="1"/>
  <c r="CI224" i="1"/>
  <c r="CF224" i="1"/>
  <c r="BR224" i="1"/>
  <c r="BO224" i="1"/>
  <c r="BI224" i="1"/>
  <c r="BE224" i="1"/>
  <c r="AF224" i="1"/>
  <c r="V224" i="1"/>
  <c r="Q224" i="1"/>
  <c r="J224" i="1"/>
  <c r="CZ223" i="1"/>
  <c r="CY223" i="1"/>
  <c r="CV223" i="1"/>
  <c r="CU223" i="1"/>
  <c r="CT223" i="1"/>
  <c r="CQ223" i="1"/>
  <c r="CO223" i="1"/>
  <c r="CM223" i="1"/>
  <c r="CJ223" i="1"/>
  <c r="CH223" i="1"/>
  <c r="CG223" i="1"/>
  <c r="CC223" i="1"/>
  <c r="CB223" i="1"/>
  <c r="CA223" i="1"/>
  <c r="BZ223" i="1"/>
  <c r="BY223" i="1"/>
  <c r="BX223" i="1"/>
  <c r="BW223" i="1"/>
  <c r="BV223" i="1"/>
  <c r="BU223" i="1"/>
  <c r="BT223" i="1"/>
  <c r="BS223" i="1"/>
  <c r="BP223" i="1"/>
  <c r="BN223" i="1"/>
  <c r="BM223" i="1"/>
  <c r="BL223" i="1"/>
  <c r="BJ223" i="1"/>
  <c r="BH223" i="1"/>
  <c r="BG223" i="1"/>
  <c r="BF223" i="1"/>
  <c r="BC223" i="1"/>
  <c r="BA223" i="1"/>
  <c r="AZ223" i="1"/>
  <c r="AY223" i="1"/>
  <c r="AX223" i="1"/>
  <c r="AU223" i="1"/>
  <c r="AT223" i="1"/>
  <c r="AS223" i="1"/>
  <c r="AQ223" i="1"/>
  <c r="AP223" i="1"/>
  <c r="AO223" i="1"/>
  <c r="AN223" i="1"/>
  <c r="AM223" i="1"/>
  <c r="AL223" i="1"/>
  <c r="AK223" i="1"/>
  <c r="AJ223" i="1"/>
  <c r="AI223" i="1"/>
  <c r="AH223" i="1"/>
  <c r="AG223" i="1"/>
  <c r="AE223" i="1"/>
  <c r="AD223" i="1"/>
  <c r="AC223" i="1"/>
  <c r="AB223" i="1"/>
  <c r="AA223" i="1"/>
  <c r="Z223" i="1"/>
  <c r="Y223" i="1"/>
  <c r="X223" i="1"/>
  <c r="W223" i="1"/>
  <c r="U223" i="1"/>
  <c r="T223" i="1"/>
  <c r="S223" i="1"/>
  <c r="R223" i="1"/>
  <c r="P223" i="1"/>
  <c r="O223" i="1"/>
  <c r="N223" i="1"/>
  <c r="M223" i="1"/>
  <c r="L223" i="1"/>
  <c r="K223" i="1"/>
  <c r="I223" i="1"/>
  <c r="H223" i="1"/>
  <c r="CX218" i="1"/>
  <c r="CN218" i="1"/>
  <c r="CI218" i="1"/>
  <c r="CF218" i="1"/>
  <c r="BR218" i="1"/>
  <c r="BO218" i="1"/>
  <c r="BI218" i="1"/>
  <c r="BE218" i="1"/>
  <c r="AF218" i="1"/>
  <c r="V218" i="1"/>
  <c r="Q218" i="1"/>
  <c r="J218" i="1"/>
  <c r="CZ217" i="1"/>
  <c r="CY217" i="1"/>
  <c r="CV217" i="1"/>
  <c r="CU217" i="1"/>
  <c r="CT217" i="1"/>
  <c r="CQ217" i="1"/>
  <c r="CO217" i="1"/>
  <c r="CM217" i="1"/>
  <c r="CJ217" i="1"/>
  <c r="CH217" i="1"/>
  <c r="CG217" i="1"/>
  <c r="CC217" i="1"/>
  <c r="CB217" i="1"/>
  <c r="CA217" i="1"/>
  <c r="BZ217" i="1"/>
  <c r="BY217" i="1"/>
  <c r="BX217" i="1"/>
  <c r="BW217" i="1"/>
  <c r="BV217" i="1"/>
  <c r="BU217" i="1"/>
  <c r="BT217" i="1"/>
  <c r="BS217" i="1"/>
  <c r="BP217" i="1"/>
  <c r="BN217" i="1"/>
  <c r="BM217" i="1"/>
  <c r="BL217" i="1"/>
  <c r="BJ217" i="1"/>
  <c r="BH217" i="1"/>
  <c r="BG217" i="1"/>
  <c r="BF217" i="1"/>
  <c r="BC217" i="1"/>
  <c r="BA217" i="1"/>
  <c r="AZ217" i="1"/>
  <c r="AY217" i="1"/>
  <c r="AX217" i="1"/>
  <c r="AU217" i="1"/>
  <c r="AT217" i="1"/>
  <c r="AS217" i="1"/>
  <c r="AQ217" i="1"/>
  <c r="AP217" i="1"/>
  <c r="AO217" i="1"/>
  <c r="AN217" i="1"/>
  <c r="AM217" i="1"/>
  <c r="AL217" i="1"/>
  <c r="AK217" i="1"/>
  <c r="AJ217" i="1"/>
  <c r="AI217" i="1"/>
  <c r="AH217" i="1"/>
  <c r="AG217" i="1"/>
  <c r="AE217" i="1"/>
  <c r="AD217" i="1"/>
  <c r="AC217" i="1"/>
  <c r="AB217" i="1"/>
  <c r="AA217" i="1"/>
  <c r="Z217" i="1"/>
  <c r="Y217" i="1"/>
  <c r="X217" i="1"/>
  <c r="W217" i="1"/>
  <c r="U217" i="1"/>
  <c r="T217" i="1"/>
  <c r="S217" i="1"/>
  <c r="R217" i="1"/>
  <c r="P217" i="1"/>
  <c r="O217" i="1"/>
  <c r="N217" i="1"/>
  <c r="M217" i="1"/>
  <c r="L217" i="1"/>
  <c r="K217" i="1"/>
  <c r="I217" i="1"/>
  <c r="H217" i="1"/>
  <c r="CX215" i="1"/>
  <c r="CN215" i="1"/>
  <c r="CI215" i="1"/>
  <c r="CF215" i="1"/>
  <c r="BR215" i="1"/>
  <c r="BO215" i="1"/>
  <c r="BI215" i="1"/>
  <c r="BE215" i="1"/>
  <c r="AF215" i="1"/>
  <c r="Q215" i="1"/>
  <c r="J215" i="1"/>
  <c r="CX213" i="1"/>
  <c r="CN213" i="1"/>
  <c r="CI213" i="1"/>
  <c r="CF213" i="1"/>
  <c r="BR213" i="1"/>
  <c r="BO213" i="1"/>
  <c r="BI213" i="1"/>
  <c r="BE213" i="1"/>
  <c r="AF213" i="1"/>
  <c r="V213" i="1"/>
  <c r="Q213" i="1"/>
  <c r="J213" i="1"/>
  <c r="CX212" i="1"/>
  <c r="CN212" i="1"/>
  <c r="CI212" i="1"/>
  <c r="CF212" i="1"/>
  <c r="BR212" i="1"/>
  <c r="BO212" i="1"/>
  <c r="BI212" i="1"/>
  <c r="BE212" i="1"/>
  <c r="AF212" i="1"/>
  <c r="V212" i="1"/>
  <c r="Q212" i="1"/>
  <c r="J212" i="1"/>
  <c r="CX211" i="1"/>
  <c r="CN211" i="1"/>
  <c r="CI211" i="1"/>
  <c r="CF211" i="1"/>
  <c r="BR211" i="1"/>
  <c r="BO211" i="1"/>
  <c r="BI211" i="1"/>
  <c r="BE211" i="1"/>
  <c r="AF211" i="1"/>
  <c r="V211" i="1"/>
  <c r="Q211" i="1"/>
  <c r="J211" i="1"/>
  <c r="CX210" i="1"/>
  <c r="CN210" i="1"/>
  <c r="CI210" i="1"/>
  <c r="CF210" i="1"/>
  <c r="BR210" i="1"/>
  <c r="BO210" i="1"/>
  <c r="BI210" i="1"/>
  <c r="BE210" i="1"/>
  <c r="AF210" i="1"/>
  <c r="V210" i="1"/>
  <c r="Q210" i="1"/>
  <c r="J210" i="1"/>
  <c r="CX209" i="1"/>
  <c r="CN209" i="1"/>
  <c r="CI209" i="1"/>
  <c r="CF209" i="1"/>
  <c r="BR209" i="1"/>
  <c r="BO209" i="1"/>
  <c r="BI209" i="1"/>
  <c r="BE209" i="1"/>
  <c r="AF209" i="1"/>
  <c r="V209" i="1"/>
  <c r="Q209" i="1"/>
  <c r="J209" i="1"/>
  <c r="CX208" i="1"/>
  <c r="CN208" i="1"/>
  <c r="CI208" i="1"/>
  <c r="CF208" i="1"/>
  <c r="BR208" i="1"/>
  <c r="BO208" i="1"/>
  <c r="BI208" i="1"/>
  <c r="BE208" i="1"/>
  <c r="AF208" i="1"/>
  <c r="V208" i="1"/>
  <c r="Q208" i="1"/>
  <c r="J208" i="1"/>
  <c r="CX207" i="1"/>
  <c r="CN207" i="1"/>
  <c r="CI207" i="1"/>
  <c r="CF207" i="1"/>
  <c r="BR207" i="1"/>
  <c r="BO207" i="1"/>
  <c r="BI207" i="1"/>
  <c r="BE207" i="1"/>
  <c r="AF207" i="1"/>
  <c r="V207" i="1"/>
  <c r="Q207" i="1"/>
  <c r="J207" i="1"/>
  <c r="CX206" i="1"/>
  <c r="CN206" i="1"/>
  <c r="CI206" i="1"/>
  <c r="CF206" i="1"/>
  <c r="BR206" i="1"/>
  <c r="BO206" i="1"/>
  <c r="BI206" i="1"/>
  <c r="BE206" i="1"/>
  <c r="AF206" i="1"/>
  <c r="V206" i="1"/>
  <c r="Q206" i="1"/>
  <c r="J206" i="1"/>
  <c r="CZ205" i="1"/>
  <c r="CY205" i="1"/>
  <c r="CV205" i="1"/>
  <c r="CU205" i="1"/>
  <c r="CT205" i="1"/>
  <c r="CQ205" i="1"/>
  <c r="CO205" i="1"/>
  <c r="CM205" i="1"/>
  <c r="CJ205" i="1"/>
  <c r="CH205" i="1"/>
  <c r="CG205" i="1"/>
  <c r="CC205" i="1"/>
  <c r="CB205" i="1"/>
  <c r="CA205" i="1"/>
  <c r="BZ205" i="1"/>
  <c r="BY205" i="1"/>
  <c r="BX205" i="1"/>
  <c r="BW205" i="1"/>
  <c r="BV205" i="1"/>
  <c r="BU205" i="1"/>
  <c r="BT205" i="1"/>
  <c r="BS205" i="1"/>
  <c r="BP205" i="1"/>
  <c r="BN205" i="1"/>
  <c r="BM205" i="1"/>
  <c r="BL205" i="1"/>
  <c r="BJ205" i="1"/>
  <c r="BH205" i="1"/>
  <c r="BG205" i="1"/>
  <c r="BF205" i="1"/>
  <c r="BC205" i="1"/>
  <c r="BA205" i="1"/>
  <c r="AZ205" i="1"/>
  <c r="AY205" i="1"/>
  <c r="AX205" i="1"/>
  <c r="AU205" i="1"/>
  <c r="AT205" i="1"/>
  <c r="AS205" i="1"/>
  <c r="AQ205" i="1"/>
  <c r="AP205" i="1"/>
  <c r="AO205" i="1"/>
  <c r="AN205" i="1"/>
  <c r="AM205" i="1"/>
  <c r="AL205" i="1"/>
  <c r="AK205" i="1"/>
  <c r="AJ205" i="1"/>
  <c r="AI205" i="1"/>
  <c r="AH205" i="1"/>
  <c r="AG205" i="1"/>
  <c r="AE205" i="1"/>
  <c r="AD205" i="1"/>
  <c r="AB205" i="1"/>
  <c r="AA205" i="1"/>
  <c r="Z205" i="1"/>
  <c r="Y205" i="1"/>
  <c r="X205" i="1"/>
  <c r="W205" i="1"/>
  <c r="U205" i="1"/>
  <c r="T205" i="1"/>
  <c r="S205" i="1"/>
  <c r="R205" i="1"/>
  <c r="P205" i="1"/>
  <c r="O205" i="1"/>
  <c r="N205" i="1"/>
  <c r="M205" i="1"/>
  <c r="L205" i="1"/>
  <c r="K205" i="1"/>
  <c r="I205" i="1"/>
  <c r="H205" i="1"/>
  <c r="CX204" i="1"/>
  <c r="CN204" i="1"/>
  <c r="CI204" i="1"/>
  <c r="CF204" i="1"/>
  <c r="BR204" i="1"/>
  <c r="BO204" i="1"/>
  <c r="BI204" i="1"/>
  <c r="BE204" i="1"/>
  <c r="V204" i="1"/>
  <c r="Q204" i="1"/>
  <c r="J204" i="1"/>
  <c r="CX203" i="1"/>
  <c r="CN203" i="1"/>
  <c r="CI203" i="1"/>
  <c r="CF203" i="1"/>
  <c r="BR203" i="1"/>
  <c r="BO203" i="1"/>
  <c r="BI203" i="1"/>
  <c r="BE203" i="1"/>
  <c r="V203" i="1"/>
  <c r="Q203" i="1"/>
  <c r="J203" i="1"/>
  <c r="CX202" i="1"/>
  <c r="CN202" i="1"/>
  <c r="CI202" i="1"/>
  <c r="CF202" i="1"/>
  <c r="BO202" i="1"/>
  <c r="BI202" i="1"/>
  <c r="BE202" i="1"/>
  <c r="V202" i="1"/>
  <c r="Q202" i="1"/>
  <c r="J202" i="1"/>
  <c r="CX201" i="1"/>
  <c r="CN201" i="1"/>
  <c r="CI201" i="1"/>
  <c r="CF201" i="1"/>
  <c r="BR201" i="1"/>
  <c r="BO201" i="1"/>
  <c r="BI201" i="1"/>
  <c r="BE201" i="1"/>
  <c r="V201" i="1"/>
  <c r="Q201" i="1"/>
  <c r="J201" i="1"/>
  <c r="CX200" i="1"/>
  <c r="CN200" i="1"/>
  <c r="CI200" i="1"/>
  <c r="CF200" i="1"/>
  <c r="BO200" i="1"/>
  <c r="BI200" i="1"/>
  <c r="BE200" i="1"/>
  <c r="V200" i="1"/>
  <c r="Q200" i="1"/>
  <c r="J200" i="1"/>
  <c r="CX199" i="1"/>
  <c r="CN199" i="1"/>
  <c r="CI199" i="1"/>
  <c r="CF199" i="1"/>
  <c r="BR199" i="1"/>
  <c r="BO199" i="1"/>
  <c r="BI199" i="1"/>
  <c r="BE199" i="1"/>
  <c r="V199" i="1"/>
  <c r="Q199" i="1"/>
  <c r="J199" i="1"/>
  <c r="CX198" i="1"/>
  <c r="CN198" i="1"/>
  <c r="CI198" i="1"/>
  <c r="CF198" i="1"/>
  <c r="BR198" i="1"/>
  <c r="BO198" i="1"/>
  <c r="BI198" i="1"/>
  <c r="BE198" i="1"/>
  <c r="V198" i="1"/>
  <c r="Q198" i="1"/>
  <c r="J198" i="1"/>
  <c r="CZ197" i="1"/>
  <c r="CY197" i="1"/>
  <c r="CV197" i="1"/>
  <c r="CU197" i="1"/>
  <c r="CT197" i="1"/>
  <c r="CQ197" i="1"/>
  <c r="CO197" i="1"/>
  <c r="CM197" i="1"/>
  <c r="CJ197" i="1"/>
  <c r="CH197" i="1"/>
  <c r="CG197" i="1"/>
  <c r="CA197" i="1"/>
  <c r="BZ197" i="1"/>
  <c r="BY197" i="1"/>
  <c r="BX197" i="1"/>
  <c r="BW197" i="1"/>
  <c r="BV197" i="1"/>
  <c r="BU197" i="1"/>
  <c r="BT197" i="1"/>
  <c r="BS197" i="1"/>
  <c r="BP197" i="1"/>
  <c r="BN197" i="1"/>
  <c r="BM197" i="1"/>
  <c r="BL197" i="1"/>
  <c r="BJ197" i="1"/>
  <c r="BH197" i="1"/>
  <c r="BG197" i="1"/>
  <c r="BF197" i="1"/>
  <c r="BC197" i="1"/>
  <c r="BA197" i="1"/>
  <c r="AZ197" i="1"/>
  <c r="AY197" i="1"/>
  <c r="AX197" i="1"/>
  <c r="AU197" i="1"/>
  <c r="AT197" i="1"/>
  <c r="AS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U197" i="1"/>
  <c r="T197" i="1"/>
  <c r="S197" i="1"/>
  <c r="R197" i="1"/>
  <c r="P197" i="1"/>
  <c r="O197" i="1"/>
  <c r="N197" i="1"/>
  <c r="M197" i="1"/>
  <c r="L197" i="1"/>
  <c r="K197" i="1"/>
  <c r="CX196" i="1"/>
  <c r="CN196" i="1"/>
  <c r="CI196" i="1"/>
  <c r="CF196" i="1"/>
  <c r="BR196" i="1"/>
  <c r="BO196" i="1"/>
  <c r="BI196" i="1"/>
  <c r="BE196" i="1"/>
  <c r="V196" i="1"/>
  <c r="Q196" i="1"/>
  <c r="J196" i="1"/>
  <c r="CZ195" i="1"/>
  <c r="CY195" i="1"/>
  <c r="CV195" i="1"/>
  <c r="CU195" i="1"/>
  <c r="CT195" i="1"/>
  <c r="CQ195" i="1"/>
  <c r="CO195" i="1"/>
  <c r="CM195" i="1"/>
  <c r="CJ195" i="1"/>
  <c r="CH195" i="1"/>
  <c r="CG195" i="1"/>
  <c r="CC195" i="1"/>
  <c r="CB195" i="1"/>
  <c r="CA195" i="1"/>
  <c r="BZ195" i="1"/>
  <c r="BY195" i="1"/>
  <c r="BX195" i="1"/>
  <c r="BW195" i="1"/>
  <c r="BV195" i="1"/>
  <c r="BU195" i="1"/>
  <c r="BT195" i="1"/>
  <c r="BS195" i="1"/>
  <c r="BP195" i="1"/>
  <c r="BN195" i="1"/>
  <c r="BM195" i="1"/>
  <c r="BL195" i="1"/>
  <c r="BJ195" i="1"/>
  <c r="BH195" i="1"/>
  <c r="BG195" i="1"/>
  <c r="BF195" i="1"/>
  <c r="BC195" i="1"/>
  <c r="BA195" i="1"/>
  <c r="AZ195" i="1"/>
  <c r="AY195" i="1"/>
  <c r="AX195" i="1"/>
  <c r="AU195" i="1"/>
  <c r="AT195" i="1"/>
  <c r="AS195" i="1"/>
  <c r="AQ195" i="1"/>
  <c r="AP195" i="1"/>
  <c r="AO195" i="1"/>
  <c r="AN195" i="1"/>
  <c r="AM195" i="1"/>
  <c r="AL195" i="1"/>
  <c r="AK195" i="1"/>
  <c r="AJ195" i="1"/>
  <c r="AI195" i="1"/>
  <c r="AH195" i="1"/>
  <c r="AG195" i="1"/>
  <c r="AE195" i="1"/>
  <c r="AD195" i="1"/>
  <c r="AC195" i="1"/>
  <c r="AB195" i="1"/>
  <c r="AA195" i="1"/>
  <c r="Z195" i="1"/>
  <c r="Y195" i="1"/>
  <c r="X195" i="1"/>
  <c r="W195" i="1"/>
  <c r="U195" i="1"/>
  <c r="T195" i="1"/>
  <c r="S195" i="1"/>
  <c r="R195" i="1"/>
  <c r="P195" i="1"/>
  <c r="O195" i="1"/>
  <c r="N195" i="1"/>
  <c r="M195" i="1"/>
  <c r="L195" i="1"/>
  <c r="K195" i="1"/>
  <c r="I195" i="1"/>
  <c r="H195" i="1"/>
  <c r="CX194" i="1"/>
  <c r="CN194" i="1"/>
  <c r="CI194" i="1"/>
  <c r="CF194" i="1"/>
  <c r="BR194" i="1"/>
  <c r="BO194" i="1"/>
  <c r="BI194" i="1"/>
  <c r="BE194" i="1"/>
  <c r="AF194" i="1"/>
  <c r="V194" i="1"/>
  <c r="Q194" i="1"/>
  <c r="J194" i="1"/>
  <c r="CZ193" i="1"/>
  <c r="CY193" i="1"/>
  <c r="CV193" i="1"/>
  <c r="CU193" i="1"/>
  <c r="CT193" i="1"/>
  <c r="CQ193" i="1"/>
  <c r="CO193" i="1"/>
  <c r="CM193" i="1"/>
  <c r="CJ193" i="1"/>
  <c r="CH193" i="1"/>
  <c r="CG193" i="1"/>
  <c r="CC193" i="1"/>
  <c r="CB193" i="1"/>
  <c r="CA193" i="1"/>
  <c r="BZ193" i="1"/>
  <c r="BY193" i="1"/>
  <c r="BX193" i="1"/>
  <c r="BW193" i="1"/>
  <c r="BV193" i="1"/>
  <c r="BU193" i="1"/>
  <c r="BT193" i="1"/>
  <c r="BS193" i="1"/>
  <c r="BP193" i="1"/>
  <c r="BN193" i="1"/>
  <c r="BM193" i="1"/>
  <c r="BL193" i="1"/>
  <c r="BJ193" i="1"/>
  <c r="BH193" i="1"/>
  <c r="BG193" i="1"/>
  <c r="BF193" i="1"/>
  <c r="BC193" i="1"/>
  <c r="BA193" i="1"/>
  <c r="AZ193" i="1"/>
  <c r="AY193" i="1"/>
  <c r="AX193" i="1"/>
  <c r="AU193" i="1"/>
  <c r="AT193" i="1"/>
  <c r="AS193" i="1"/>
  <c r="AQ193" i="1"/>
  <c r="AP193" i="1"/>
  <c r="AO193" i="1"/>
  <c r="AN193" i="1"/>
  <c r="AM193" i="1"/>
  <c r="AL193" i="1"/>
  <c r="AK193" i="1"/>
  <c r="AJ193" i="1"/>
  <c r="AI193" i="1"/>
  <c r="AH193" i="1"/>
  <c r="AG193" i="1"/>
  <c r="AE193" i="1"/>
  <c r="AD193" i="1"/>
  <c r="AC193" i="1"/>
  <c r="AB193" i="1"/>
  <c r="AA193" i="1"/>
  <c r="Z193" i="1"/>
  <c r="Y193" i="1"/>
  <c r="X193" i="1"/>
  <c r="W193" i="1"/>
  <c r="U193" i="1"/>
  <c r="T193" i="1"/>
  <c r="S193" i="1"/>
  <c r="R193" i="1"/>
  <c r="P193" i="1"/>
  <c r="O193" i="1"/>
  <c r="N193" i="1"/>
  <c r="M193" i="1"/>
  <c r="L193" i="1"/>
  <c r="K193" i="1"/>
  <c r="I193" i="1"/>
  <c r="H193" i="1"/>
  <c r="CX192" i="1"/>
  <c r="CN192" i="1"/>
  <c r="CI192" i="1"/>
  <c r="CF192" i="1"/>
  <c r="BR192" i="1"/>
  <c r="BO192" i="1"/>
  <c r="BI192" i="1"/>
  <c r="BE192" i="1"/>
  <c r="AF192" i="1"/>
  <c r="V192" i="1"/>
  <c r="Q192" i="1"/>
  <c r="J192" i="1"/>
  <c r="CZ191" i="1"/>
  <c r="CY191" i="1"/>
  <c r="CV191" i="1"/>
  <c r="CU191" i="1"/>
  <c r="CT191" i="1"/>
  <c r="CQ191" i="1"/>
  <c r="CO191" i="1"/>
  <c r="CM191" i="1"/>
  <c r="CJ191" i="1"/>
  <c r="CH191" i="1"/>
  <c r="CG191" i="1"/>
  <c r="CC191" i="1"/>
  <c r="CB191" i="1"/>
  <c r="CA191" i="1"/>
  <c r="BZ191" i="1"/>
  <c r="BY191" i="1"/>
  <c r="BX191" i="1"/>
  <c r="BW191" i="1"/>
  <c r="BV191" i="1"/>
  <c r="BU191" i="1"/>
  <c r="BT191" i="1"/>
  <c r="BS191" i="1"/>
  <c r="BP191" i="1"/>
  <c r="BN191" i="1"/>
  <c r="BM191" i="1"/>
  <c r="BL191" i="1"/>
  <c r="BJ191" i="1"/>
  <c r="BH191" i="1"/>
  <c r="BG191" i="1"/>
  <c r="BF191" i="1"/>
  <c r="BC191" i="1"/>
  <c r="BA191" i="1"/>
  <c r="AZ191" i="1"/>
  <c r="AY191" i="1"/>
  <c r="AX191" i="1"/>
  <c r="AU191" i="1"/>
  <c r="AT191" i="1"/>
  <c r="AS191" i="1"/>
  <c r="AQ191" i="1"/>
  <c r="AP191" i="1"/>
  <c r="AO191" i="1"/>
  <c r="AN191" i="1"/>
  <c r="AM191" i="1"/>
  <c r="AL191" i="1"/>
  <c r="AK191" i="1"/>
  <c r="AJ191" i="1"/>
  <c r="AI191" i="1"/>
  <c r="AH191" i="1"/>
  <c r="AG191" i="1"/>
  <c r="AE191" i="1"/>
  <c r="AD191" i="1"/>
  <c r="AC191" i="1"/>
  <c r="AB191" i="1"/>
  <c r="AA191" i="1"/>
  <c r="Z191" i="1"/>
  <c r="Y191" i="1"/>
  <c r="X191" i="1"/>
  <c r="W191" i="1"/>
  <c r="U191" i="1"/>
  <c r="T191" i="1"/>
  <c r="S191" i="1"/>
  <c r="R191" i="1"/>
  <c r="P191" i="1"/>
  <c r="O191" i="1"/>
  <c r="N191" i="1"/>
  <c r="M191" i="1"/>
  <c r="L191" i="1"/>
  <c r="K191" i="1"/>
  <c r="I191" i="1"/>
  <c r="H191" i="1"/>
  <c r="CX190" i="1"/>
  <c r="CN190" i="1"/>
  <c r="CI190" i="1"/>
  <c r="CF190" i="1"/>
  <c r="BO190" i="1"/>
  <c r="BI190" i="1"/>
  <c r="BE190" i="1"/>
  <c r="AF190" i="1"/>
  <c r="V190" i="1"/>
  <c r="Q190" i="1"/>
  <c r="J190" i="1"/>
  <c r="CZ189" i="1"/>
  <c r="CY189" i="1"/>
  <c r="CV189" i="1"/>
  <c r="CU189" i="1"/>
  <c r="CT189" i="1"/>
  <c r="CQ189" i="1"/>
  <c r="CO189" i="1"/>
  <c r="CM189" i="1"/>
  <c r="CJ189" i="1"/>
  <c r="CH189" i="1"/>
  <c r="CG189" i="1"/>
  <c r="CC189" i="1"/>
  <c r="CA189" i="1"/>
  <c r="BZ189" i="1"/>
  <c r="BY189" i="1"/>
  <c r="BX189" i="1"/>
  <c r="BW189" i="1"/>
  <c r="BV189" i="1"/>
  <c r="BU189" i="1"/>
  <c r="BT189" i="1"/>
  <c r="BS189" i="1"/>
  <c r="BP189" i="1"/>
  <c r="BN189" i="1"/>
  <c r="BM189" i="1"/>
  <c r="BL189" i="1"/>
  <c r="BJ189" i="1"/>
  <c r="BH189" i="1"/>
  <c r="BG189" i="1"/>
  <c r="BF189" i="1"/>
  <c r="BC189" i="1"/>
  <c r="BA189" i="1"/>
  <c r="AZ189" i="1"/>
  <c r="AY189" i="1"/>
  <c r="AX189" i="1"/>
  <c r="AU189" i="1"/>
  <c r="AT189" i="1"/>
  <c r="AS189" i="1"/>
  <c r="AQ189" i="1"/>
  <c r="AP189" i="1"/>
  <c r="AO189" i="1"/>
  <c r="AN189" i="1"/>
  <c r="AM189" i="1"/>
  <c r="AL189" i="1"/>
  <c r="AK189" i="1"/>
  <c r="AJ189" i="1"/>
  <c r="AI189" i="1"/>
  <c r="AH189" i="1"/>
  <c r="AG189" i="1"/>
  <c r="AE189" i="1"/>
  <c r="AD189" i="1"/>
  <c r="AC189" i="1"/>
  <c r="AB189" i="1"/>
  <c r="AA189" i="1"/>
  <c r="Z189" i="1"/>
  <c r="Y189" i="1"/>
  <c r="X189" i="1"/>
  <c r="W189" i="1"/>
  <c r="U189" i="1"/>
  <c r="T189" i="1"/>
  <c r="S189" i="1"/>
  <c r="R189" i="1"/>
  <c r="P189" i="1"/>
  <c r="O189" i="1"/>
  <c r="N189" i="1"/>
  <c r="M189" i="1"/>
  <c r="L189" i="1"/>
  <c r="K189" i="1"/>
  <c r="I189" i="1"/>
  <c r="H189" i="1"/>
  <c r="CX188" i="1"/>
  <c r="CN188" i="1"/>
  <c r="CI188" i="1"/>
  <c r="CF188" i="1"/>
  <c r="BR188" i="1"/>
  <c r="BO188" i="1"/>
  <c r="BI188" i="1"/>
  <c r="BE188" i="1"/>
  <c r="AF188" i="1"/>
  <c r="V188" i="1"/>
  <c r="Q188" i="1"/>
  <c r="J188" i="1"/>
  <c r="CX187" i="1"/>
  <c r="CN187" i="1"/>
  <c r="CI187" i="1"/>
  <c r="CF187" i="1"/>
  <c r="BR187" i="1"/>
  <c r="BO187" i="1"/>
  <c r="BI187" i="1"/>
  <c r="BE187" i="1"/>
  <c r="AF187" i="1"/>
  <c r="V187" i="1"/>
  <c r="Q187" i="1"/>
  <c r="J187" i="1"/>
  <c r="CX186" i="1"/>
  <c r="CN186" i="1"/>
  <c r="CI186" i="1"/>
  <c r="CF186" i="1"/>
  <c r="BR186" i="1"/>
  <c r="BO186" i="1"/>
  <c r="BI186" i="1"/>
  <c r="BE186" i="1"/>
  <c r="AF186" i="1"/>
  <c r="V186" i="1"/>
  <c r="Q186" i="1"/>
  <c r="J186" i="1"/>
  <c r="CZ185" i="1"/>
  <c r="CY185" i="1"/>
  <c r="CV185" i="1"/>
  <c r="CU185" i="1"/>
  <c r="CT185" i="1"/>
  <c r="CQ185" i="1"/>
  <c r="CO185" i="1"/>
  <c r="CM185" i="1"/>
  <c r="CJ185" i="1"/>
  <c r="CH185" i="1"/>
  <c r="CG185" i="1"/>
  <c r="CC185" i="1"/>
  <c r="CB185" i="1"/>
  <c r="CA185" i="1"/>
  <c r="BZ185" i="1"/>
  <c r="BY185" i="1"/>
  <c r="BX185" i="1"/>
  <c r="BW185" i="1"/>
  <c r="BV185" i="1"/>
  <c r="BU185" i="1"/>
  <c r="BT185" i="1"/>
  <c r="BS185" i="1"/>
  <c r="BP185" i="1"/>
  <c r="BN185" i="1"/>
  <c r="BM185" i="1"/>
  <c r="BL185" i="1"/>
  <c r="BJ185" i="1"/>
  <c r="BH185" i="1"/>
  <c r="BG185" i="1"/>
  <c r="BF185" i="1"/>
  <c r="BC185" i="1"/>
  <c r="BA185" i="1"/>
  <c r="AZ185" i="1"/>
  <c r="AY185" i="1"/>
  <c r="AX185" i="1"/>
  <c r="AU185" i="1"/>
  <c r="AT185" i="1"/>
  <c r="AS185" i="1"/>
  <c r="AQ185" i="1"/>
  <c r="AP185" i="1"/>
  <c r="AO185" i="1"/>
  <c r="AN185" i="1"/>
  <c r="AM185" i="1"/>
  <c r="AL185" i="1"/>
  <c r="AK185" i="1"/>
  <c r="AJ185" i="1"/>
  <c r="AI185" i="1"/>
  <c r="AH185" i="1"/>
  <c r="AG185" i="1"/>
  <c r="AE185" i="1"/>
  <c r="AD185" i="1"/>
  <c r="AC185" i="1"/>
  <c r="AB185" i="1"/>
  <c r="AA185" i="1"/>
  <c r="Z185" i="1"/>
  <c r="Y185" i="1"/>
  <c r="X185" i="1"/>
  <c r="W185" i="1"/>
  <c r="U185" i="1"/>
  <c r="T185" i="1"/>
  <c r="S185" i="1"/>
  <c r="R185" i="1"/>
  <c r="P185" i="1"/>
  <c r="O185" i="1"/>
  <c r="N185" i="1"/>
  <c r="M185" i="1"/>
  <c r="L185" i="1"/>
  <c r="K185" i="1"/>
  <c r="CX184" i="1"/>
  <c r="CN184" i="1"/>
  <c r="CI184" i="1"/>
  <c r="CF184" i="1"/>
  <c r="BR184" i="1"/>
  <c r="BO184" i="1"/>
  <c r="BI184" i="1"/>
  <c r="BE184" i="1"/>
  <c r="AF184" i="1"/>
  <c r="V184" i="1"/>
  <c r="Q184" i="1"/>
  <c r="J184" i="1"/>
  <c r="CX183" i="1"/>
  <c r="CN183" i="1"/>
  <c r="CI183" i="1"/>
  <c r="CF183" i="1"/>
  <c r="BR183" i="1"/>
  <c r="BO183" i="1"/>
  <c r="BI183" i="1"/>
  <c r="BE183" i="1"/>
  <c r="AF183" i="1"/>
  <c r="V183" i="1"/>
  <c r="Q183" i="1"/>
  <c r="J183" i="1"/>
  <c r="CX181" i="1"/>
  <c r="CN181" i="1"/>
  <c r="CI181" i="1"/>
  <c r="CF181" i="1"/>
  <c r="BR181" i="1"/>
  <c r="BO181" i="1"/>
  <c r="BI181" i="1"/>
  <c r="BE181" i="1"/>
  <c r="AF181" i="1"/>
  <c r="V181" i="1"/>
  <c r="Q181" i="1"/>
  <c r="J181" i="1"/>
  <c r="CZ180" i="1"/>
  <c r="CY180" i="1"/>
  <c r="CV180" i="1"/>
  <c r="CU180" i="1"/>
  <c r="CT180" i="1"/>
  <c r="CQ180" i="1"/>
  <c r="CO180" i="1"/>
  <c r="CM180" i="1"/>
  <c r="CJ180" i="1"/>
  <c r="CH180" i="1"/>
  <c r="CG180" i="1"/>
  <c r="CC180" i="1"/>
  <c r="CB180" i="1"/>
  <c r="CA180" i="1"/>
  <c r="BZ180" i="1"/>
  <c r="BY180" i="1"/>
  <c r="BX180" i="1"/>
  <c r="BW180" i="1"/>
  <c r="BV180" i="1"/>
  <c r="BU180" i="1"/>
  <c r="BT180" i="1"/>
  <c r="BS180" i="1"/>
  <c r="BP180" i="1"/>
  <c r="BN180" i="1"/>
  <c r="BM180" i="1"/>
  <c r="BL180" i="1"/>
  <c r="BJ180" i="1"/>
  <c r="BH180" i="1"/>
  <c r="BG180" i="1"/>
  <c r="BF180" i="1"/>
  <c r="BC180" i="1"/>
  <c r="BA180" i="1"/>
  <c r="AZ180" i="1"/>
  <c r="AY180" i="1"/>
  <c r="AX180" i="1"/>
  <c r="AU180" i="1"/>
  <c r="AT180" i="1"/>
  <c r="AS180" i="1"/>
  <c r="AQ180" i="1"/>
  <c r="AP180" i="1"/>
  <c r="AO180" i="1"/>
  <c r="AN180" i="1"/>
  <c r="AM180" i="1"/>
  <c r="AL180" i="1"/>
  <c r="AK180" i="1"/>
  <c r="AJ180" i="1"/>
  <c r="AI180" i="1"/>
  <c r="AH180" i="1"/>
  <c r="AG180" i="1"/>
  <c r="AE180" i="1"/>
  <c r="AD180" i="1"/>
  <c r="AC180" i="1"/>
  <c r="AB180" i="1"/>
  <c r="AA180" i="1"/>
  <c r="Z180" i="1"/>
  <c r="Y180" i="1"/>
  <c r="X180" i="1"/>
  <c r="W180" i="1"/>
  <c r="U180" i="1"/>
  <c r="T180" i="1"/>
  <c r="S180" i="1"/>
  <c r="R180" i="1"/>
  <c r="P180" i="1"/>
  <c r="O180" i="1"/>
  <c r="N180" i="1"/>
  <c r="M180" i="1"/>
  <c r="L180" i="1"/>
  <c r="K180" i="1"/>
  <c r="I180" i="1"/>
  <c r="CX179" i="1"/>
  <c r="CN179" i="1"/>
  <c r="CI179" i="1"/>
  <c r="CF179" i="1"/>
  <c r="BR179" i="1"/>
  <c r="BO179" i="1"/>
  <c r="BI179" i="1"/>
  <c r="BE179" i="1"/>
  <c r="V179" i="1"/>
  <c r="Q179" i="1"/>
  <c r="J179" i="1"/>
  <c r="CZ178" i="1"/>
  <c r="CY178" i="1"/>
  <c r="CV178" i="1"/>
  <c r="CU178" i="1"/>
  <c r="CT178" i="1"/>
  <c r="CQ178" i="1"/>
  <c r="CO178" i="1"/>
  <c r="CM178" i="1"/>
  <c r="CJ178" i="1"/>
  <c r="CH178" i="1"/>
  <c r="CG178" i="1"/>
  <c r="CC178" i="1"/>
  <c r="CB178" i="1"/>
  <c r="CA178" i="1"/>
  <c r="BZ178" i="1"/>
  <c r="BY178" i="1"/>
  <c r="BX178" i="1"/>
  <c r="BW178" i="1"/>
  <c r="BV178" i="1"/>
  <c r="BU178" i="1"/>
  <c r="BT178" i="1"/>
  <c r="BS178" i="1"/>
  <c r="BP178" i="1"/>
  <c r="BN178" i="1"/>
  <c r="BM178" i="1"/>
  <c r="BL178" i="1"/>
  <c r="BJ178" i="1"/>
  <c r="BH178" i="1"/>
  <c r="BG178" i="1"/>
  <c r="BF178" i="1"/>
  <c r="BC178" i="1"/>
  <c r="BA178" i="1"/>
  <c r="AZ178" i="1"/>
  <c r="AY178" i="1"/>
  <c r="AX178" i="1"/>
  <c r="AU178" i="1"/>
  <c r="AT178" i="1"/>
  <c r="AS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U178" i="1"/>
  <c r="T178" i="1"/>
  <c r="S178" i="1"/>
  <c r="R178" i="1"/>
  <c r="P178" i="1"/>
  <c r="O178" i="1"/>
  <c r="N178" i="1"/>
  <c r="M178" i="1"/>
  <c r="L178" i="1"/>
  <c r="K178" i="1"/>
  <c r="I178" i="1"/>
  <c r="H178" i="1"/>
  <c r="CX177" i="1"/>
  <c r="CN177" i="1"/>
  <c r="CI177" i="1"/>
  <c r="CF177" i="1"/>
  <c r="BR177" i="1"/>
  <c r="BO177" i="1"/>
  <c r="BI177" i="1"/>
  <c r="BE177" i="1"/>
  <c r="AF177" i="1"/>
  <c r="V177" i="1"/>
  <c r="Q177" i="1"/>
  <c r="J177" i="1"/>
  <c r="CX176" i="1"/>
  <c r="CN176" i="1"/>
  <c r="CI176" i="1"/>
  <c r="CF176" i="1"/>
  <c r="BR176" i="1"/>
  <c r="BO176" i="1"/>
  <c r="BI176" i="1"/>
  <c r="BE176" i="1"/>
  <c r="AF176" i="1"/>
  <c r="V176" i="1"/>
  <c r="Q176" i="1"/>
  <c r="J176" i="1"/>
  <c r="CZ175" i="1"/>
  <c r="CY175" i="1"/>
  <c r="CV175" i="1"/>
  <c r="CU175" i="1"/>
  <c r="CT175" i="1"/>
  <c r="CQ175" i="1"/>
  <c r="CO175" i="1"/>
  <c r="CM175" i="1"/>
  <c r="CJ175" i="1"/>
  <c r="CH175" i="1"/>
  <c r="CG175" i="1"/>
  <c r="CC175" i="1"/>
  <c r="CB175" i="1"/>
  <c r="CA175" i="1"/>
  <c r="BZ175" i="1"/>
  <c r="BY175" i="1"/>
  <c r="BX175" i="1"/>
  <c r="BW175" i="1"/>
  <c r="BV175" i="1"/>
  <c r="BU175" i="1"/>
  <c r="BT175" i="1"/>
  <c r="BS175" i="1"/>
  <c r="BP175" i="1"/>
  <c r="BN175" i="1"/>
  <c r="BM175" i="1"/>
  <c r="BL175" i="1"/>
  <c r="BJ175" i="1"/>
  <c r="BH175" i="1"/>
  <c r="BG175" i="1"/>
  <c r="BF175" i="1"/>
  <c r="BC175" i="1"/>
  <c r="BA175" i="1"/>
  <c r="AZ175" i="1"/>
  <c r="AY175" i="1"/>
  <c r="AX175" i="1"/>
  <c r="AW175" i="1"/>
  <c r="AV175" i="1"/>
  <c r="AU175" i="1"/>
  <c r="AT175" i="1"/>
  <c r="AS175" i="1"/>
  <c r="AQ175" i="1"/>
  <c r="AP175" i="1"/>
  <c r="AO175" i="1"/>
  <c r="AN175" i="1"/>
  <c r="AM175" i="1"/>
  <c r="AL175" i="1"/>
  <c r="AK175" i="1"/>
  <c r="AJ175" i="1"/>
  <c r="AI175" i="1"/>
  <c r="AH175" i="1"/>
  <c r="AG175" i="1"/>
  <c r="AE175" i="1"/>
  <c r="AD175" i="1"/>
  <c r="AC175" i="1"/>
  <c r="AB175" i="1"/>
  <c r="AA175" i="1"/>
  <c r="Z175" i="1"/>
  <c r="Y175" i="1"/>
  <c r="X175" i="1"/>
  <c r="W175" i="1"/>
  <c r="U175" i="1"/>
  <c r="T175" i="1"/>
  <c r="S175" i="1"/>
  <c r="R175" i="1"/>
  <c r="P175" i="1"/>
  <c r="O175" i="1"/>
  <c r="N175" i="1"/>
  <c r="M175" i="1"/>
  <c r="L175" i="1"/>
  <c r="K175" i="1"/>
  <c r="H175" i="1"/>
  <c r="CX174" i="1"/>
  <c r="CN174" i="1"/>
  <c r="CI174" i="1"/>
  <c r="CF174" i="1"/>
  <c r="BR174" i="1"/>
  <c r="BO174" i="1"/>
  <c r="BI174" i="1"/>
  <c r="BE174" i="1"/>
  <c r="AF174" i="1"/>
  <c r="V174" i="1"/>
  <c r="Q174" i="1"/>
  <c r="J174" i="1"/>
  <c r="CX173" i="1"/>
  <c r="CN173" i="1"/>
  <c r="CI173" i="1"/>
  <c r="CF173" i="1"/>
  <c r="BR173" i="1"/>
  <c r="BO173" i="1"/>
  <c r="BI173" i="1"/>
  <c r="BE173" i="1"/>
  <c r="AF173" i="1"/>
  <c r="V173" i="1"/>
  <c r="Q173" i="1"/>
  <c r="CZ172" i="1"/>
  <c r="CY172" i="1"/>
  <c r="CV172" i="1"/>
  <c r="CU172" i="1"/>
  <c r="CT172" i="1"/>
  <c r="CS172" i="1"/>
  <c r="CQ172" i="1"/>
  <c r="CO172" i="1"/>
  <c r="CM172" i="1"/>
  <c r="CJ172" i="1"/>
  <c r="CH172" i="1"/>
  <c r="CG172" i="1"/>
  <c r="CC172" i="1"/>
  <c r="CB172" i="1"/>
  <c r="CA172" i="1"/>
  <c r="BZ172" i="1"/>
  <c r="BY172" i="1"/>
  <c r="BX172" i="1"/>
  <c r="BW172" i="1"/>
  <c r="BV172" i="1"/>
  <c r="BU172" i="1"/>
  <c r="BT172" i="1"/>
  <c r="BS172" i="1"/>
  <c r="BP172" i="1"/>
  <c r="BN172" i="1"/>
  <c r="BM172" i="1"/>
  <c r="BL172" i="1"/>
  <c r="BJ172" i="1"/>
  <c r="BH172" i="1"/>
  <c r="BG172" i="1"/>
  <c r="BF172" i="1"/>
  <c r="BC172" i="1"/>
  <c r="BA172" i="1"/>
  <c r="AZ172" i="1"/>
  <c r="AY172" i="1"/>
  <c r="AX172" i="1"/>
  <c r="AW172" i="1"/>
  <c r="AV172" i="1"/>
  <c r="AU172" i="1"/>
  <c r="AT172" i="1"/>
  <c r="AS172" i="1"/>
  <c r="AQ172" i="1"/>
  <c r="AP172" i="1"/>
  <c r="AO172" i="1"/>
  <c r="AN172" i="1"/>
  <c r="AM172" i="1"/>
  <c r="AL172" i="1"/>
  <c r="AK172" i="1"/>
  <c r="AJ172" i="1"/>
  <c r="AI172" i="1"/>
  <c r="AH172" i="1"/>
  <c r="AG172" i="1"/>
  <c r="AE172" i="1"/>
  <c r="AD172" i="1"/>
  <c r="AC172" i="1"/>
  <c r="AB172" i="1"/>
  <c r="AA172" i="1"/>
  <c r="Z172" i="1"/>
  <c r="Y172" i="1"/>
  <c r="X172" i="1"/>
  <c r="W172" i="1"/>
  <c r="U172" i="1"/>
  <c r="T172" i="1"/>
  <c r="S172" i="1"/>
  <c r="R172" i="1"/>
  <c r="O172" i="1"/>
  <c r="N172" i="1"/>
  <c r="M172" i="1"/>
  <c r="L172" i="1"/>
  <c r="K172" i="1"/>
  <c r="I172" i="1"/>
  <c r="H172" i="1"/>
  <c r="CX171" i="1"/>
  <c r="CN171" i="1"/>
  <c r="CI171" i="1"/>
  <c r="CF171" i="1"/>
  <c r="BR171" i="1"/>
  <c r="BO171" i="1"/>
  <c r="BI171" i="1"/>
  <c r="BE171" i="1"/>
  <c r="AF171" i="1"/>
  <c r="V171" i="1"/>
  <c r="Q171" i="1"/>
  <c r="P170" i="1"/>
  <c r="M170" i="1"/>
  <c r="L170" i="1"/>
  <c r="CZ170" i="1"/>
  <c r="CY170" i="1"/>
  <c r="CV170" i="1"/>
  <c r="CU170" i="1"/>
  <c r="CT170" i="1"/>
  <c r="CQ170" i="1"/>
  <c r="CO170" i="1"/>
  <c r="CM170" i="1"/>
  <c r="CJ170" i="1"/>
  <c r="CG170" i="1"/>
  <c r="CC170" i="1"/>
  <c r="CB170" i="1"/>
  <c r="CA170" i="1"/>
  <c r="BZ170" i="1"/>
  <c r="BY170" i="1"/>
  <c r="BX170" i="1"/>
  <c r="BW170" i="1"/>
  <c r="BV170" i="1"/>
  <c r="BU170" i="1"/>
  <c r="BT170" i="1"/>
  <c r="BS170" i="1"/>
  <c r="BP170" i="1"/>
  <c r="BN170" i="1"/>
  <c r="BM170" i="1"/>
  <c r="BL170" i="1"/>
  <c r="BJ170" i="1"/>
  <c r="BH170" i="1"/>
  <c r="BG170" i="1"/>
  <c r="BF170" i="1"/>
  <c r="BC170" i="1"/>
  <c r="BA170" i="1"/>
  <c r="AZ170" i="1"/>
  <c r="AY170" i="1"/>
  <c r="AX170" i="1"/>
  <c r="AW170" i="1"/>
  <c r="AV170" i="1"/>
  <c r="AU170" i="1"/>
  <c r="AT170" i="1"/>
  <c r="AS170" i="1"/>
  <c r="AQ170" i="1"/>
  <c r="AP170" i="1"/>
  <c r="AO170" i="1"/>
  <c r="AN170" i="1"/>
  <c r="AM170" i="1"/>
  <c r="AL170" i="1"/>
  <c r="AK170" i="1"/>
  <c r="AI170" i="1"/>
  <c r="AH170" i="1"/>
  <c r="AG170" i="1"/>
  <c r="AE170" i="1"/>
  <c r="AD170" i="1"/>
  <c r="AC170" i="1"/>
  <c r="AB170" i="1"/>
  <c r="AA170" i="1"/>
  <c r="Z170" i="1"/>
  <c r="Y170" i="1"/>
  <c r="X170" i="1"/>
  <c r="W170" i="1"/>
  <c r="U170" i="1"/>
  <c r="T170" i="1"/>
  <c r="S170" i="1"/>
  <c r="R170" i="1"/>
  <c r="O170" i="1"/>
  <c r="N170" i="1"/>
  <c r="I170" i="1"/>
  <c r="H170" i="1"/>
  <c r="CX168" i="1"/>
  <c r="CI168" i="1"/>
  <c r="CF168" i="1"/>
  <c r="BR168" i="1"/>
  <c r="BO168" i="1"/>
  <c r="BI168" i="1"/>
  <c r="BE168" i="1"/>
  <c r="Q168" i="1"/>
  <c r="CX167" i="1"/>
  <c r="CN167" i="1"/>
  <c r="CI167" i="1"/>
  <c r="CF167" i="1"/>
  <c r="BR167" i="1"/>
  <c r="BO167" i="1"/>
  <c r="BI167" i="1"/>
  <c r="BE167" i="1"/>
  <c r="AF167" i="1"/>
  <c r="V167" i="1"/>
  <c r="Q167" i="1"/>
  <c r="J167" i="1"/>
  <c r="CZ166" i="1"/>
  <c r="CY166" i="1"/>
  <c r="CV166" i="1"/>
  <c r="CU166" i="1"/>
  <c r="CT166" i="1"/>
  <c r="CQ166" i="1"/>
  <c r="CM166" i="1"/>
  <c r="CJ166" i="1"/>
  <c r="CH166" i="1"/>
  <c r="CG166" i="1"/>
  <c r="CC166" i="1"/>
  <c r="CB166" i="1"/>
  <c r="CA166" i="1"/>
  <c r="BZ166" i="1"/>
  <c r="BY166" i="1"/>
  <c r="BX166" i="1"/>
  <c r="BW166" i="1"/>
  <c r="BV166" i="1"/>
  <c r="BU166" i="1"/>
  <c r="BT166" i="1"/>
  <c r="BS166" i="1"/>
  <c r="BP166" i="1"/>
  <c r="BN166" i="1"/>
  <c r="BM166" i="1"/>
  <c r="BL166" i="1"/>
  <c r="BJ166" i="1"/>
  <c r="BH166" i="1"/>
  <c r="BG166" i="1"/>
  <c r="BF166" i="1"/>
  <c r="BC166" i="1"/>
  <c r="BA166" i="1"/>
  <c r="AZ166" i="1"/>
  <c r="AY166" i="1"/>
  <c r="AX166" i="1"/>
  <c r="AU166" i="1"/>
  <c r="AT166" i="1"/>
  <c r="AS166" i="1"/>
  <c r="AQ166" i="1"/>
  <c r="AP166" i="1"/>
  <c r="AN166" i="1"/>
  <c r="AM166" i="1"/>
  <c r="AL166" i="1"/>
  <c r="AK166" i="1"/>
  <c r="AH166" i="1"/>
  <c r="AG166" i="1"/>
  <c r="AE166" i="1"/>
  <c r="AD166" i="1"/>
  <c r="AC166" i="1"/>
  <c r="AB166" i="1"/>
  <c r="AA166" i="1"/>
  <c r="Z166" i="1"/>
  <c r="Y166" i="1"/>
  <c r="X166" i="1"/>
  <c r="W166" i="1"/>
  <c r="T166" i="1"/>
  <c r="S166" i="1"/>
  <c r="R166" i="1"/>
  <c r="P166" i="1"/>
  <c r="N166" i="1"/>
  <c r="M166" i="1"/>
  <c r="L166" i="1"/>
  <c r="K166" i="1"/>
  <c r="CX165" i="1"/>
  <c r="CN165" i="1"/>
  <c r="CI165" i="1"/>
  <c r="CF165" i="1"/>
  <c r="BR165" i="1"/>
  <c r="BO165" i="1"/>
  <c r="BI165" i="1"/>
  <c r="BE165" i="1"/>
  <c r="V165" i="1"/>
  <c r="Q165" i="1"/>
  <c r="J165" i="1"/>
  <c r="CZ163" i="1"/>
  <c r="CY163" i="1"/>
  <c r="CV163" i="1"/>
  <c r="CU163" i="1"/>
  <c r="CT163" i="1"/>
  <c r="CQ163" i="1"/>
  <c r="CO163" i="1"/>
  <c r="CM163" i="1"/>
  <c r="CJ163" i="1"/>
  <c r="CG163" i="1"/>
  <c r="CC163" i="1"/>
  <c r="CB163" i="1"/>
  <c r="CA163" i="1"/>
  <c r="BZ163" i="1"/>
  <c r="BY163" i="1"/>
  <c r="BX163" i="1"/>
  <c r="BW163" i="1"/>
  <c r="BV163" i="1"/>
  <c r="BU163" i="1"/>
  <c r="BT163" i="1"/>
  <c r="BS163" i="1"/>
  <c r="BP163" i="1"/>
  <c r="BN163" i="1"/>
  <c r="BM163" i="1"/>
  <c r="BL163" i="1"/>
  <c r="BJ163" i="1"/>
  <c r="BH163" i="1"/>
  <c r="BG163" i="1"/>
  <c r="BF163" i="1"/>
  <c r="BA163" i="1"/>
  <c r="AZ163" i="1"/>
  <c r="AY163" i="1"/>
  <c r="AX163" i="1"/>
  <c r="AU163" i="1"/>
  <c r="AS163" i="1"/>
  <c r="AQ163" i="1"/>
  <c r="AP163" i="1"/>
  <c r="AO163" i="1"/>
  <c r="AN163" i="1"/>
  <c r="AM163" i="1"/>
  <c r="AL163" i="1"/>
  <c r="AK163" i="1"/>
  <c r="AJ163" i="1"/>
  <c r="AI163" i="1"/>
  <c r="AH163" i="1"/>
  <c r="AG163" i="1"/>
  <c r="AE163" i="1"/>
  <c r="AD163" i="1"/>
  <c r="AC163" i="1"/>
  <c r="AB163" i="1"/>
  <c r="AA163" i="1"/>
  <c r="Z163" i="1"/>
  <c r="X163" i="1"/>
  <c r="W163" i="1"/>
  <c r="T163" i="1"/>
  <c r="R163" i="1"/>
  <c r="N163" i="1"/>
  <c r="M163" i="1"/>
  <c r="L163" i="1"/>
  <c r="K163" i="1"/>
  <c r="CX161" i="1"/>
  <c r="CN161" i="1"/>
  <c r="CI161" i="1"/>
  <c r="CF161" i="1"/>
  <c r="BR161" i="1"/>
  <c r="BO161" i="1"/>
  <c r="BI161" i="1"/>
  <c r="BE161" i="1"/>
  <c r="AF161" i="1"/>
  <c r="V161" i="1"/>
  <c r="Q161" i="1"/>
  <c r="J161" i="1"/>
  <c r="CX160" i="1"/>
  <c r="CN160" i="1"/>
  <c r="CI160" i="1"/>
  <c r="CF160" i="1"/>
  <c r="BR160" i="1"/>
  <c r="BO160" i="1"/>
  <c r="BI160" i="1"/>
  <c r="BE160" i="1"/>
  <c r="AF160" i="1"/>
  <c r="V160" i="1"/>
  <c r="Q160" i="1"/>
  <c r="J160" i="1"/>
  <c r="CX159" i="1"/>
  <c r="CN159" i="1"/>
  <c r="CI159" i="1"/>
  <c r="CF159" i="1"/>
  <c r="BR159" i="1"/>
  <c r="BO159" i="1"/>
  <c r="BI159" i="1"/>
  <c r="BE159" i="1"/>
  <c r="AF159" i="1"/>
  <c r="V159" i="1"/>
  <c r="Q159" i="1"/>
  <c r="J159" i="1"/>
  <c r="CX158" i="1"/>
  <c r="CN158" i="1"/>
  <c r="CI158" i="1"/>
  <c r="CF158" i="1"/>
  <c r="BR158" i="1"/>
  <c r="BO158" i="1"/>
  <c r="BI158" i="1"/>
  <c r="BE158" i="1"/>
  <c r="AF158" i="1"/>
  <c r="V158" i="1"/>
  <c r="Q158" i="1"/>
  <c r="J158" i="1"/>
  <c r="CX157" i="1"/>
  <c r="CN157" i="1"/>
  <c r="CI157" i="1"/>
  <c r="CF157" i="1"/>
  <c r="BR157" i="1"/>
  <c r="BO157" i="1"/>
  <c r="BI157" i="1"/>
  <c r="BE157" i="1"/>
  <c r="AF157" i="1"/>
  <c r="V157" i="1"/>
  <c r="Q157" i="1"/>
  <c r="J157" i="1"/>
  <c r="CX156" i="1"/>
  <c r="CN156" i="1"/>
  <c r="CI156" i="1"/>
  <c r="BR156" i="1"/>
  <c r="BO156" i="1"/>
  <c r="BI156" i="1"/>
  <c r="BE156" i="1"/>
  <c r="V156" i="1"/>
  <c r="Q156" i="1"/>
  <c r="CZ155" i="1"/>
  <c r="CY155" i="1"/>
  <c r="CV155" i="1"/>
  <c r="CU155" i="1"/>
  <c r="CT155" i="1"/>
  <c r="CQ155" i="1"/>
  <c r="CO155" i="1"/>
  <c r="CM155" i="1"/>
  <c r="CJ155" i="1"/>
  <c r="CG155" i="1"/>
  <c r="CC155" i="1"/>
  <c r="CB155" i="1"/>
  <c r="CA155" i="1"/>
  <c r="BZ155" i="1"/>
  <c r="BY155" i="1"/>
  <c r="BX155" i="1"/>
  <c r="BW155" i="1"/>
  <c r="BV155" i="1"/>
  <c r="BU155" i="1"/>
  <c r="BT155" i="1"/>
  <c r="BS155" i="1"/>
  <c r="BP155" i="1"/>
  <c r="BN155" i="1"/>
  <c r="BM155" i="1"/>
  <c r="BL155" i="1"/>
  <c r="BJ155" i="1"/>
  <c r="BH155" i="1"/>
  <c r="BG155" i="1"/>
  <c r="BF155" i="1"/>
  <c r="BA155" i="1"/>
  <c r="AZ155" i="1"/>
  <c r="AY155" i="1"/>
  <c r="AX155" i="1"/>
  <c r="AS155" i="1"/>
  <c r="AQ155" i="1"/>
  <c r="AP155" i="1"/>
  <c r="AO155" i="1"/>
  <c r="AN155" i="1"/>
  <c r="AM155" i="1"/>
  <c r="AL155" i="1"/>
  <c r="AK155" i="1"/>
  <c r="AJ155" i="1"/>
  <c r="AI155" i="1"/>
  <c r="AH155" i="1"/>
  <c r="AG155" i="1"/>
  <c r="AE155" i="1"/>
  <c r="AD155" i="1"/>
  <c r="AC155" i="1"/>
  <c r="AB155" i="1"/>
  <c r="AA155" i="1"/>
  <c r="Z155" i="1"/>
  <c r="Y155" i="1"/>
  <c r="X155" i="1"/>
  <c r="W155" i="1"/>
  <c r="U155" i="1"/>
  <c r="T155" i="1"/>
  <c r="S155" i="1"/>
  <c r="R155" i="1"/>
  <c r="N155" i="1"/>
  <c r="M155" i="1"/>
  <c r="L155" i="1"/>
  <c r="H155" i="1"/>
  <c r="CX154" i="1"/>
  <c r="CN154" i="1"/>
  <c r="CI154" i="1"/>
  <c r="CF154" i="1"/>
  <c r="BR154" i="1"/>
  <c r="BO154" i="1"/>
  <c r="BI154" i="1"/>
  <c r="BE154" i="1"/>
  <c r="AF154" i="1"/>
  <c r="V154" i="1"/>
  <c r="Q154" i="1"/>
  <c r="J154" i="1"/>
  <c r="CX153" i="1"/>
  <c r="CN153" i="1"/>
  <c r="CI153" i="1"/>
  <c r="CF153" i="1"/>
  <c r="BR153" i="1"/>
  <c r="BO153" i="1"/>
  <c r="BI153" i="1"/>
  <c r="BE153" i="1"/>
  <c r="AF153" i="1"/>
  <c r="V153" i="1"/>
  <c r="Q153" i="1"/>
  <c r="J153" i="1"/>
  <c r="CZ152" i="1"/>
  <c r="CY152" i="1"/>
  <c r="CV152" i="1"/>
  <c r="CU152" i="1"/>
  <c r="CT152" i="1"/>
  <c r="CQ152" i="1"/>
  <c r="CO152" i="1"/>
  <c r="CM152" i="1"/>
  <c r="CJ152" i="1"/>
  <c r="CH152" i="1"/>
  <c r="CG152" i="1"/>
  <c r="CC152" i="1"/>
  <c r="CB152" i="1"/>
  <c r="CA152" i="1"/>
  <c r="BZ152" i="1"/>
  <c r="BY152" i="1"/>
  <c r="BX152" i="1"/>
  <c r="BW152" i="1"/>
  <c r="BV152" i="1"/>
  <c r="BU152" i="1"/>
  <c r="BT152" i="1"/>
  <c r="BS152" i="1"/>
  <c r="BP152" i="1"/>
  <c r="BN152" i="1"/>
  <c r="BM152" i="1"/>
  <c r="BL152" i="1"/>
  <c r="BJ152" i="1"/>
  <c r="BH152" i="1"/>
  <c r="BG152" i="1"/>
  <c r="BF152" i="1"/>
  <c r="BC152" i="1"/>
  <c r="BA152" i="1"/>
  <c r="AZ152" i="1"/>
  <c r="AY152" i="1"/>
  <c r="AX152" i="1"/>
  <c r="AU152" i="1"/>
  <c r="AT152" i="1"/>
  <c r="AS152" i="1"/>
  <c r="AQ152" i="1"/>
  <c r="AP152" i="1"/>
  <c r="AO152" i="1"/>
  <c r="AN152" i="1"/>
  <c r="AM152" i="1"/>
  <c r="AL152" i="1"/>
  <c r="AK152" i="1"/>
  <c r="AJ152" i="1"/>
  <c r="AI152" i="1"/>
  <c r="AH152" i="1"/>
  <c r="AG152" i="1"/>
  <c r="AE152" i="1"/>
  <c r="AD152" i="1"/>
  <c r="AC152" i="1"/>
  <c r="AB152" i="1"/>
  <c r="AA152" i="1"/>
  <c r="Z152" i="1"/>
  <c r="Y152" i="1"/>
  <c r="X152" i="1"/>
  <c r="W152" i="1"/>
  <c r="U152" i="1"/>
  <c r="T152" i="1"/>
  <c r="S152" i="1"/>
  <c r="R152" i="1"/>
  <c r="P152" i="1"/>
  <c r="O152" i="1"/>
  <c r="N152" i="1"/>
  <c r="M152" i="1"/>
  <c r="L152" i="1"/>
  <c r="K152" i="1"/>
  <c r="I152" i="1"/>
  <c r="H152" i="1"/>
  <c r="CX151" i="1"/>
  <c r="CN151" i="1"/>
  <c r="CI151" i="1"/>
  <c r="CF151" i="1"/>
  <c r="BR151" i="1"/>
  <c r="BO151" i="1"/>
  <c r="BI151" i="1"/>
  <c r="BE151" i="1"/>
  <c r="AF151" i="1"/>
  <c r="V151" i="1"/>
  <c r="Q151" i="1"/>
  <c r="J151" i="1"/>
  <c r="CX150" i="1"/>
  <c r="CN150" i="1"/>
  <c r="CI150" i="1"/>
  <c r="CF150" i="1"/>
  <c r="BR150" i="1"/>
  <c r="BO150" i="1"/>
  <c r="BI150" i="1"/>
  <c r="BE150" i="1"/>
  <c r="AF150" i="1"/>
  <c r="V150" i="1"/>
  <c r="Q150" i="1"/>
  <c r="J150" i="1"/>
  <c r="CX149" i="1"/>
  <c r="CN149" i="1"/>
  <c r="CI149" i="1"/>
  <c r="CF149" i="1"/>
  <c r="BR149" i="1"/>
  <c r="BO149" i="1"/>
  <c r="BI149" i="1"/>
  <c r="BE149" i="1"/>
  <c r="AF149" i="1"/>
  <c r="V149" i="1"/>
  <c r="Q149" i="1"/>
  <c r="J149" i="1"/>
  <c r="CZ148" i="1"/>
  <c r="CY148" i="1"/>
  <c r="CV148" i="1"/>
  <c r="CU148" i="1"/>
  <c r="CT148" i="1"/>
  <c r="CQ148" i="1"/>
  <c r="CO148" i="1"/>
  <c r="CM148" i="1"/>
  <c r="CJ148" i="1"/>
  <c r="CH148" i="1"/>
  <c r="CG148" i="1"/>
  <c r="CC148" i="1"/>
  <c r="CB148" i="1"/>
  <c r="CA148" i="1"/>
  <c r="BZ148" i="1"/>
  <c r="BY148" i="1"/>
  <c r="BX148" i="1"/>
  <c r="BW148" i="1"/>
  <c r="BV148" i="1"/>
  <c r="BU148" i="1"/>
  <c r="BT148" i="1"/>
  <c r="BS148" i="1"/>
  <c r="BP148" i="1"/>
  <c r="BN148" i="1"/>
  <c r="BM148" i="1"/>
  <c r="BL148" i="1"/>
  <c r="BJ148" i="1"/>
  <c r="BH148" i="1"/>
  <c r="BG148" i="1"/>
  <c r="BF148" i="1"/>
  <c r="BC148" i="1"/>
  <c r="BA148" i="1"/>
  <c r="AZ148" i="1"/>
  <c r="AY148" i="1"/>
  <c r="AX148" i="1"/>
  <c r="AU148" i="1"/>
  <c r="AT148" i="1"/>
  <c r="AS148" i="1"/>
  <c r="AQ148" i="1"/>
  <c r="AP148" i="1"/>
  <c r="AO148" i="1"/>
  <c r="AN148" i="1"/>
  <c r="AM148" i="1"/>
  <c r="AL148" i="1"/>
  <c r="AK148" i="1"/>
  <c r="AJ148" i="1"/>
  <c r="AI148" i="1"/>
  <c r="AH148" i="1"/>
  <c r="AG148" i="1"/>
  <c r="AE148" i="1"/>
  <c r="AD148" i="1"/>
  <c r="AC148" i="1"/>
  <c r="AB148" i="1"/>
  <c r="AA148" i="1"/>
  <c r="Z148" i="1"/>
  <c r="Y148" i="1"/>
  <c r="X148" i="1"/>
  <c r="W148" i="1"/>
  <c r="U148" i="1"/>
  <c r="T148" i="1"/>
  <c r="S148" i="1"/>
  <c r="R148" i="1"/>
  <c r="P148" i="1"/>
  <c r="O148" i="1"/>
  <c r="N148" i="1"/>
  <c r="M148" i="1"/>
  <c r="L148" i="1"/>
  <c r="K148" i="1"/>
  <c r="CX146" i="1"/>
  <c r="CN146" i="1"/>
  <c r="CI146" i="1"/>
  <c r="CF146" i="1"/>
  <c r="BR146" i="1"/>
  <c r="BO146" i="1"/>
  <c r="BI146" i="1"/>
  <c r="BE146" i="1"/>
  <c r="AF146" i="1"/>
  <c r="V146" i="1"/>
  <c r="Q146" i="1"/>
  <c r="J146" i="1"/>
  <c r="CX145" i="1"/>
  <c r="CN145" i="1"/>
  <c r="CI145" i="1"/>
  <c r="CF145" i="1"/>
  <c r="BR145" i="1"/>
  <c r="BO145" i="1"/>
  <c r="BI145" i="1"/>
  <c r="BE145" i="1"/>
  <c r="AF145" i="1"/>
  <c r="V145" i="1"/>
  <c r="Q145" i="1"/>
  <c r="J145" i="1"/>
  <c r="CX144" i="1"/>
  <c r="CN144" i="1"/>
  <c r="CI144" i="1"/>
  <c r="CF144" i="1"/>
  <c r="BR144" i="1"/>
  <c r="BO144" i="1"/>
  <c r="BI144" i="1"/>
  <c r="BE144" i="1"/>
  <c r="AF144" i="1"/>
  <c r="V144" i="1"/>
  <c r="Q144" i="1"/>
  <c r="J144" i="1"/>
  <c r="CZ143" i="1"/>
  <c r="CY143" i="1"/>
  <c r="CV143" i="1"/>
  <c r="CU143" i="1"/>
  <c r="CT143" i="1"/>
  <c r="CQ143" i="1"/>
  <c r="CO143" i="1"/>
  <c r="CM143" i="1"/>
  <c r="CJ143" i="1"/>
  <c r="CH143" i="1"/>
  <c r="CG143" i="1"/>
  <c r="CC143" i="1"/>
  <c r="CB143" i="1"/>
  <c r="CA143" i="1"/>
  <c r="BZ143" i="1"/>
  <c r="BY143" i="1"/>
  <c r="BX143" i="1"/>
  <c r="BW143" i="1"/>
  <c r="BV143" i="1"/>
  <c r="BU143" i="1"/>
  <c r="BT143" i="1"/>
  <c r="BS143" i="1"/>
  <c r="BP143" i="1"/>
  <c r="BN143" i="1"/>
  <c r="BM143" i="1"/>
  <c r="BL143" i="1"/>
  <c r="BJ143" i="1"/>
  <c r="BH143" i="1"/>
  <c r="BG143" i="1"/>
  <c r="BF143" i="1"/>
  <c r="BC143" i="1"/>
  <c r="BA143" i="1"/>
  <c r="AZ143" i="1"/>
  <c r="AY143" i="1"/>
  <c r="AX143" i="1"/>
  <c r="AU143" i="1"/>
  <c r="AT143" i="1"/>
  <c r="AS143" i="1"/>
  <c r="AQ143" i="1"/>
  <c r="AP143" i="1"/>
  <c r="AO143" i="1"/>
  <c r="AN143" i="1"/>
  <c r="AM143" i="1"/>
  <c r="AL143" i="1"/>
  <c r="AK143" i="1"/>
  <c r="AJ143" i="1"/>
  <c r="AI143" i="1"/>
  <c r="AH143" i="1"/>
  <c r="AG143" i="1"/>
  <c r="AE143" i="1"/>
  <c r="AD143" i="1"/>
  <c r="AC143" i="1"/>
  <c r="AB143" i="1"/>
  <c r="AA143" i="1"/>
  <c r="Z143" i="1"/>
  <c r="Y143" i="1"/>
  <c r="X143" i="1"/>
  <c r="W143" i="1"/>
  <c r="U143" i="1"/>
  <c r="T143" i="1"/>
  <c r="S143" i="1"/>
  <c r="R143" i="1"/>
  <c r="P143" i="1"/>
  <c r="O143" i="1"/>
  <c r="N143" i="1"/>
  <c r="M143" i="1"/>
  <c r="L143" i="1"/>
  <c r="K143" i="1"/>
  <c r="I143" i="1"/>
  <c r="H143" i="1"/>
  <c r="CX142" i="1"/>
  <c r="CN142" i="1"/>
  <c r="CI142" i="1"/>
  <c r="CF142" i="1"/>
  <c r="BR142" i="1"/>
  <c r="BO142" i="1"/>
  <c r="BI142" i="1"/>
  <c r="BE142" i="1"/>
  <c r="AF142" i="1"/>
  <c r="V142" i="1"/>
  <c r="Q142" i="1"/>
  <c r="J142" i="1"/>
  <c r="CZ141" i="1"/>
  <c r="CY141" i="1"/>
  <c r="CV141" i="1"/>
  <c r="CU141" i="1"/>
  <c r="CT141" i="1"/>
  <c r="CQ141" i="1"/>
  <c r="CO141" i="1"/>
  <c r="CM141" i="1"/>
  <c r="CJ141" i="1"/>
  <c r="CH141" i="1"/>
  <c r="CG141" i="1"/>
  <c r="CC141" i="1"/>
  <c r="CB141" i="1"/>
  <c r="CA141" i="1"/>
  <c r="BZ141" i="1"/>
  <c r="BY141" i="1"/>
  <c r="BX141" i="1"/>
  <c r="BW141" i="1"/>
  <c r="BV141" i="1"/>
  <c r="BU141" i="1"/>
  <c r="BT141" i="1"/>
  <c r="BS141" i="1"/>
  <c r="BP141" i="1"/>
  <c r="BN141" i="1"/>
  <c r="BM141" i="1"/>
  <c r="BL141" i="1"/>
  <c r="BJ141" i="1"/>
  <c r="BH141" i="1"/>
  <c r="BG141" i="1"/>
  <c r="BF141" i="1"/>
  <c r="BC141" i="1"/>
  <c r="BA141" i="1"/>
  <c r="AZ141" i="1"/>
  <c r="AY141" i="1"/>
  <c r="AX141" i="1"/>
  <c r="AU141" i="1"/>
  <c r="AT141" i="1"/>
  <c r="AS141" i="1"/>
  <c r="AQ141" i="1"/>
  <c r="AP141" i="1"/>
  <c r="AO141" i="1"/>
  <c r="AN141" i="1"/>
  <c r="AM141" i="1"/>
  <c r="AL141" i="1"/>
  <c r="AK141" i="1"/>
  <c r="AJ141" i="1"/>
  <c r="AI141" i="1"/>
  <c r="AH141" i="1"/>
  <c r="AG141" i="1"/>
  <c r="AE141" i="1"/>
  <c r="AD141" i="1"/>
  <c r="AC141" i="1"/>
  <c r="AB141" i="1"/>
  <c r="AA141" i="1"/>
  <c r="Z141" i="1"/>
  <c r="Y141" i="1"/>
  <c r="X141" i="1"/>
  <c r="W141" i="1"/>
  <c r="U141" i="1"/>
  <c r="T141" i="1"/>
  <c r="S141" i="1"/>
  <c r="R141" i="1"/>
  <c r="P141" i="1"/>
  <c r="O141" i="1"/>
  <c r="N141" i="1"/>
  <c r="M141" i="1"/>
  <c r="L141" i="1"/>
  <c r="K141" i="1"/>
  <c r="H141" i="1"/>
  <c r="CX140" i="1"/>
  <c r="CN140" i="1"/>
  <c r="CI140" i="1"/>
  <c r="CF140" i="1"/>
  <c r="BR140" i="1"/>
  <c r="BO140" i="1"/>
  <c r="BI140" i="1"/>
  <c r="BE140" i="1"/>
  <c r="AF140" i="1"/>
  <c r="V140" i="1"/>
  <c r="Q140" i="1"/>
  <c r="J140" i="1"/>
  <c r="CZ139" i="1"/>
  <c r="CY139" i="1"/>
  <c r="CV139" i="1"/>
  <c r="CU139" i="1"/>
  <c r="CT139" i="1"/>
  <c r="CQ139" i="1"/>
  <c r="CO139" i="1"/>
  <c r="CM139" i="1"/>
  <c r="CJ139" i="1"/>
  <c r="CH139" i="1"/>
  <c r="CG139" i="1"/>
  <c r="CC139" i="1"/>
  <c r="CB139" i="1"/>
  <c r="CA139" i="1"/>
  <c r="BZ139" i="1"/>
  <c r="BY139" i="1"/>
  <c r="BX139" i="1"/>
  <c r="BW139" i="1"/>
  <c r="BV139" i="1"/>
  <c r="BU139" i="1"/>
  <c r="BT139" i="1"/>
  <c r="BS139" i="1"/>
  <c r="BP139" i="1"/>
  <c r="BN139" i="1"/>
  <c r="BM139" i="1"/>
  <c r="BL139" i="1"/>
  <c r="BJ139" i="1"/>
  <c r="BH139" i="1"/>
  <c r="BG139" i="1"/>
  <c r="BF139" i="1"/>
  <c r="BC139" i="1"/>
  <c r="BA139" i="1"/>
  <c r="AZ139" i="1"/>
  <c r="AY139" i="1"/>
  <c r="AX139" i="1"/>
  <c r="AU139" i="1"/>
  <c r="AT139" i="1"/>
  <c r="AS139" i="1"/>
  <c r="AQ139" i="1"/>
  <c r="AP139" i="1"/>
  <c r="AO139" i="1"/>
  <c r="AN139" i="1"/>
  <c r="AM139" i="1"/>
  <c r="AL139" i="1"/>
  <c r="AK139" i="1"/>
  <c r="AJ139" i="1"/>
  <c r="AI139" i="1"/>
  <c r="AH139" i="1"/>
  <c r="AG139" i="1"/>
  <c r="AE139" i="1"/>
  <c r="AD139" i="1"/>
  <c r="AC139" i="1"/>
  <c r="AB139" i="1"/>
  <c r="AA139" i="1"/>
  <c r="Z139" i="1"/>
  <c r="Y139" i="1"/>
  <c r="X139" i="1"/>
  <c r="W139" i="1"/>
  <c r="U139" i="1"/>
  <c r="T139" i="1"/>
  <c r="S139" i="1"/>
  <c r="R139" i="1"/>
  <c r="P139" i="1"/>
  <c r="O139" i="1"/>
  <c r="N139" i="1"/>
  <c r="M139" i="1"/>
  <c r="L139" i="1"/>
  <c r="K139" i="1"/>
  <c r="CX138" i="1"/>
  <c r="CN138" i="1"/>
  <c r="CI138" i="1"/>
  <c r="CF138" i="1"/>
  <c r="BR138" i="1"/>
  <c r="BO138" i="1"/>
  <c r="BI138" i="1"/>
  <c r="BE138" i="1"/>
  <c r="V138" i="1"/>
  <c r="Q138" i="1"/>
  <c r="J138" i="1"/>
  <c r="I135" i="1"/>
  <c r="H135" i="1"/>
  <c r="CX137" i="1"/>
  <c r="CN137" i="1"/>
  <c r="CI137" i="1"/>
  <c r="CF137" i="1"/>
  <c r="BR137" i="1"/>
  <c r="BO137" i="1"/>
  <c r="BI137" i="1"/>
  <c r="BE137" i="1"/>
  <c r="AF137" i="1"/>
  <c r="V137" i="1"/>
  <c r="Q137" i="1"/>
  <c r="J137" i="1"/>
  <c r="CX136" i="1"/>
  <c r="CN136" i="1"/>
  <c r="CI136" i="1"/>
  <c r="CF136" i="1"/>
  <c r="BR136" i="1"/>
  <c r="BO136" i="1"/>
  <c r="BI136" i="1"/>
  <c r="BE136" i="1"/>
  <c r="AF136" i="1"/>
  <c r="V136" i="1"/>
  <c r="Q136" i="1"/>
  <c r="J136" i="1"/>
  <c r="CZ135" i="1"/>
  <c r="CY135" i="1"/>
  <c r="CV135" i="1"/>
  <c r="CU135" i="1"/>
  <c r="CT135" i="1"/>
  <c r="CQ135" i="1"/>
  <c r="CO135" i="1"/>
  <c r="CM135" i="1"/>
  <c r="CJ135" i="1"/>
  <c r="CG135" i="1"/>
  <c r="CC135" i="1"/>
  <c r="CB135" i="1"/>
  <c r="CA135" i="1"/>
  <c r="BZ135" i="1"/>
  <c r="BY135" i="1"/>
  <c r="BX135" i="1"/>
  <c r="BW135" i="1"/>
  <c r="BV135" i="1"/>
  <c r="BU135" i="1"/>
  <c r="BT135" i="1"/>
  <c r="BS135" i="1"/>
  <c r="BP135" i="1"/>
  <c r="BN135" i="1"/>
  <c r="BM135" i="1"/>
  <c r="BL135" i="1"/>
  <c r="BJ135" i="1"/>
  <c r="BH135" i="1"/>
  <c r="BG135" i="1"/>
  <c r="BF135" i="1"/>
  <c r="BC135" i="1"/>
  <c r="BA135" i="1"/>
  <c r="AZ135" i="1"/>
  <c r="AY135" i="1"/>
  <c r="AX135" i="1"/>
  <c r="AT135" i="1"/>
  <c r="AS135" i="1"/>
  <c r="AQ135" i="1"/>
  <c r="AP135" i="1"/>
  <c r="AO135" i="1"/>
  <c r="AN135" i="1"/>
  <c r="AM135" i="1"/>
  <c r="AL135" i="1"/>
  <c r="AK135" i="1"/>
  <c r="AJ135" i="1"/>
  <c r="AI135" i="1"/>
  <c r="AH135" i="1"/>
  <c r="AG135" i="1"/>
  <c r="AE135" i="1"/>
  <c r="AD135" i="1"/>
  <c r="AC135" i="1"/>
  <c r="AB135" i="1"/>
  <c r="AA135" i="1"/>
  <c r="Z135" i="1"/>
  <c r="Y135" i="1"/>
  <c r="X135" i="1"/>
  <c r="W135" i="1"/>
  <c r="U135" i="1"/>
  <c r="T135" i="1"/>
  <c r="S135" i="1"/>
  <c r="R135" i="1"/>
  <c r="P135" i="1"/>
  <c r="O135" i="1"/>
  <c r="N135" i="1"/>
  <c r="M135" i="1"/>
  <c r="L135" i="1"/>
  <c r="K135" i="1"/>
  <c r="CX134" i="1"/>
  <c r="CN134" i="1"/>
  <c r="CI134" i="1"/>
  <c r="CF134" i="1"/>
  <c r="BR134" i="1"/>
  <c r="BO134" i="1"/>
  <c r="BI134" i="1"/>
  <c r="BE134" i="1"/>
  <c r="AF134" i="1"/>
  <c r="V134" i="1"/>
  <c r="Q134" i="1"/>
  <c r="J134" i="1"/>
  <c r="CX133" i="1"/>
  <c r="CN133" i="1"/>
  <c r="CI133" i="1"/>
  <c r="BR133" i="1"/>
  <c r="BO133" i="1"/>
  <c r="BI133" i="1"/>
  <c r="BE133" i="1"/>
  <c r="V133" i="1"/>
  <c r="Q133" i="1"/>
  <c r="J133" i="1"/>
  <c r="CX132" i="1"/>
  <c r="CN132" i="1"/>
  <c r="CI132" i="1"/>
  <c r="CF132" i="1"/>
  <c r="BR132" i="1"/>
  <c r="BO132" i="1"/>
  <c r="BI132" i="1"/>
  <c r="BE132" i="1"/>
  <c r="AF132" i="1"/>
  <c r="V132" i="1"/>
  <c r="Q132" i="1"/>
  <c r="J132" i="1"/>
  <c r="CZ131" i="1"/>
  <c r="CY131" i="1"/>
  <c r="CV131" i="1"/>
  <c r="CU131" i="1"/>
  <c r="CT131" i="1"/>
  <c r="CQ131" i="1"/>
  <c r="CO131" i="1"/>
  <c r="CM131" i="1"/>
  <c r="CJ131" i="1"/>
  <c r="CG131" i="1"/>
  <c r="CC131" i="1"/>
  <c r="CB131" i="1"/>
  <c r="CA131" i="1"/>
  <c r="BZ131" i="1"/>
  <c r="BY131" i="1"/>
  <c r="BX131" i="1"/>
  <c r="BW131" i="1"/>
  <c r="BV131" i="1"/>
  <c r="BU131" i="1"/>
  <c r="BT131" i="1"/>
  <c r="BS131" i="1"/>
  <c r="BP131" i="1"/>
  <c r="BN131" i="1"/>
  <c r="BM131" i="1"/>
  <c r="BL131" i="1"/>
  <c r="BJ131" i="1"/>
  <c r="BH131" i="1"/>
  <c r="BG131" i="1"/>
  <c r="BF131" i="1"/>
  <c r="BC131" i="1"/>
  <c r="BA131" i="1"/>
  <c r="AZ131" i="1"/>
  <c r="AY131" i="1"/>
  <c r="AX131" i="1"/>
  <c r="AU131" i="1"/>
  <c r="AT131" i="1"/>
  <c r="AS131" i="1"/>
  <c r="AQ131" i="1"/>
  <c r="AP131" i="1"/>
  <c r="AO131" i="1"/>
  <c r="AM131" i="1"/>
  <c r="AI131" i="1"/>
  <c r="AH131" i="1"/>
  <c r="AG131" i="1"/>
  <c r="AE131" i="1"/>
  <c r="AD131" i="1"/>
  <c r="AC131" i="1"/>
  <c r="AB131" i="1"/>
  <c r="AA131" i="1"/>
  <c r="Z131" i="1"/>
  <c r="Y131" i="1"/>
  <c r="X131" i="1"/>
  <c r="W131" i="1"/>
  <c r="U131" i="1"/>
  <c r="T131" i="1"/>
  <c r="S131" i="1"/>
  <c r="R131" i="1"/>
  <c r="O131" i="1"/>
  <c r="N131" i="1"/>
  <c r="M131" i="1"/>
  <c r="L131" i="1"/>
  <c r="K131" i="1"/>
  <c r="I131" i="1"/>
  <c r="CX130" i="1"/>
  <c r="CN130" i="1"/>
  <c r="CI130" i="1"/>
  <c r="CF130" i="1"/>
  <c r="BR130" i="1"/>
  <c r="BO130" i="1"/>
  <c r="BI130" i="1"/>
  <c r="BE130" i="1"/>
  <c r="AF130" i="1"/>
  <c r="V130" i="1"/>
  <c r="Q130" i="1"/>
  <c r="J130" i="1"/>
  <c r="CX129" i="1"/>
  <c r="CN129" i="1"/>
  <c r="CI129" i="1"/>
  <c r="CF129" i="1"/>
  <c r="BR129" i="1"/>
  <c r="BO129" i="1"/>
  <c r="BI129" i="1"/>
  <c r="BE129" i="1"/>
  <c r="AF129" i="1"/>
  <c r="V129" i="1"/>
  <c r="Q129" i="1"/>
  <c r="J129" i="1"/>
  <c r="CX128" i="1"/>
  <c r="CN128" i="1"/>
  <c r="CI128" i="1"/>
  <c r="CF128" i="1"/>
  <c r="BR128" i="1"/>
  <c r="BO128" i="1"/>
  <c r="BI128" i="1"/>
  <c r="BE128" i="1"/>
  <c r="AF128" i="1"/>
  <c r="V128" i="1"/>
  <c r="Q128" i="1"/>
  <c r="J128" i="1"/>
  <c r="CZ127" i="1"/>
  <c r="CY127" i="1"/>
  <c r="CV127" i="1"/>
  <c r="CU127" i="1"/>
  <c r="CT127" i="1"/>
  <c r="CQ127" i="1"/>
  <c r="CO127" i="1"/>
  <c r="CM127" i="1"/>
  <c r="CJ127" i="1"/>
  <c r="CH127" i="1"/>
  <c r="CG127" i="1"/>
  <c r="CC127" i="1"/>
  <c r="CB127" i="1"/>
  <c r="CA127" i="1"/>
  <c r="BZ127" i="1"/>
  <c r="BY127" i="1"/>
  <c r="BX127" i="1"/>
  <c r="BW127" i="1"/>
  <c r="BV127" i="1"/>
  <c r="BU127" i="1"/>
  <c r="BT127" i="1"/>
  <c r="BS127" i="1"/>
  <c r="BP127" i="1"/>
  <c r="BN127" i="1"/>
  <c r="BM127" i="1"/>
  <c r="BL127" i="1"/>
  <c r="BJ127" i="1"/>
  <c r="BH127" i="1"/>
  <c r="BG127" i="1"/>
  <c r="BF127" i="1"/>
  <c r="BC127" i="1"/>
  <c r="BA127" i="1"/>
  <c r="AZ127" i="1"/>
  <c r="AY127" i="1"/>
  <c r="AX127" i="1"/>
  <c r="AU127" i="1"/>
  <c r="AT127" i="1"/>
  <c r="AS127" i="1"/>
  <c r="AQ127" i="1"/>
  <c r="AP127" i="1"/>
  <c r="AO127" i="1"/>
  <c r="AN127" i="1"/>
  <c r="AM127" i="1"/>
  <c r="AL127" i="1"/>
  <c r="AK127" i="1"/>
  <c r="AJ127" i="1"/>
  <c r="AI127" i="1"/>
  <c r="AH127" i="1"/>
  <c r="AG127" i="1"/>
  <c r="AE127" i="1"/>
  <c r="AD127" i="1"/>
  <c r="AC127" i="1"/>
  <c r="AB127" i="1"/>
  <c r="AA127" i="1"/>
  <c r="Z127" i="1"/>
  <c r="Y127" i="1"/>
  <c r="X127" i="1"/>
  <c r="W127" i="1"/>
  <c r="U127" i="1"/>
  <c r="T127" i="1"/>
  <c r="S127" i="1"/>
  <c r="R127" i="1"/>
  <c r="P127" i="1"/>
  <c r="O127" i="1"/>
  <c r="N127" i="1"/>
  <c r="M127" i="1"/>
  <c r="L127" i="1"/>
  <c r="K127" i="1"/>
  <c r="CX125" i="1"/>
  <c r="CN125" i="1"/>
  <c r="CI125" i="1"/>
  <c r="CF125" i="1"/>
  <c r="BR125" i="1"/>
  <c r="BO125" i="1"/>
  <c r="BI125" i="1"/>
  <c r="BE125" i="1"/>
  <c r="V125" i="1"/>
  <c r="Q125" i="1"/>
  <c r="J125" i="1"/>
  <c r="CX121" i="1"/>
  <c r="CN121" i="1"/>
  <c r="CI121" i="1"/>
  <c r="CF121" i="1"/>
  <c r="BR121" i="1"/>
  <c r="BO121" i="1"/>
  <c r="BI121" i="1"/>
  <c r="BE121" i="1"/>
  <c r="AF121" i="1"/>
  <c r="V121" i="1"/>
  <c r="Q121" i="1"/>
  <c r="J121" i="1"/>
  <c r="CX116" i="1"/>
  <c r="CN116" i="1"/>
  <c r="CI116" i="1"/>
  <c r="CF116" i="1"/>
  <c r="BR116" i="1"/>
  <c r="BO116" i="1"/>
  <c r="BI116" i="1"/>
  <c r="BE116" i="1"/>
  <c r="AF116" i="1"/>
  <c r="V116" i="1"/>
  <c r="Q116" i="1"/>
  <c r="J116" i="1"/>
  <c r="CX113" i="1"/>
  <c r="CN113" i="1"/>
  <c r="CI113" i="1"/>
  <c r="CF113" i="1"/>
  <c r="BR113" i="1"/>
  <c r="BO113" i="1"/>
  <c r="BI113" i="1"/>
  <c r="BE113" i="1"/>
  <c r="AF113" i="1"/>
  <c r="V113" i="1"/>
  <c r="Q113" i="1"/>
  <c r="J113" i="1"/>
  <c r="CZ112" i="1"/>
  <c r="CY112" i="1"/>
  <c r="CV112" i="1"/>
  <c r="CU112" i="1"/>
  <c r="CT112" i="1"/>
  <c r="CQ112" i="1"/>
  <c r="CO112" i="1"/>
  <c r="CM112" i="1"/>
  <c r="CJ112" i="1"/>
  <c r="CH112" i="1"/>
  <c r="CG112" i="1"/>
  <c r="CC112" i="1"/>
  <c r="CB112" i="1"/>
  <c r="CA112" i="1"/>
  <c r="BZ112" i="1"/>
  <c r="BY112" i="1"/>
  <c r="BX112" i="1"/>
  <c r="BW112" i="1"/>
  <c r="BV112" i="1"/>
  <c r="BU112" i="1"/>
  <c r="BT112" i="1"/>
  <c r="BS112" i="1"/>
  <c r="BP112" i="1"/>
  <c r="BN112" i="1"/>
  <c r="BM112" i="1"/>
  <c r="BL112" i="1"/>
  <c r="BJ112" i="1"/>
  <c r="BH112" i="1"/>
  <c r="BG112" i="1"/>
  <c r="BF112" i="1"/>
  <c r="BC112" i="1"/>
  <c r="BA112" i="1"/>
  <c r="AZ112" i="1"/>
  <c r="AY112" i="1"/>
  <c r="AX112" i="1"/>
  <c r="AU112" i="1"/>
  <c r="AT112" i="1"/>
  <c r="AS112" i="1"/>
  <c r="AQ112" i="1"/>
  <c r="AP112" i="1"/>
  <c r="AO112" i="1"/>
  <c r="AN112" i="1"/>
  <c r="AM112" i="1"/>
  <c r="AL112" i="1"/>
  <c r="AK112" i="1"/>
  <c r="AJ112" i="1"/>
  <c r="AI112" i="1"/>
  <c r="AH112" i="1"/>
  <c r="AG112" i="1"/>
  <c r="AE112" i="1"/>
  <c r="AD112" i="1"/>
  <c r="AC112" i="1"/>
  <c r="AB112" i="1"/>
  <c r="AA112" i="1"/>
  <c r="Z112" i="1"/>
  <c r="Y112" i="1"/>
  <c r="X112" i="1"/>
  <c r="W112" i="1"/>
  <c r="U112" i="1"/>
  <c r="T112" i="1"/>
  <c r="S112" i="1"/>
  <c r="R112" i="1"/>
  <c r="P112" i="1"/>
  <c r="O112" i="1"/>
  <c r="N112" i="1"/>
  <c r="M112" i="1"/>
  <c r="L112" i="1"/>
  <c r="K112" i="1"/>
  <c r="H112" i="1"/>
  <c r="CX110" i="1"/>
  <c r="CN110" i="1"/>
  <c r="CI110" i="1"/>
  <c r="CF110" i="1"/>
  <c r="BR110" i="1"/>
  <c r="BO110" i="1"/>
  <c r="BE110" i="1"/>
  <c r="AF110" i="1"/>
  <c r="V110" i="1"/>
  <c r="Q110" i="1"/>
  <c r="J110" i="1"/>
  <c r="CX107" i="1"/>
  <c r="CN107" i="1"/>
  <c r="CI107" i="1"/>
  <c r="CF107" i="1"/>
  <c r="BR107" i="1"/>
  <c r="BO107" i="1"/>
  <c r="BI107" i="1"/>
  <c r="BE107" i="1"/>
  <c r="AF107" i="1"/>
  <c r="V107" i="1"/>
  <c r="Q107" i="1"/>
  <c r="J107" i="1"/>
  <c r="CZ106" i="1"/>
  <c r="CY106" i="1"/>
  <c r="CV106" i="1"/>
  <c r="CU106" i="1"/>
  <c r="CT106" i="1"/>
  <c r="CQ106" i="1"/>
  <c r="CO106" i="1"/>
  <c r="CM106" i="1"/>
  <c r="CJ106" i="1"/>
  <c r="CH106" i="1"/>
  <c r="CG106" i="1"/>
  <c r="CC106" i="1"/>
  <c r="CB106" i="1"/>
  <c r="CA106" i="1"/>
  <c r="BZ106" i="1"/>
  <c r="BY106" i="1"/>
  <c r="BX106" i="1"/>
  <c r="BW106" i="1"/>
  <c r="BV106" i="1"/>
  <c r="BU106" i="1"/>
  <c r="BT106" i="1"/>
  <c r="BS106" i="1"/>
  <c r="BP106" i="1"/>
  <c r="BN106" i="1"/>
  <c r="BM106" i="1"/>
  <c r="BL106" i="1"/>
  <c r="BJ106" i="1"/>
  <c r="BH106" i="1"/>
  <c r="BG106" i="1"/>
  <c r="BF106" i="1"/>
  <c r="BC106" i="1"/>
  <c r="BA106" i="1"/>
  <c r="AZ106" i="1"/>
  <c r="AY106" i="1"/>
  <c r="AX106" i="1"/>
  <c r="AU106" i="1"/>
  <c r="AT106" i="1"/>
  <c r="AS106" i="1"/>
  <c r="AQ106" i="1"/>
  <c r="AP106" i="1"/>
  <c r="AO106" i="1"/>
  <c r="AN106" i="1"/>
  <c r="AM106" i="1"/>
  <c r="AL106" i="1"/>
  <c r="AK106" i="1"/>
  <c r="AJ106" i="1"/>
  <c r="AI106" i="1"/>
  <c r="AH106" i="1"/>
  <c r="AG106" i="1"/>
  <c r="AE106" i="1"/>
  <c r="AD106" i="1"/>
  <c r="AC106" i="1"/>
  <c r="AB106" i="1"/>
  <c r="AA106" i="1"/>
  <c r="Z106" i="1"/>
  <c r="Y106" i="1"/>
  <c r="X106" i="1"/>
  <c r="W106" i="1"/>
  <c r="U106" i="1"/>
  <c r="T106" i="1"/>
  <c r="S106" i="1"/>
  <c r="R106" i="1"/>
  <c r="P106" i="1"/>
  <c r="O106" i="1"/>
  <c r="N106" i="1"/>
  <c r="M106" i="1"/>
  <c r="L106" i="1"/>
  <c r="K106" i="1"/>
  <c r="CX104" i="1"/>
  <c r="CN104" i="1"/>
  <c r="CI104" i="1"/>
  <c r="CF104" i="1"/>
  <c r="BR104" i="1"/>
  <c r="BO104" i="1"/>
  <c r="BI104" i="1"/>
  <c r="BE104" i="1"/>
  <c r="AF104" i="1"/>
  <c r="V104" i="1"/>
  <c r="Q104" i="1"/>
  <c r="J104" i="1"/>
  <c r="CZ103" i="1"/>
  <c r="CY103" i="1"/>
  <c r="CV103" i="1"/>
  <c r="CU103" i="1"/>
  <c r="CT103" i="1"/>
  <c r="CQ103" i="1"/>
  <c r="CO103" i="1"/>
  <c r="CM103" i="1"/>
  <c r="CJ103" i="1"/>
  <c r="CH103" i="1"/>
  <c r="CG103" i="1"/>
  <c r="CC103" i="1"/>
  <c r="CB103" i="1"/>
  <c r="CA103" i="1"/>
  <c r="BZ103" i="1"/>
  <c r="BY103" i="1"/>
  <c r="BX103" i="1"/>
  <c r="BW103" i="1"/>
  <c r="BV103" i="1"/>
  <c r="BU103" i="1"/>
  <c r="BT103" i="1"/>
  <c r="BS103" i="1"/>
  <c r="BP103" i="1"/>
  <c r="BN103" i="1"/>
  <c r="BM103" i="1"/>
  <c r="BL103" i="1"/>
  <c r="BJ103" i="1"/>
  <c r="BH103" i="1"/>
  <c r="BG103" i="1"/>
  <c r="BF103" i="1"/>
  <c r="BC103" i="1"/>
  <c r="BA103" i="1"/>
  <c r="AZ103" i="1"/>
  <c r="AY103" i="1"/>
  <c r="AX103" i="1"/>
  <c r="AU103" i="1"/>
  <c r="AT103" i="1"/>
  <c r="AS103" i="1"/>
  <c r="AQ103" i="1"/>
  <c r="AP103" i="1"/>
  <c r="AO103" i="1"/>
  <c r="AN103" i="1"/>
  <c r="AM103" i="1"/>
  <c r="AL103" i="1"/>
  <c r="AK103" i="1"/>
  <c r="AJ103" i="1"/>
  <c r="AI103" i="1"/>
  <c r="AH103" i="1"/>
  <c r="AG103" i="1"/>
  <c r="AE103" i="1"/>
  <c r="AD103" i="1"/>
  <c r="AC103" i="1"/>
  <c r="AB103" i="1"/>
  <c r="AA103" i="1"/>
  <c r="Z103" i="1"/>
  <c r="Y103" i="1"/>
  <c r="X103" i="1"/>
  <c r="W103" i="1"/>
  <c r="U103" i="1"/>
  <c r="T103" i="1"/>
  <c r="S103" i="1"/>
  <c r="R103" i="1"/>
  <c r="P103" i="1"/>
  <c r="O103" i="1"/>
  <c r="N103" i="1"/>
  <c r="M103" i="1"/>
  <c r="L103" i="1"/>
  <c r="K103" i="1"/>
  <c r="I103" i="1"/>
  <c r="H103" i="1"/>
  <c r="CX99" i="1"/>
  <c r="CN99" i="1"/>
  <c r="CI99" i="1"/>
  <c r="CF99" i="1"/>
  <c r="BR99" i="1"/>
  <c r="BO99" i="1"/>
  <c r="BI99" i="1"/>
  <c r="BE99" i="1"/>
  <c r="AF99" i="1"/>
  <c r="V99" i="1"/>
  <c r="Q99" i="1"/>
  <c r="J99" i="1"/>
  <c r="CX98" i="1"/>
  <c r="CN98" i="1"/>
  <c r="CI98" i="1"/>
  <c r="CF98" i="1"/>
  <c r="BR98" i="1"/>
  <c r="BO98" i="1"/>
  <c r="BI98" i="1"/>
  <c r="BE98" i="1"/>
  <c r="AF98" i="1"/>
  <c r="V98" i="1"/>
  <c r="Q98" i="1"/>
  <c r="J98" i="1"/>
  <c r="CX96" i="1"/>
  <c r="CN96" i="1"/>
  <c r="CI96" i="1"/>
  <c r="CF96" i="1"/>
  <c r="BR96" i="1"/>
  <c r="BO96" i="1"/>
  <c r="BI96" i="1"/>
  <c r="BE96" i="1"/>
  <c r="AF96" i="1"/>
  <c r="V96" i="1"/>
  <c r="Q96" i="1"/>
  <c r="J96" i="1"/>
  <c r="CX95" i="1"/>
  <c r="CN95" i="1"/>
  <c r="CI95" i="1"/>
  <c r="CF95" i="1"/>
  <c r="BR95" i="1"/>
  <c r="BO95" i="1"/>
  <c r="BI95" i="1"/>
  <c r="BE95" i="1"/>
  <c r="AF95" i="1"/>
  <c r="V95" i="1"/>
  <c r="Q95" i="1"/>
  <c r="J95" i="1"/>
  <c r="CX94" i="1"/>
  <c r="CN94" i="1"/>
  <c r="CI94" i="1"/>
  <c r="CF94" i="1"/>
  <c r="BR94" i="1"/>
  <c r="BO94" i="1"/>
  <c r="BI94" i="1"/>
  <c r="BE94" i="1"/>
  <c r="AF94" i="1"/>
  <c r="V94" i="1"/>
  <c r="Q94" i="1"/>
  <c r="J94" i="1"/>
  <c r="CX93" i="1"/>
  <c r="CN93" i="1"/>
  <c r="CI93" i="1"/>
  <c r="CF93" i="1"/>
  <c r="BR93" i="1"/>
  <c r="BO93" i="1"/>
  <c r="BI93" i="1"/>
  <c r="BE93" i="1"/>
  <c r="AF93" i="1"/>
  <c r="V93" i="1"/>
  <c r="Q93" i="1"/>
  <c r="J93" i="1"/>
  <c r="CZ92" i="1"/>
  <c r="CY92" i="1"/>
  <c r="CV92" i="1"/>
  <c r="CU92" i="1"/>
  <c r="CT92" i="1"/>
  <c r="CQ92" i="1"/>
  <c r="CO92" i="1"/>
  <c r="CM92" i="1"/>
  <c r="CJ92" i="1"/>
  <c r="CH92" i="1"/>
  <c r="CG92" i="1"/>
  <c r="CC92" i="1"/>
  <c r="CB92" i="1"/>
  <c r="CA92" i="1"/>
  <c r="BZ92" i="1"/>
  <c r="BY92" i="1"/>
  <c r="BX92" i="1"/>
  <c r="BW92" i="1"/>
  <c r="BV92" i="1"/>
  <c r="BU92" i="1"/>
  <c r="BT92" i="1"/>
  <c r="BS92" i="1"/>
  <c r="BP92" i="1"/>
  <c r="BN92" i="1"/>
  <c r="BM92" i="1"/>
  <c r="BL92" i="1"/>
  <c r="BJ92" i="1"/>
  <c r="BH92" i="1"/>
  <c r="BG92" i="1"/>
  <c r="BF92" i="1"/>
  <c r="BC92" i="1"/>
  <c r="BA92" i="1"/>
  <c r="AZ92" i="1"/>
  <c r="AY92" i="1"/>
  <c r="AX92" i="1"/>
  <c r="AU92" i="1"/>
  <c r="AT92" i="1"/>
  <c r="AS92" i="1"/>
  <c r="AQ92" i="1"/>
  <c r="AP92" i="1"/>
  <c r="AO92" i="1"/>
  <c r="AN92" i="1"/>
  <c r="AM92" i="1"/>
  <c r="AL92" i="1"/>
  <c r="AK92" i="1"/>
  <c r="AJ92" i="1"/>
  <c r="AI92" i="1"/>
  <c r="AH92" i="1"/>
  <c r="AG92" i="1"/>
  <c r="AE92" i="1"/>
  <c r="AD92" i="1"/>
  <c r="AC92" i="1"/>
  <c r="AB92" i="1"/>
  <c r="AA92" i="1"/>
  <c r="Z92" i="1"/>
  <c r="Y92" i="1"/>
  <c r="X92" i="1"/>
  <c r="W92" i="1"/>
  <c r="U92" i="1"/>
  <c r="T92" i="1"/>
  <c r="S92" i="1"/>
  <c r="R92" i="1"/>
  <c r="P92" i="1"/>
  <c r="O92" i="1"/>
  <c r="N92" i="1"/>
  <c r="M92" i="1"/>
  <c r="L92" i="1"/>
  <c r="K92" i="1"/>
  <c r="H92" i="1"/>
  <c r="CX91" i="1"/>
  <c r="CN91" i="1"/>
  <c r="CI91" i="1"/>
  <c r="CF91" i="1"/>
  <c r="BR91" i="1"/>
  <c r="BO91" i="1"/>
  <c r="BI91" i="1"/>
  <c r="BE91" i="1"/>
  <c r="AF91" i="1"/>
  <c r="V91" i="1"/>
  <c r="Q91" i="1"/>
  <c r="J91" i="1"/>
  <c r="CX90" i="1"/>
  <c r="CN90" i="1"/>
  <c r="CI90" i="1"/>
  <c r="CF90" i="1"/>
  <c r="BR90" i="1"/>
  <c r="BO90" i="1"/>
  <c r="BI90" i="1"/>
  <c r="BE90" i="1"/>
  <c r="AF90" i="1"/>
  <c r="V90" i="1"/>
  <c r="Q90" i="1"/>
  <c r="J90" i="1"/>
  <c r="CZ89" i="1"/>
  <c r="CY89" i="1"/>
  <c r="CV89" i="1"/>
  <c r="CU89" i="1"/>
  <c r="CT89" i="1"/>
  <c r="CQ89" i="1"/>
  <c r="CO89" i="1"/>
  <c r="CM89" i="1"/>
  <c r="CJ89" i="1"/>
  <c r="CH89" i="1"/>
  <c r="CG89" i="1"/>
  <c r="CC89" i="1"/>
  <c r="CB89" i="1"/>
  <c r="CA89" i="1"/>
  <c r="BZ89" i="1"/>
  <c r="BY89" i="1"/>
  <c r="BX89" i="1"/>
  <c r="BW89" i="1"/>
  <c r="BV89" i="1"/>
  <c r="BU89" i="1"/>
  <c r="BT89" i="1"/>
  <c r="BS89" i="1"/>
  <c r="BP89" i="1"/>
  <c r="BN89" i="1"/>
  <c r="BM89" i="1"/>
  <c r="BL89" i="1"/>
  <c r="BJ89" i="1"/>
  <c r="BH89" i="1"/>
  <c r="BG89" i="1"/>
  <c r="BF89" i="1"/>
  <c r="BC89" i="1"/>
  <c r="BA89" i="1"/>
  <c r="AZ89" i="1"/>
  <c r="AY89" i="1"/>
  <c r="AX89" i="1"/>
  <c r="AU89" i="1"/>
  <c r="AT89" i="1"/>
  <c r="AS89" i="1"/>
  <c r="AQ89" i="1"/>
  <c r="AP89" i="1"/>
  <c r="AO89" i="1"/>
  <c r="AN89" i="1"/>
  <c r="AM89" i="1"/>
  <c r="AL89" i="1"/>
  <c r="AK89" i="1"/>
  <c r="AJ89" i="1"/>
  <c r="AI89" i="1"/>
  <c r="AH89" i="1"/>
  <c r="AG89" i="1"/>
  <c r="AE89" i="1"/>
  <c r="AD89" i="1"/>
  <c r="AC89" i="1"/>
  <c r="AB89" i="1"/>
  <c r="AA89" i="1"/>
  <c r="Z89" i="1"/>
  <c r="Y89" i="1"/>
  <c r="X89" i="1"/>
  <c r="W89" i="1"/>
  <c r="U89" i="1"/>
  <c r="T89" i="1"/>
  <c r="S89" i="1"/>
  <c r="R89" i="1"/>
  <c r="P89" i="1"/>
  <c r="O89" i="1"/>
  <c r="N89" i="1"/>
  <c r="M89" i="1"/>
  <c r="L89" i="1"/>
  <c r="K89" i="1"/>
  <c r="H89" i="1"/>
  <c r="CX87" i="1"/>
  <c r="CN87" i="1"/>
  <c r="CI87" i="1"/>
  <c r="CF87" i="1"/>
  <c r="BR87" i="1"/>
  <c r="BO87" i="1"/>
  <c r="BI87" i="1"/>
  <c r="BE87" i="1"/>
  <c r="AF87" i="1"/>
  <c r="V87" i="1"/>
  <c r="Q87" i="1"/>
  <c r="J87" i="1"/>
  <c r="CZ86" i="1"/>
  <c r="CY86" i="1"/>
  <c r="CV86" i="1"/>
  <c r="CU86" i="1"/>
  <c r="CT86" i="1"/>
  <c r="CQ86" i="1"/>
  <c r="CO86" i="1"/>
  <c r="CM86" i="1"/>
  <c r="CJ86" i="1"/>
  <c r="CH86" i="1"/>
  <c r="CG86" i="1"/>
  <c r="CC86" i="1"/>
  <c r="CB86" i="1"/>
  <c r="CA86" i="1"/>
  <c r="BZ86" i="1"/>
  <c r="BY86" i="1"/>
  <c r="BX86" i="1"/>
  <c r="BW86" i="1"/>
  <c r="BV86" i="1"/>
  <c r="BU86" i="1"/>
  <c r="BT86" i="1"/>
  <c r="BS86" i="1"/>
  <c r="BP86" i="1"/>
  <c r="BN86" i="1"/>
  <c r="BM86" i="1"/>
  <c r="BL86" i="1"/>
  <c r="BJ86" i="1"/>
  <c r="BH86" i="1"/>
  <c r="BG86" i="1"/>
  <c r="BF86" i="1"/>
  <c r="BC86" i="1"/>
  <c r="BA86" i="1"/>
  <c r="AZ86" i="1"/>
  <c r="AY86" i="1"/>
  <c r="AX86" i="1"/>
  <c r="AU86" i="1"/>
  <c r="AT86" i="1"/>
  <c r="AS86" i="1"/>
  <c r="AQ86" i="1"/>
  <c r="AP86" i="1"/>
  <c r="AO86" i="1"/>
  <c r="AN86" i="1"/>
  <c r="AM86" i="1"/>
  <c r="AL86" i="1"/>
  <c r="AK86" i="1"/>
  <c r="AJ86" i="1"/>
  <c r="AI86" i="1"/>
  <c r="AH86" i="1"/>
  <c r="AG86" i="1"/>
  <c r="AE86" i="1"/>
  <c r="AD86" i="1"/>
  <c r="AC86" i="1"/>
  <c r="AB86" i="1"/>
  <c r="AA86" i="1"/>
  <c r="Z86" i="1"/>
  <c r="Y86" i="1"/>
  <c r="X86" i="1"/>
  <c r="W86" i="1"/>
  <c r="U86" i="1"/>
  <c r="T86" i="1"/>
  <c r="S86" i="1"/>
  <c r="R86" i="1"/>
  <c r="P86" i="1"/>
  <c r="O86" i="1"/>
  <c r="N86" i="1"/>
  <c r="M86" i="1"/>
  <c r="L86" i="1"/>
  <c r="K86" i="1"/>
  <c r="CX85" i="1"/>
  <c r="CN85" i="1"/>
  <c r="CI85" i="1"/>
  <c r="CF85" i="1"/>
  <c r="BR85" i="1"/>
  <c r="BO85" i="1"/>
  <c r="BI85" i="1"/>
  <c r="BE85" i="1"/>
  <c r="AF85" i="1"/>
  <c r="V85" i="1"/>
  <c r="Q85" i="1"/>
  <c r="J85" i="1"/>
  <c r="CZ84" i="1"/>
  <c r="CY84" i="1"/>
  <c r="CV84" i="1"/>
  <c r="CU84" i="1"/>
  <c r="CT84" i="1"/>
  <c r="CQ84" i="1"/>
  <c r="CO84" i="1"/>
  <c r="CM84" i="1"/>
  <c r="CJ84" i="1"/>
  <c r="CH84" i="1"/>
  <c r="CG84" i="1"/>
  <c r="CC84" i="1"/>
  <c r="CB84" i="1"/>
  <c r="CA84" i="1"/>
  <c r="BZ84" i="1"/>
  <c r="BY84" i="1"/>
  <c r="BX84" i="1"/>
  <c r="BW84" i="1"/>
  <c r="BV84" i="1"/>
  <c r="BU84" i="1"/>
  <c r="BT84" i="1"/>
  <c r="BS84" i="1"/>
  <c r="BP84" i="1"/>
  <c r="BN84" i="1"/>
  <c r="BM84" i="1"/>
  <c r="BL84" i="1"/>
  <c r="BJ84" i="1"/>
  <c r="BH84" i="1"/>
  <c r="BG84" i="1"/>
  <c r="BF84" i="1"/>
  <c r="BC84" i="1"/>
  <c r="BA84" i="1"/>
  <c r="AZ84" i="1"/>
  <c r="AY84" i="1"/>
  <c r="AX84" i="1"/>
  <c r="AU84" i="1"/>
  <c r="AT84" i="1"/>
  <c r="AS84" i="1"/>
  <c r="AQ84" i="1"/>
  <c r="AP84" i="1"/>
  <c r="AO84" i="1"/>
  <c r="AN84" i="1"/>
  <c r="AM84" i="1"/>
  <c r="AL84" i="1"/>
  <c r="AK84" i="1"/>
  <c r="AJ84" i="1"/>
  <c r="AI84" i="1"/>
  <c r="AH84" i="1"/>
  <c r="AG84" i="1"/>
  <c r="AE84" i="1"/>
  <c r="AD84" i="1"/>
  <c r="AC84" i="1"/>
  <c r="AB84" i="1"/>
  <c r="AA84" i="1"/>
  <c r="Z84" i="1"/>
  <c r="Y84" i="1"/>
  <c r="X84" i="1"/>
  <c r="W84" i="1"/>
  <c r="U84" i="1"/>
  <c r="T84" i="1"/>
  <c r="S84" i="1"/>
  <c r="R84" i="1"/>
  <c r="P84" i="1"/>
  <c r="O84" i="1"/>
  <c r="N84" i="1"/>
  <c r="M84" i="1"/>
  <c r="L84" i="1"/>
  <c r="K84" i="1"/>
  <c r="H84" i="1"/>
  <c r="CX83" i="1"/>
  <c r="CN83" i="1"/>
  <c r="CI83" i="1"/>
  <c r="CF83" i="1"/>
  <c r="BR83" i="1"/>
  <c r="BO83" i="1"/>
  <c r="BI83" i="1"/>
  <c r="BE83" i="1"/>
  <c r="AF83" i="1"/>
  <c r="V83" i="1"/>
  <c r="Q83" i="1"/>
  <c r="L83" i="1"/>
  <c r="CZ82" i="1"/>
  <c r="CY82" i="1"/>
  <c r="CV82" i="1"/>
  <c r="CU82" i="1"/>
  <c r="CT82" i="1"/>
  <c r="CQ82" i="1"/>
  <c r="CO82" i="1"/>
  <c r="CM82" i="1"/>
  <c r="CJ82" i="1"/>
  <c r="CH82" i="1"/>
  <c r="CG82" i="1"/>
  <c r="CC82" i="1"/>
  <c r="CB82" i="1"/>
  <c r="CA82" i="1"/>
  <c r="BZ82" i="1"/>
  <c r="BY82" i="1"/>
  <c r="BX82" i="1"/>
  <c r="BW82" i="1"/>
  <c r="BV82" i="1"/>
  <c r="BU82" i="1"/>
  <c r="BT82" i="1"/>
  <c r="BS82" i="1"/>
  <c r="BP82" i="1"/>
  <c r="BN82" i="1"/>
  <c r="BM82" i="1"/>
  <c r="BL82" i="1"/>
  <c r="BJ82" i="1"/>
  <c r="BH82" i="1"/>
  <c r="BG82" i="1"/>
  <c r="BF82" i="1"/>
  <c r="BC82" i="1"/>
  <c r="BA82" i="1"/>
  <c r="AZ82" i="1"/>
  <c r="AY82" i="1"/>
  <c r="AX82" i="1"/>
  <c r="AU82" i="1"/>
  <c r="AT82" i="1"/>
  <c r="AS82" i="1"/>
  <c r="AQ82" i="1"/>
  <c r="AP82" i="1"/>
  <c r="AO82" i="1"/>
  <c r="AN82" i="1"/>
  <c r="AM82" i="1"/>
  <c r="AL82" i="1"/>
  <c r="AK82" i="1"/>
  <c r="AJ82" i="1"/>
  <c r="AI82" i="1"/>
  <c r="AH82" i="1"/>
  <c r="AG82" i="1"/>
  <c r="AE82" i="1"/>
  <c r="AD82" i="1"/>
  <c r="AC82" i="1"/>
  <c r="AB82" i="1"/>
  <c r="AA82" i="1"/>
  <c r="Z82" i="1"/>
  <c r="Y82" i="1"/>
  <c r="X82" i="1"/>
  <c r="W82" i="1"/>
  <c r="U82" i="1"/>
  <c r="T82" i="1"/>
  <c r="S82" i="1"/>
  <c r="R82" i="1"/>
  <c r="P82" i="1"/>
  <c r="O82" i="1"/>
  <c r="N82" i="1"/>
  <c r="M82" i="1"/>
  <c r="K82" i="1"/>
  <c r="CX81" i="1"/>
  <c r="CN81" i="1"/>
  <c r="CI81" i="1"/>
  <c r="BR81" i="1"/>
  <c r="BO81" i="1"/>
  <c r="BI81" i="1"/>
  <c r="BE81" i="1"/>
  <c r="AF81" i="1"/>
  <c r="V81" i="1"/>
  <c r="Q81" i="1"/>
  <c r="J81" i="1"/>
  <c r="CZ80" i="1"/>
  <c r="CY80" i="1"/>
  <c r="CV80" i="1"/>
  <c r="CU80" i="1"/>
  <c r="CT80" i="1"/>
  <c r="CQ80" i="1"/>
  <c r="CO80" i="1"/>
  <c r="CM80" i="1"/>
  <c r="CJ80" i="1"/>
  <c r="CG80" i="1"/>
  <c r="CC80" i="1"/>
  <c r="CB80" i="1"/>
  <c r="CA80" i="1"/>
  <c r="BZ80" i="1"/>
  <c r="BY80" i="1"/>
  <c r="BX80" i="1"/>
  <c r="BW80" i="1"/>
  <c r="BV80" i="1"/>
  <c r="BU80" i="1"/>
  <c r="BT80" i="1"/>
  <c r="BS80" i="1"/>
  <c r="BP80" i="1"/>
  <c r="BN80" i="1"/>
  <c r="BM80" i="1"/>
  <c r="BL80" i="1"/>
  <c r="BJ80" i="1"/>
  <c r="BH80" i="1"/>
  <c r="BG80" i="1"/>
  <c r="BF80" i="1"/>
  <c r="BC80" i="1"/>
  <c r="BA80" i="1"/>
  <c r="AZ80" i="1"/>
  <c r="AY80" i="1"/>
  <c r="AX80" i="1"/>
  <c r="AU80" i="1"/>
  <c r="AT80" i="1"/>
  <c r="AS80" i="1"/>
  <c r="AQ80" i="1"/>
  <c r="AP80" i="1"/>
  <c r="AO80" i="1"/>
  <c r="AN80" i="1"/>
  <c r="AM80" i="1"/>
  <c r="AL80" i="1"/>
  <c r="AK80" i="1"/>
  <c r="AJ80" i="1"/>
  <c r="AI80" i="1"/>
  <c r="AH80" i="1"/>
  <c r="AG80" i="1"/>
  <c r="AE80" i="1"/>
  <c r="AD80" i="1"/>
  <c r="AC80" i="1"/>
  <c r="AB80" i="1"/>
  <c r="AA80" i="1"/>
  <c r="Z80" i="1"/>
  <c r="Y80" i="1"/>
  <c r="X80" i="1"/>
  <c r="W80" i="1"/>
  <c r="U80" i="1"/>
  <c r="T80" i="1"/>
  <c r="S80" i="1"/>
  <c r="R80" i="1"/>
  <c r="P80" i="1"/>
  <c r="O80" i="1"/>
  <c r="N80" i="1"/>
  <c r="M80" i="1"/>
  <c r="L80" i="1"/>
  <c r="K80" i="1"/>
  <c r="I80" i="1"/>
  <c r="H80" i="1"/>
  <c r="CX79" i="1"/>
  <c r="CN79" i="1"/>
  <c r="CI79" i="1"/>
  <c r="CF79" i="1"/>
  <c r="BR79" i="1"/>
  <c r="BO79" i="1"/>
  <c r="BI79" i="1"/>
  <c r="BE79" i="1"/>
  <c r="AF79" i="1"/>
  <c r="V79" i="1"/>
  <c r="Q79" i="1"/>
  <c r="J79" i="1"/>
  <c r="CZ78" i="1"/>
  <c r="CY78" i="1"/>
  <c r="CV78" i="1"/>
  <c r="CU78" i="1"/>
  <c r="CT78" i="1"/>
  <c r="CQ78" i="1"/>
  <c r="CO78" i="1"/>
  <c r="CM78" i="1"/>
  <c r="CJ78" i="1"/>
  <c r="CH78" i="1"/>
  <c r="CG78" i="1"/>
  <c r="CC78" i="1"/>
  <c r="CB78" i="1"/>
  <c r="CA78" i="1"/>
  <c r="BZ78" i="1"/>
  <c r="BY78" i="1"/>
  <c r="BX78" i="1"/>
  <c r="BW78" i="1"/>
  <c r="BV78" i="1"/>
  <c r="BU78" i="1"/>
  <c r="BT78" i="1"/>
  <c r="BS78" i="1"/>
  <c r="BP78" i="1"/>
  <c r="BN78" i="1"/>
  <c r="BM78" i="1"/>
  <c r="BL78" i="1"/>
  <c r="BJ78" i="1"/>
  <c r="BH78" i="1"/>
  <c r="BG78" i="1"/>
  <c r="BF78" i="1"/>
  <c r="BC78" i="1"/>
  <c r="BA78" i="1"/>
  <c r="AZ78" i="1"/>
  <c r="AY78" i="1"/>
  <c r="AX78" i="1"/>
  <c r="AU78" i="1"/>
  <c r="AT78" i="1"/>
  <c r="AS78" i="1"/>
  <c r="AQ78" i="1"/>
  <c r="AP78" i="1"/>
  <c r="AO78" i="1"/>
  <c r="AN78" i="1"/>
  <c r="AM78" i="1"/>
  <c r="AL78" i="1"/>
  <c r="AK78" i="1"/>
  <c r="AJ78" i="1"/>
  <c r="AI78" i="1"/>
  <c r="AH78" i="1"/>
  <c r="AG78" i="1"/>
  <c r="AE78" i="1"/>
  <c r="AD78" i="1"/>
  <c r="AC78" i="1"/>
  <c r="AB78" i="1"/>
  <c r="AA78" i="1"/>
  <c r="Z78" i="1"/>
  <c r="Y78" i="1"/>
  <c r="X78" i="1"/>
  <c r="W78" i="1"/>
  <c r="U78" i="1"/>
  <c r="T78" i="1"/>
  <c r="S78" i="1"/>
  <c r="R78" i="1"/>
  <c r="P78" i="1"/>
  <c r="O78" i="1"/>
  <c r="N78" i="1"/>
  <c r="M78" i="1"/>
  <c r="L78" i="1"/>
  <c r="K78" i="1"/>
  <c r="H78" i="1"/>
  <c r="CX77" i="1"/>
  <c r="CN77" i="1"/>
  <c r="CI77" i="1"/>
  <c r="CF77" i="1"/>
  <c r="BR77" i="1"/>
  <c r="BO77" i="1"/>
  <c r="BI77" i="1"/>
  <c r="BE77" i="1"/>
  <c r="AF77" i="1"/>
  <c r="V77" i="1"/>
  <c r="Q77" i="1"/>
  <c r="J77" i="1"/>
  <c r="CZ76" i="1"/>
  <c r="CY76" i="1"/>
  <c r="CV76" i="1"/>
  <c r="CU76" i="1"/>
  <c r="CT76" i="1"/>
  <c r="CQ76" i="1"/>
  <c r="CO76" i="1"/>
  <c r="CM76" i="1"/>
  <c r="CJ76" i="1"/>
  <c r="CH76" i="1"/>
  <c r="CG76" i="1"/>
  <c r="CC76" i="1"/>
  <c r="CB76" i="1"/>
  <c r="CA76" i="1"/>
  <c r="BZ76" i="1"/>
  <c r="BY76" i="1"/>
  <c r="BX76" i="1"/>
  <c r="BW76" i="1"/>
  <c r="BV76" i="1"/>
  <c r="BU76" i="1"/>
  <c r="BT76" i="1"/>
  <c r="BS76" i="1"/>
  <c r="BP76" i="1"/>
  <c r="BN76" i="1"/>
  <c r="BM76" i="1"/>
  <c r="BL76" i="1"/>
  <c r="BJ76" i="1"/>
  <c r="BH76" i="1"/>
  <c r="BG76" i="1"/>
  <c r="BF76" i="1"/>
  <c r="BC76" i="1"/>
  <c r="BA76" i="1"/>
  <c r="AZ76" i="1"/>
  <c r="AY76" i="1"/>
  <c r="AX76" i="1"/>
  <c r="AU76" i="1"/>
  <c r="AT76" i="1"/>
  <c r="AS76" i="1"/>
  <c r="AQ76" i="1"/>
  <c r="AP76" i="1"/>
  <c r="AO76" i="1"/>
  <c r="AN76" i="1"/>
  <c r="AM76" i="1"/>
  <c r="AL76" i="1"/>
  <c r="AK76" i="1"/>
  <c r="AJ76" i="1"/>
  <c r="AI76" i="1"/>
  <c r="AH76" i="1"/>
  <c r="AG76" i="1"/>
  <c r="AE76" i="1"/>
  <c r="AD76" i="1"/>
  <c r="AC76" i="1"/>
  <c r="AB76" i="1"/>
  <c r="AA76" i="1"/>
  <c r="Z76" i="1"/>
  <c r="Y76" i="1"/>
  <c r="X76" i="1"/>
  <c r="W76" i="1"/>
  <c r="U76" i="1"/>
  <c r="T76" i="1"/>
  <c r="S76" i="1"/>
  <c r="R76" i="1"/>
  <c r="P76" i="1"/>
  <c r="O76" i="1"/>
  <c r="N76" i="1"/>
  <c r="M76" i="1"/>
  <c r="L76" i="1"/>
  <c r="K76" i="1"/>
  <c r="CX75" i="1"/>
  <c r="CN75" i="1"/>
  <c r="CI75" i="1"/>
  <c r="CF75" i="1"/>
  <c r="BR75" i="1"/>
  <c r="BO75" i="1"/>
  <c r="BI75" i="1"/>
  <c r="BE75" i="1"/>
  <c r="AF75" i="1"/>
  <c r="V75" i="1"/>
  <c r="Q75" i="1"/>
  <c r="J75" i="1"/>
  <c r="CX74" i="1"/>
  <c r="CN74" i="1"/>
  <c r="CI74" i="1"/>
  <c r="CF74" i="1"/>
  <c r="BR74" i="1"/>
  <c r="BO74" i="1"/>
  <c r="BI74" i="1"/>
  <c r="BE74" i="1"/>
  <c r="AF74" i="1"/>
  <c r="V74" i="1"/>
  <c r="Q74" i="1"/>
  <c r="J74" i="1"/>
  <c r="CZ73" i="1"/>
  <c r="CY73" i="1"/>
  <c r="CV73" i="1"/>
  <c r="CU73" i="1"/>
  <c r="CT73" i="1"/>
  <c r="CQ73" i="1"/>
  <c r="CO73" i="1"/>
  <c r="CM73" i="1"/>
  <c r="CJ73" i="1"/>
  <c r="CH73" i="1"/>
  <c r="CG73" i="1"/>
  <c r="CC73" i="1"/>
  <c r="CB73" i="1"/>
  <c r="CA73" i="1"/>
  <c r="BZ73" i="1"/>
  <c r="BY73" i="1"/>
  <c r="BX73" i="1"/>
  <c r="BW73" i="1"/>
  <c r="BV73" i="1"/>
  <c r="BU73" i="1"/>
  <c r="BT73" i="1"/>
  <c r="BS73" i="1"/>
  <c r="BP73" i="1"/>
  <c r="BN73" i="1"/>
  <c r="BM73" i="1"/>
  <c r="BL73" i="1"/>
  <c r="BJ73" i="1"/>
  <c r="BH73" i="1"/>
  <c r="BG73" i="1"/>
  <c r="BF73" i="1"/>
  <c r="BC73" i="1"/>
  <c r="BA73" i="1"/>
  <c r="AZ73" i="1"/>
  <c r="AY73" i="1"/>
  <c r="AX73" i="1"/>
  <c r="AU73" i="1"/>
  <c r="AT73" i="1"/>
  <c r="AS73" i="1"/>
  <c r="AQ73" i="1"/>
  <c r="AP73" i="1"/>
  <c r="AO73" i="1"/>
  <c r="AN73" i="1"/>
  <c r="AM73" i="1"/>
  <c r="AL73" i="1"/>
  <c r="AK73" i="1"/>
  <c r="AJ73" i="1"/>
  <c r="AI73" i="1"/>
  <c r="AH73" i="1"/>
  <c r="AG73" i="1"/>
  <c r="AE73" i="1"/>
  <c r="AD73" i="1"/>
  <c r="AC73" i="1"/>
  <c r="AB73" i="1"/>
  <c r="AA73" i="1"/>
  <c r="Z73" i="1"/>
  <c r="Y73" i="1"/>
  <c r="X73" i="1"/>
  <c r="W73" i="1"/>
  <c r="U73" i="1"/>
  <c r="T73" i="1"/>
  <c r="S73" i="1"/>
  <c r="R73" i="1"/>
  <c r="P73" i="1"/>
  <c r="O73" i="1"/>
  <c r="N73" i="1"/>
  <c r="M73" i="1"/>
  <c r="L73" i="1"/>
  <c r="K73" i="1"/>
  <c r="H73" i="1"/>
  <c r="CX72" i="1"/>
  <c r="CN72" i="1"/>
  <c r="CI72" i="1"/>
  <c r="CF72" i="1"/>
  <c r="BR72" i="1"/>
  <c r="BO72" i="1"/>
  <c r="BI72" i="1"/>
  <c r="BE72" i="1"/>
  <c r="Q72" i="1"/>
  <c r="J72" i="1"/>
  <c r="CZ71" i="1"/>
  <c r="CY71" i="1"/>
  <c r="CV71" i="1"/>
  <c r="CU71" i="1"/>
  <c r="CT71" i="1"/>
  <c r="CQ71" i="1"/>
  <c r="CO71" i="1"/>
  <c r="CM71" i="1"/>
  <c r="CJ71" i="1"/>
  <c r="CH71" i="1"/>
  <c r="CG71" i="1"/>
  <c r="CC71" i="1"/>
  <c r="CB71" i="1"/>
  <c r="CA71" i="1"/>
  <c r="BZ71" i="1"/>
  <c r="BY71" i="1"/>
  <c r="BX71" i="1"/>
  <c r="BW71" i="1"/>
  <c r="BV71" i="1"/>
  <c r="BU71" i="1"/>
  <c r="BT71" i="1"/>
  <c r="BS71" i="1"/>
  <c r="BP71" i="1"/>
  <c r="BN71" i="1"/>
  <c r="BM71" i="1"/>
  <c r="BL71" i="1"/>
  <c r="BJ71" i="1"/>
  <c r="BH71" i="1"/>
  <c r="BG71" i="1"/>
  <c r="BF71" i="1"/>
  <c r="BC71" i="1"/>
  <c r="BA71" i="1"/>
  <c r="AZ71" i="1"/>
  <c r="AY71" i="1"/>
  <c r="AX71" i="1"/>
  <c r="AU71" i="1"/>
  <c r="AT71" i="1"/>
  <c r="AQ71" i="1"/>
  <c r="AP71" i="1"/>
  <c r="AO71" i="1"/>
  <c r="AN71" i="1"/>
  <c r="AM71" i="1"/>
  <c r="AL71" i="1"/>
  <c r="AK71" i="1"/>
  <c r="AJ71" i="1"/>
  <c r="AI71" i="1"/>
  <c r="AH71" i="1"/>
  <c r="AG71" i="1"/>
  <c r="AE71" i="1"/>
  <c r="AD71" i="1"/>
  <c r="AC71" i="1"/>
  <c r="AA71" i="1"/>
  <c r="Z71" i="1"/>
  <c r="Y71" i="1"/>
  <c r="X71" i="1"/>
  <c r="W71" i="1"/>
  <c r="U71" i="1"/>
  <c r="T71" i="1"/>
  <c r="S71" i="1"/>
  <c r="R71" i="1"/>
  <c r="P71" i="1"/>
  <c r="O71" i="1"/>
  <c r="N71" i="1"/>
  <c r="M71" i="1"/>
  <c r="K71" i="1"/>
  <c r="H71" i="1"/>
  <c r="CX69" i="1"/>
  <c r="CN69" i="1"/>
  <c r="CI69" i="1"/>
  <c r="CF69" i="1"/>
  <c r="BR69" i="1"/>
  <c r="BO69" i="1"/>
  <c r="BI69" i="1"/>
  <c r="BE69" i="1"/>
  <c r="AF69" i="1"/>
  <c r="V69" i="1"/>
  <c r="Q69" i="1"/>
  <c r="J69" i="1"/>
  <c r="CZ68" i="1"/>
  <c r="CY68" i="1"/>
  <c r="CV68" i="1"/>
  <c r="CU68" i="1"/>
  <c r="CT68" i="1"/>
  <c r="CQ68" i="1"/>
  <c r="CO68" i="1"/>
  <c r="CM68" i="1"/>
  <c r="CJ68" i="1"/>
  <c r="CH68" i="1"/>
  <c r="CG68" i="1"/>
  <c r="CC68" i="1"/>
  <c r="CB68" i="1"/>
  <c r="CA68" i="1"/>
  <c r="BZ68" i="1"/>
  <c r="BY68" i="1"/>
  <c r="BX68" i="1"/>
  <c r="BW68" i="1"/>
  <c r="BV68" i="1"/>
  <c r="BU68" i="1"/>
  <c r="BT68" i="1"/>
  <c r="BS68" i="1"/>
  <c r="BP68" i="1"/>
  <c r="BN68" i="1"/>
  <c r="BM68" i="1"/>
  <c r="BL68" i="1"/>
  <c r="BJ68" i="1"/>
  <c r="BH68" i="1"/>
  <c r="BG68" i="1"/>
  <c r="BF68" i="1"/>
  <c r="BC68" i="1"/>
  <c r="BA68" i="1"/>
  <c r="AZ68" i="1"/>
  <c r="AY68" i="1"/>
  <c r="AX68" i="1"/>
  <c r="AU68" i="1"/>
  <c r="AT68" i="1"/>
  <c r="AS68" i="1"/>
  <c r="AQ68" i="1"/>
  <c r="AP68" i="1"/>
  <c r="AO68" i="1"/>
  <c r="AN68" i="1"/>
  <c r="AM68" i="1"/>
  <c r="AL68" i="1"/>
  <c r="AK68" i="1"/>
  <c r="AJ68" i="1"/>
  <c r="AI68" i="1"/>
  <c r="AH68" i="1"/>
  <c r="AG68" i="1"/>
  <c r="AE68" i="1"/>
  <c r="AD68" i="1"/>
  <c r="AC68" i="1"/>
  <c r="AB68" i="1"/>
  <c r="AA68" i="1"/>
  <c r="Z68" i="1"/>
  <c r="Y68" i="1"/>
  <c r="X68" i="1"/>
  <c r="W68" i="1"/>
  <c r="U68" i="1"/>
  <c r="T68" i="1"/>
  <c r="S68" i="1"/>
  <c r="R68" i="1"/>
  <c r="P68" i="1"/>
  <c r="O68" i="1"/>
  <c r="N68" i="1"/>
  <c r="M68" i="1"/>
  <c r="L68" i="1"/>
  <c r="K68" i="1"/>
  <c r="CX67" i="1"/>
  <c r="CN67" i="1"/>
  <c r="CI67" i="1"/>
  <c r="CF67" i="1"/>
  <c r="BO67" i="1"/>
  <c r="BI67" i="1"/>
  <c r="BE67" i="1"/>
  <c r="AF67" i="1"/>
  <c r="V67" i="1"/>
  <c r="Q67" i="1"/>
  <c r="CZ66" i="1"/>
  <c r="CY66" i="1"/>
  <c r="CV66" i="1"/>
  <c r="CU66" i="1"/>
  <c r="CT66" i="1"/>
  <c r="CQ66" i="1"/>
  <c r="CO66" i="1"/>
  <c r="CM66" i="1"/>
  <c r="CJ66" i="1"/>
  <c r="CH66" i="1"/>
  <c r="CG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P66" i="1"/>
  <c r="BN66" i="1"/>
  <c r="BM66" i="1"/>
  <c r="BL66" i="1"/>
  <c r="BJ66" i="1"/>
  <c r="BH66" i="1"/>
  <c r="BG66" i="1"/>
  <c r="BF66" i="1"/>
  <c r="BC66" i="1"/>
  <c r="BA66" i="1"/>
  <c r="AZ66" i="1"/>
  <c r="AY66" i="1"/>
  <c r="AX66" i="1"/>
  <c r="AU66" i="1"/>
  <c r="AT66" i="1"/>
  <c r="AS66" i="1"/>
  <c r="AQ66" i="1"/>
  <c r="AP66" i="1"/>
  <c r="AO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U66" i="1"/>
  <c r="T66" i="1"/>
  <c r="S66" i="1"/>
  <c r="R66" i="1"/>
  <c r="P66" i="1"/>
  <c r="O66" i="1"/>
  <c r="N66" i="1"/>
  <c r="M66" i="1"/>
  <c r="L66" i="1"/>
  <c r="K66" i="1"/>
  <c r="I66" i="1"/>
  <c r="CX64" i="1"/>
  <c r="CN64" i="1"/>
  <c r="CI64" i="1"/>
  <c r="CF64" i="1"/>
  <c r="BR64" i="1"/>
  <c r="BO64" i="1"/>
  <c r="BI64" i="1"/>
  <c r="BE64" i="1"/>
  <c r="V64" i="1"/>
  <c r="Q64" i="1"/>
  <c r="J64" i="1"/>
  <c r="CZ63" i="1"/>
  <c r="CY63" i="1"/>
  <c r="CV63" i="1"/>
  <c r="CU63" i="1"/>
  <c r="CT63" i="1"/>
  <c r="CQ63" i="1"/>
  <c r="CO63" i="1"/>
  <c r="CM63" i="1"/>
  <c r="CJ63" i="1"/>
  <c r="CH63" i="1"/>
  <c r="CG63" i="1"/>
  <c r="CC63" i="1"/>
  <c r="CB63" i="1"/>
  <c r="CA63" i="1"/>
  <c r="BZ63" i="1"/>
  <c r="BY63" i="1"/>
  <c r="BX63" i="1"/>
  <c r="BW63" i="1"/>
  <c r="BV63" i="1"/>
  <c r="BU63" i="1"/>
  <c r="BT63" i="1"/>
  <c r="BS63" i="1"/>
  <c r="BP63" i="1"/>
  <c r="BN63" i="1"/>
  <c r="BM63" i="1"/>
  <c r="BL63" i="1"/>
  <c r="BJ63" i="1"/>
  <c r="BH63" i="1"/>
  <c r="BG63" i="1"/>
  <c r="BF63" i="1"/>
  <c r="BA63" i="1"/>
  <c r="AZ63" i="1"/>
  <c r="AY63" i="1"/>
  <c r="AX63" i="1"/>
  <c r="AU63" i="1"/>
  <c r="AT63" i="1"/>
  <c r="AS63" i="1"/>
  <c r="AQ63" i="1"/>
  <c r="AP63" i="1"/>
  <c r="AO63" i="1"/>
  <c r="AN63" i="1"/>
  <c r="AM63" i="1"/>
  <c r="AL63" i="1"/>
  <c r="AK63" i="1"/>
  <c r="AJ63" i="1"/>
  <c r="AI63" i="1"/>
  <c r="AH63" i="1"/>
  <c r="AG63" i="1"/>
  <c r="AE63" i="1"/>
  <c r="AD63" i="1"/>
  <c r="AC63" i="1"/>
  <c r="AB63" i="1"/>
  <c r="AA63" i="1"/>
  <c r="Z63" i="1"/>
  <c r="Y63" i="1"/>
  <c r="X63" i="1"/>
  <c r="W63" i="1"/>
  <c r="U63" i="1"/>
  <c r="T63" i="1"/>
  <c r="S63" i="1"/>
  <c r="R63" i="1"/>
  <c r="P63" i="1"/>
  <c r="O63" i="1"/>
  <c r="N63" i="1"/>
  <c r="M63" i="1"/>
  <c r="L63" i="1"/>
  <c r="K63" i="1"/>
  <c r="I63" i="1"/>
  <c r="H63" i="1"/>
  <c r="CX62" i="1"/>
  <c r="CN62" i="1"/>
  <c r="CI62" i="1"/>
  <c r="CF62" i="1"/>
  <c r="BR62" i="1"/>
  <c r="BO62" i="1"/>
  <c r="BI62" i="1"/>
  <c r="BE62" i="1"/>
  <c r="AF62" i="1"/>
  <c r="V62" i="1"/>
  <c r="Q62" i="1"/>
  <c r="J62" i="1"/>
  <c r="CZ61" i="1"/>
  <c r="CY61" i="1"/>
  <c r="CV61" i="1"/>
  <c r="CU61" i="1"/>
  <c r="CT61" i="1"/>
  <c r="CQ61" i="1"/>
  <c r="CO61" i="1"/>
  <c r="CM61" i="1"/>
  <c r="CJ61" i="1"/>
  <c r="CH61" i="1"/>
  <c r="CG61" i="1"/>
  <c r="CC61" i="1"/>
  <c r="CB61" i="1"/>
  <c r="CA61" i="1"/>
  <c r="BZ61" i="1"/>
  <c r="BY61" i="1"/>
  <c r="BX61" i="1"/>
  <c r="BW61" i="1"/>
  <c r="BV61" i="1"/>
  <c r="BU61" i="1"/>
  <c r="BT61" i="1"/>
  <c r="BS61" i="1"/>
  <c r="BP61" i="1"/>
  <c r="BN61" i="1"/>
  <c r="BM61" i="1"/>
  <c r="BL61" i="1"/>
  <c r="BJ61" i="1"/>
  <c r="BH61" i="1"/>
  <c r="BG61" i="1"/>
  <c r="BF61" i="1"/>
  <c r="BC61" i="1"/>
  <c r="BA61" i="1"/>
  <c r="AZ61" i="1"/>
  <c r="AY61" i="1"/>
  <c r="AX61" i="1"/>
  <c r="AU61" i="1"/>
  <c r="AT61" i="1"/>
  <c r="AS61" i="1"/>
  <c r="AQ61" i="1"/>
  <c r="AP61" i="1"/>
  <c r="AO61" i="1"/>
  <c r="AN61" i="1"/>
  <c r="AM61" i="1"/>
  <c r="AL61" i="1"/>
  <c r="AK61" i="1"/>
  <c r="AJ61" i="1"/>
  <c r="AI61" i="1"/>
  <c r="AH61" i="1"/>
  <c r="AG61" i="1"/>
  <c r="AE61" i="1"/>
  <c r="AD61" i="1"/>
  <c r="AC61" i="1"/>
  <c r="AB61" i="1"/>
  <c r="AA61" i="1"/>
  <c r="Z61" i="1"/>
  <c r="Y61" i="1"/>
  <c r="X61" i="1"/>
  <c r="W61" i="1"/>
  <c r="U61" i="1"/>
  <c r="T61" i="1"/>
  <c r="S61" i="1"/>
  <c r="R61" i="1"/>
  <c r="P61" i="1"/>
  <c r="O61" i="1"/>
  <c r="N61" i="1"/>
  <c r="M61" i="1"/>
  <c r="L61" i="1"/>
  <c r="K61" i="1"/>
  <c r="CX59" i="1"/>
  <c r="CN59" i="1"/>
  <c r="CI59" i="1"/>
  <c r="CF59" i="1"/>
  <c r="BR59" i="1"/>
  <c r="BO59" i="1"/>
  <c r="BI59" i="1"/>
  <c r="BE59" i="1"/>
  <c r="AF59" i="1"/>
  <c r="V59" i="1"/>
  <c r="Q59" i="1"/>
  <c r="J59" i="1"/>
  <c r="CZ58" i="1"/>
  <c r="CY58" i="1"/>
  <c r="CV58" i="1"/>
  <c r="CU58" i="1"/>
  <c r="CT58" i="1"/>
  <c r="CQ58" i="1"/>
  <c r="CO58" i="1"/>
  <c r="CM58" i="1"/>
  <c r="CJ58" i="1"/>
  <c r="CH58" i="1"/>
  <c r="CG58" i="1"/>
  <c r="CC58" i="1"/>
  <c r="CB58" i="1"/>
  <c r="CA58" i="1"/>
  <c r="BZ58" i="1"/>
  <c r="BY58" i="1"/>
  <c r="BX58" i="1"/>
  <c r="BW58" i="1"/>
  <c r="BV58" i="1"/>
  <c r="BU58" i="1"/>
  <c r="BT58" i="1"/>
  <c r="BS58" i="1"/>
  <c r="BP58" i="1"/>
  <c r="BN58" i="1"/>
  <c r="BM58" i="1"/>
  <c r="BL58" i="1"/>
  <c r="BJ58" i="1"/>
  <c r="BH58" i="1"/>
  <c r="BG58" i="1"/>
  <c r="BF58" i="1"/>
  <c r="BC58" i="1"/>
  <c r="BA58" i="1"/>
  <c r="AZ58" i="1"/>
  <c r="AY58" i="1"/>
  <c r="AX58" i="1"/>
  <c r="AW58" i="1"/>
  <c r="AV58" i="1"/>
  <c r="AU58" i="1"/>
  <c r="AT58" i="1"/>
  <c r="AS58" i="1"/>
  <c r="AQ58" i="1"/>
  <c r="AP58" i="1"/>
  <c r="AO58" i="1"/>
  <c r="AN58" i="1"/>
  <c r="AM58" i="1"/>
  <c r="AL58" i="1"/>
  <c r="AK58" i="1"/>
  <c r="AJ58" i="1"/>
  <c r="AI58" i="1"/>
  <c r="AH58" i="1"/>
  <c r="AG58" i="1"/>
  <c r="AE58" i="1"/>
  <c r="AD58" i="1"/>
  <c r="AC58" i="1"/>
  <c r="AB58" i="1"/>
  <c r="AA58" i="1"/>
  <c r="Z58" i="1"/>
  <c r="Y58" i="1"/>
  <c r="X58" i="1"/>
  <c r="W58" i="1"/>
  <c r="U58" i="1"/>
  <c r="T58" i="1"/>
  <c r="S58" i="1"/>
  <c r="R58" i="1"/>
  <c r="P58" i="1"/>
  <c r="O58" i="1"/>
  <c r="N58" i="1"/>
  <c r="M58" i="1"/>
  <c r="L58" i="1"/>
  <c r="K58" i="1"/>
  <c r="I58" i="1"/>
  <c r="H58" i="1"/>
  <c r="CX57" i="1"/>
  <c r="CN57" i="1"/>
  <c r="CI57" i="1"/>
  <c r="CF57" i="1"/>
  <c r="BR57" i="1"/>
  <c r="BO57" i="1"/>
  <c r="BI57" i="1"/>
  <c r="BE57" i="1"/>
  <c r="AF57" i="1"/>
  <c r="V57" i="1"/>
  <c r="Q57" i="1"/>
  <c r="J57" i="1"/>
  <c r="CZ56" i="1"/>
  <c r="CY56" i="1"/>
  <c r="CV56" i="1"/>
  <c r="CU56" i="1"/>
  <c r="CT56" i="1"/>
  <c r="CQ56" i="1"/>
  <c r="CO56" i="1"/>
  <c r="CM56" i="1"/>
  <c r="CJ56" i="1"/>
  <c r="CH56" i="1"/>
  <c r="CG56" i="1"/>
  <c r="CC56" i="1"/>
  <c r="CB56" i="1"/>
  <c r="CA56" i="1"/>
  <c r="BZ56" i="1"/>
  <c r="BY56" i="1"/>
  <c r="BX56" i="1"/>
  <c r="BW56" i="1"/>
  <c r="BV56" i="1"/>
  <c r="BU56" i="1"/>
  <c r="BT56" i="1"/>
  <c r="BS56" i="1"/>
  <c r="BP56" i="1"/>
  <c r="BN56" i="1"/>
  <c r="BM56" i="1"/>
  <c r="BL56" i="1"/>
  <c r="BJ56" i="1"/>
  <c r="BH56" i="1"/>
  <c r="BG56" i="1"/>
  <c r="BF56" i="1"/>
  <c r="BC56" i="1"/>
  <c r="BA56" i="1"/>
  <c r="AZ56" i="1"/>
  <c r="AY56" i="1"/>
  <c r="AX56" i="1"/>
  <c r="AU56" i="1"/>
  <c r="AT56" i="1"/>
  <c r="AS56" i="1"/>
  <c r="AQ56" i="1"/>
  <c r="AP56" i="1"/>
  <c r="AO56" i="1"/>
  <c r="AN56" i="1"/>
  <c r="AM56" i="1"/>
  <c r="AL56" i="1"/>
  <c r="AK56" i="1"/>
  <c r="AJ56" i="1"/>
  <c r="AI56" i="1"/>
  <c r="AH56" i="1"/>
  <c r="AG56" i="1"/>
  <c r="AE56" i="1"/>
  <c r="AD56" i="1"/>
  <c r="AC56" i="1"/>
  <c r="AB56" i="1"/>
  <c r="AA56" i="1"/>
  <c r="Z56" i="1"/>
  <c r="Y56" i="1"/>
  <c r="X56" i="1"/>
  <c r="W56" i="1"/>
  <c r="U56" i="1"/>
  <c r="T56" i="1"/>
  <c r="S56" i="1"/>
  <c r="R56" i="1"/>
  <c r="P56" i="1"/>
  <c r="O56" i="1"/>
  <c r="N56" i="1"/>
  <c r="M56" i="1"/>
  <c r="L56" i="1"/>
  <c r="K56" i="1"/>
  <c r="I56" i="1"/>
  <c r="CX55" i="1"/>
  <c r="CN55" i="1"/>
  <c r="CI55" i="1"/>
  <c r="CF55" i="1"/>
  <c r="BO55" i="1"/>
  <c r="BI55" i="1"/>
  <c r="BE55" i="1"/>
  <c r="AF55" i="1"/>
  <c r="V55" i="1"/>
  <c r="Q55" i="1"/>
  <c r="J55" i="1"/>
  <c r="CZ54" i="1"/>
  <c r="CY54" i="1"/>
  <c r="CV54" i="1"/>
  <c r="CU54" i="1"/>
  <c r="CT54" i="1"/>
  <c r="CQ54" i="1"/>
  <c r="CO54" i="1"/>
  <c r="CM54" i="1"/>
  <c r="CJ54" i="1"/>
  <c r="CH54" i="1"/>
  <c r="CG54" i="1"/>
  <c r="CC54" i="1"/>
  <c r="CB54" i="1"/>
  <c r="CA54" i="1"/>
  <c r="BZ54" i="1"/>
  <c r="BY54" i="1"/>
  <c r="BX54" i="1"/>
  <c r="BW54" i="1"/>
  <c r="BV54" i="1"/>
  <c r="BU54" i="1"/>
  <c r="BT54" i="1"/>
  <c r="BS54" i="1"/>
  <c r="BP54" i="1"/>
  <c r="BN54" i="1"/>
  <c r="BM54" i="1"/>
  <c r="BL54" i="1"/>
  <c r="BJ54" i="1"/>
  <c r="BH54" i="1"/>
  <c r="BG54" i="1"/>
  <c r="BF54" i="1"/>
  <c r="BC54" i="1"/>
  <c r="BA54" i="1"/>
  <c r="AZ54" i="1"/>
  <c r="AY54" i="1"/>
  <c r="AX54" i="1"/>
  <c r="AU54" i="1"/>
  <c r="AT54" i="1"/>
  <c r="AS54" i="1"/>
  <c r="AQ54" i="1"/>
  <c r="AP54" i="1"/>
  <c r="AO54" i="1"/>
  <c r="AN54" i="1"/>
  <c r="AM54" i="1"/>
  <c r="AL54" i="1"/>
  <c r="AK54" i="1"/>
  <c r="AJ54" i="1"/>
  <c r="AI54" i="1"/>
  <c r="AH54" i="1"/>
  <c r="AG54" i="1"/>
  <c r="AE54" i="1"/>
  <c r="AD54" i="1"/>
  <c r="AC54" i="1"/>
  <c r="AB54" i="1"/>
  <c r="AA54" i="1"/>
  <c r="Z54" i="1"/>
  <c r="Y54" i="1"/>
  <c r="X54" i="1"/>
  <c r="W54" i="1"/>
  <c r="U54" i="1"/>
  <c r="T54" i="1"/>
  <c r="S54" i="1"/>
  <c r="R54" i="1"/>
  <c r="P54" i="1"/>
  <c r="O54" i="1"/>
  <c r="N54" i="1"/>
  <c r="M54" i="1"/>
  <c r="L54" i="1"/>
  <c r="K54" i="1"/>
  <c r="CX53" i="1"/>
  <c r="CN53" i="1"/>
  <c r="CI53" i="1"/>
  <c r="CF53" i="1"/>
  <c r="BR53" i="1"/>
  <c r="BO53" i="1"/>
  <c r="BI53" i="1"/>
  <c r="BE53" i="1"/>
  <c r="AF53" i="1"/>
  <c r="V53" i="1"/>
  <c r="Q53" i="1"/>
  <c r="J53" i="1"/>
  <c r="CZ52" i="1"/>
  <c r="CY52" i="1"/>
  <c r="CV52" i="1"/>
  <c r="CU52" i="1"/>
  <c r="CT52" i="1"/>
  <c r="CQ52" i="1"/>
  <c r="CO52" i="1"/>
  <c r="CM52" i="1"/>
  <c r="CJ52" i="1"/>
  <c r="CH52" i="1"/>
  <c r="CG52" i="1"/>
  <c r="CC52" i="1"/>
  <c r="CB52" i="1"/>
  <c r="CA52" i="1"/>
  <c r="BZ52" i="1"/>
  <c r="BY52" i="1"/>
  <c r="BX52" i="1"/>
  <c r="BW52" i="1"/>
  <c r="BV52" i="1"/>
  <c r="BU52" i="1"/>
  <c r="BT52" i="1"/>
  <c r="BS52" i="1"/>
  <c r="BP52" i="1"/>
  <c r="BN52" i="1"/>
  <c r="BM52" i="1"/>
  <c r="BL52" i="1"/>
  <c r="BJ52" i="1"/>
  <c r="BH52" i="1"/>
  <c r="BG52" i="1"/>
  <c r="BF52" i="1"/>
  <c r="BC52" i="1"/>
  <c r="BA52" i="1"/>
  <c r="AZ52" i="1"/>
  <c r="AY52" i="1"/>
  <c r="AX52" i="1"/>
  <c r="AU52" i="1"/>
  <c r="AT52" i="1"/>
  <c r="AS52" i="1"/>
  <c r="AQ52" i="1"/>
  <c r="AP52" i="1"/>
  <c r="AO52" i="1"/>
  <c r="AN52" i="1"/>
  <c r="AM52" i="1"/>
  <c r="AL52" i="1"/>
  <c r="AK52" i="1"/>
  <c r="AJ52" i="1"/>
  <c r="AI52" i="1"/>
  <c r="AH52" i="1"/>
  <c r="AG52" i="1"/>
  <c r="AE52" i="1"/>
  <c r="AD52" i="1"/>
  <c r="AC52" i="1"/>
  <c r="AB52" i="1"/>
  <c r="AA52" i="1"/>
  <c r="Z52" i="1"/>
  <c r="Y52" i="1"/>
  <c r="X52" i="1"/>
  <c r="W52" i="1"/>
  <c r="U52" i="1"/>
  <c r="T52" i="1"/>
  <c r="S52" i="1"/>
  <c r="R52" i="1"/>
  <c r="P52" i="1"/>
  <c r="O52" i="1"/>
  <c r="N52" i="1"/>
  <c r="M52" i="1"/>
  <c r="L52" i="1"/>
  <c r="K52" i="1"/>
  <c r="H52" i="1"/>
  <c r="CX51" i="1"/>
  <c r="CN51" i="1"/>
  <c r="CI51" i="1"/>
  <c r="CF51" i="1"/>
  <c r="BR51" i="1"/>
  <c r="BO51" i="1"/>
  <c r="BI51" i="1"/>
  <c r="BE51" i="1"/>
  <c r="AF51" i="1"/>
  <c r="V51" i="1"/>
  <c r="Q51" i="1"/>
  <c r="J51" i="1"/>
  <c r="CZ50" i="1"/>
  <c r="CY50" i="1"/>
  <c r="CV50" i="1"/>
  <c r="CU50" i="1"/>
  <c r="CT50" i="1"/>
  <c r="CQ50" i="1"/>
  <c r="CO50" i="1"/>
  <c r="CM50" i="1"/>
  <c r="CJ50" i="1"/>
  <c r="CH50" i="1"/>
  <c r="CG50" i="1"/>
  <c r="CC50" i="1"/>
  <c r="CB50" i="1"/>
  <c r="CA50" i="1"/>
  <c r="BZ50" i="1"/>
  <c r="BY50" i="1"/>
  <c r="BX50" i="1"/>
  <c r="BW50" i="1"/>
  <c r="BV50" i="1"/>
  <c r="BU50" i="1"/>
  <c r="BT50" i="1"/>
  <c r="BS50" i="1"/>
  <c r="BP50" i="1"/>
  <c r="BN50" i="1"/>
  <c r="BM50" i="1"/>
  <c r="BL50" i="1"/>
  <c r="BJ50" i="1"/>
  <c r="BH50" i="1"/>
  <c r="BG50" i="1"/>
  <c r="BF50" i="1"/>
  <c r="BC50" i="1"/>
  <c r="BA50" i="1"/>
  <c r="AZ50" i="1"/>
  <c r="AY50" i="1"/>
  <c r="AX50" i="1"/>
  <c r="AU50" i="1"/>
  <c r="AT50" i="1"/>
  <c r="AS50" i="1"/>
  <c r="AQ50" i="1"/>
  <c r="AP50" i="1"/>
  <c r="AO50" i="1"/>
  <c r="AN50" i="1"/>
  <c r="AM50" i="1"/>
  <c r="AL50" i="1"/>
  <c r="AK50" i="1"/>
  <c r="AJ50" i="1"/>
  <c r="AI50" i="1"/>
  <c r="AH50" i="1"/>
  <c r="AG50" i="1"/>
  <c r="AE50" i="1"/>
  <c r="AD50" i="1"/>
  <c r="AC50" i="1"/>
  <c r="AB50" i="1"/>
  <c r="AA50" i="1"/>
  <c r="Z50" i="1"/>
  <c r="Y50" i="1"/>
  <c r="X50" i="1"/>
  <c r="W50" i="1"/>
  <c r="U50" i="1"/>
  <c r="T50" i="1"/>
  <c r="S50" i="1"/>
  <c r="R50" i="1"/>
  <c r="P50" i="1"/>
  <c r="O50" i="1"/>
  <c r="N50" i="1"/>
  <c r="M50" i="1"/>
  <c r="L50" i="1"/>
  <c r="K50" i="1"/>
  <c r="CX48" i="1"/>
  <c r="CN48" i="1"/>
  <c r="CI48" i="1"/>
  <c r="CF48" i="1"/>
  <c r="BR48" i="1"/>
  <c r="BO48" i="1"/>
  <c r="BI48" i="1"/>
  <c r="BE48" i="1"/>
  <c r="AF48" i="1"/>
  <c r="V48" i="1"/>
  <c r="Q48" i="1"/>
  <c r="J48" i="1"/>
  <c r="CZ47" i="1"/>
  <c r="CY47" i="1"/>
  <c r="CV47" i="1"/>
  <c r="CU47" i="1"/>
  <c r="CT47" i="1"/>
  <c r="CQ47" i="1"/>
  <c r="CO47" i="1"/>
  <c r="CM47" i="1"/>
  <c r="CJ47" i="1"/>
  <c r="CH47" i="1"/>
  <c r="CG47" i="1"/>
  <c r="CC47" i="1"/>
  <c r="CB47" i="1"/>
  <c r="CA47" i="1"/>
  <c r="BZ47" i="1"/>
  <c r="BY47" i="1"/>
  <c r="BX47" i="1"/>
  <c r="BW47" i="1"/>
  <c r="BV47" i="1"/>
  <c r="BU47" i="1"/>
  <c r="BT47" i="1"/>
  <c r="BS47" i="1"/>
  <c r="BP47" i="1"/>
  <c r="BN47" i="1"/>
  <c r="BM47" i="1"/>
  <c r="BL47" i="1"/>
  <c r="BJ47" i="1"/>
  <c r="BH47" i="1"/>
  <c r="BG47" i="1"/>
  <c r="BF47" i="1"/>
  <c r="AZ47" i="1"/>
  <c r="AY47" i="1"/>
  <c r="AX47" i="1"/>
  <c r="AU47" i="1"/>
  <c r="AT47" i="1"/>
  <c r="AS47" i="1"/>
  <c r="AQ47" i="1"/>
  <c r="AP47" i="1"/>
  <c r="AO47" i="1"/>
  <c r="AN47" i="1"/>
  <c r="AM47" i="1"/>
  <c r="AL47" i="1"/>
  <c r="AK47" i="1"/>
  <c r="AJ47" i="1"/>
  <c r="AI47" i="1"/>
  <c r="AH47" i="1"/>
  <c r="AG47" i="1"/>
  <c r="AE47" i="1"/>
  <c r="AD47" i="1"/>
  <c r="AC47" i="1"/>
  <c r="AB47" i="1"/>
  <c r="AA47" i="1"/>
  <c r="Z47" i="1"/>
  <c r="Y47" i="1"/>
  <c r="X47" i="1"/>
  <c r="W47" i="1"/>
  <c r="U47" i="1"/>
  <c r="T47" i="1"/>
  <c r="S47" i="1"/>
  <c r="R47" i="1"/>
  <c r="P47" i="1"/>
  <c r="O47" i="1"/>
  <c r="N47" i="1"/>
  <c r="M47" i="1"/>
  <c r="L47" i="1"/>
  <c r="K47" i="1"/>
  <c r="CX44" i="1"/>
  <c r="CN44" i="1"/>
  <c r="CI44" i="1"/>
  <c r="CF44" i="1"/>
  <c r="BR44" i="1"/>
  <c r="BO44" i="1"/>
  <c r="BI44" i="1"/>
  <c r="BE44" i="1"/>
  <c r="AA39" i="1"/>
  <c r="Q44" i="1"/>
  <c r="J44" i="1"/>
  <c r="O39" i="1"/>
  <c r="CX43" i="1"/>
  <c r="CN43" i="1"/>
  <c r="CI43" i="1"/>
  <c r="CF43" i="1"/>
  <c r="BR43" i="1"/>
  <c r="BO43" i="1"/>
  <c r="BI43" i="1"/>
  <c r="BE43" i="1"/>
  <c r="AF43" i="1"/>
  <c r="V43" i="1"/>
  <c r="Q43" i="1"/>
  <c r="L43" i="1"/>
  <c r="CX42" i="1"/>
  <c r="CN42" i="1"/>
  <c r="CI42" i="1"/>
  <c r="CF42" i="1"/>
  <c r="BR42" i="1"/>
  <c r="BO42" i="1"/>
  <c r="BI42" i="1"/>
  <c r="BE42" i="1"/>
  <c r="AF42" i="1"/>
  <c r="V42" i="1"/>
  <c r="Q42" i="1"/>
  <c r="J42" i="1"/>
  <c r="CX41" i="1"/>
  <c r="CN41" i="1"/>
  <c r="CI41" i="1"/>
  <c r="CF41" i="1"/>
  <c r="BR41" i="1"/>
  <c r="BO41" i="1"/>
  <c r="BI41" i="1"/>
  <c r="BE41" i="1"/>
  <c r="AF41" i="1"/>
  <c r="V41" i="1"/>
  <c r="S39" i="1"/>
  <c r="J41" i="1"/>
  <c r="CX40" i="1"/>
  <c r="CN40" i="1"/>
  <c r="CI40" i="1"/>
  <c r="CF40" i="1"/>
  <c r="BR40" i="1"/>
  <c r="BO40" i="1"/>
  <c r="BI40" i="1"/>
  <c r="BE40" i="1"/>
  <c r="AF40" i="1"/>
  <c r="V40" i="1"/>
  <c r="Q40" i="1"/>
  <c r="J40" i="1"/>
  <c r="CZ39" i="1"/>
  <c r="CY39" i="1"/>
  <c r="CV39" i="1"/>
  <c r="CU39" i="1"/>
  <c r="CT39" i="1"/>
  <c r="CQ39" i="1"/>
  <c r="CO39" i="1"/>
  <c r="CM39" i="1"/>
  <c r="CJ39" i="1"/>
  <c r="CH39" i="1"/>
  <c r="CG39" i="1"/>
  <c r="CC39" i="1"/>
  <c r="CB39" i="1"/>
  <c r="CA39" i="1"/>
  <c r="BZ39" i="1"/>
  <c r="BY39" i="1"/>
  <c r="BX39" i="1"/>
  <c r="BW39" i="1"/>
  <c r="BV39" i="1"/>
  <c r="BU39" i="1"/>
  <c r="BT39" i="1"/>
  <c r="BS39" i="1"/>
  <c r="BP39" i="1"/>
  <c r="BN39" i="1"/>
  <c r="BM39" i="1"/>
  <c r="BL39" i="1"/>
  <c r="BJ39" i="1"/>
  <c r="BH39" i="1"/>
  <c r="BG39" i="1"/>
  <c r="BF39" i="1"/>
  <c r="BA39" i="1"/>
  <c r="AZ39" i="1"/>
  <c r="AY39" i="1"/>
  <c r="AX39" i="1"/>
  <c r="AU39" i="1"/>
  <c r="AT39" i="1"/>
  <c r="AS39" i="1"/>
  <c r="AQ39" i="1"/>
  <c r="AP39" i="1"/>
  <c r="AO39" i="1"/>
  <c r="AN39" i="1"/>
  <c r="AM39" i="1"/>
  <c r="AL39" i="1"/>
  <c r="AK39" i="1"/>
  <c r="AJ39" i="1"/>
  <c r="AI39" i="1"/>
  <c r="AH39" i="1"/>
  <c r="AG39" i="1"/>
  <c r="AE39" i="1"/>
  <c r="AD39" i="1"/>
  <c r="AC39" i="1"/>
  <c r="AB39" i="1"/>
  <c r="Z39" i="1"/>
  <c r="Y39" i="1"/>
  <c r="X39" i="1"/>
  <c r="W39" i="1"/>
  <c r="U39" i="1"/>
  <c r="T39" i="1"/>
  <c r="R39" i="1"/>
  <c r="N39" i="1"/>
  <c r="M39" i="1"/>
  <c r="K39" i="1"/>
  <c r="CX38" i="1"/>
  <c r="CN38" i="1"/>
  <c r="CI38" i="1"/>
  <c r="CF38" i="1"/>
  <c r="BR38" i="1"/>
  <c r="BO38" i="1"/>
  <c r="BI38" i="1"/>
  <c r="BE38" i="1"/>
  <c r="AF38" i="1"/>
  <c r="V38" i="1"/>
  <c r="Q38" i="1"/>
  <c r="J38" i="1"/>
  <c r="CZ37" i="1"/>
  <c r="CY37" i="1"/>
  <c r="CV37" i="1"/>
  <c r="CU37" i="1"/>
  <c r="CT37" i="1"/>
  <c r="CQ37" i="1"/>
  <c r="CO37" i="1"/>
  <c r="CM37" i="1"/>
  <c r="CJ37" i="1"/>
  <c r="CH37" i="1"/>
  <c r="CG37" i="1"/>
  <c r="CC37" i="1"/>
  <c r="CB37" i="1"/>
  <c r="CA37" i="1"/>
  <c r="BZ37" i="1"/>
  <c r="BY37" i="1"/>
  <c r="BX37" i="1"/>
  <c r="BW37" i="1"/>
  <c r="BV37" i="1"/>
  <c r="BU37" i="1"/>
  <c r="BT37" i="1"/>
  <c r="BS37" i="1"/>
  <c r="BP37" i="1"/>
  <c r="BN37" i="1"/>
  <c r="BM37" i="1"/>
  <c r="BL37" i="1"/>
  <c r="BJ37" i="1"/>
  <c r="BH37" i="1"/>
  <c r="BG37" i="1"/>
  <c r="BF37" i="1"/>
  <c r="BC37" i="1"/>
  <c r="BA37" i="1"/>
  <c r="AZ37" i="1"/>
  <c r="AY37" i="1"/>
  <c r="AX37" i="1"/>
  <c r="AU37" i="1"/>
  <c r="AT37" i="1"/>
  <c r="AS37" i="1"/>
  <c r="AQ37" i="1"/>
  <c r="AP37" i="1"/>
  <c r="AO37" i="1"/>
  <c r="AN37" i="1"/>
  <c r="AM37" i="1"/>
  <c r="AL37" i="1"/>
  <c r="AK37" i="1"/>
  <c r="AJ37" i="1"/>
  <c r="AI37" i="1"/>
  <c r="AH37" i="1"/>
  <c r="AG37" i="1"/>
  <c r="AE37" i="1"/>
  <c r="AD37" i="1"/>
  <c r="AC37" i="1"/>
  <c r="AB37" i="1"/>
  <c r="AA37" i="1"/>
  <c r="Z37" i="1"/>
  <c r="Y37" i="1"/>
  <c r="X37" i="1"/>
  <c r="W37" i="1"/>
  <c r="U37" i="1"/>
  <c r="T37" i="1"/>
  <c r="S37" i="1"/>
  <c r="R37" i="1"/>
  <c r="P37" i="1"/>
  <c r="O37" i="1"/>
  <c r="N37" i="1"/>
  <c r="M37" i="1"/>
  <c r="L37" i="1"/>
  <c r="K37" i="1"/>
  <c r="I37" i="1"/>
  <c r="CX36" i="1"/>
  <c r="CN36" i="1"/>
  <c r="CI36" i="1"/>
  <c r="CF36" i="1"/>
  <c r="BO36" i="1"/>
  <c r="BI36" i="1"/>
  <c r="BE36" i="1"/>
  <c r="Q36" i="1"/>
  <c r="J36" i="1"/>
  <c r="CX35" i="1"/>
  <c r="CN35" i="1"/>
  <c r="CI35" i="1"/>
  <c r="CF35" i="1"/>
  <c r="BR35" i="1"/>
  <c r="BO35" i="1"/>
  <c r="BI35" i="1"/>
  <c r="BE35" i="1"/>
  <c r="AF35" i="1"/>
  <c r="V35" i="1"/>
  <c r="Q35" i="1"/>
  <c r="J35" i="1"/>
  <c r="CX34" i="1"/>
  <c r="CN34" i="1"/>
  <c r="CI34" i="1"/>
  <c r="BR34" i="1"/>
  <c r="BO34" i="1"/>
  <c r="BI34" i="1"/>
  <c r="BE34" i="1"/>
  <c r="V34" i="1"/>
  <c r="Q34" i="1"/>
  <c r="CX33" i="1"/>
  <c r="CN33" i="1"/>
  <c r="CI33" i="1"/>
  <c r="CF33" i="1"/>
  <c r="BR33" i="1"/>
  <c r="BO33" i="1"/>
  <c r="BI33" i="1"/>
  <c r="BE33" i="1"/>
  <c r="AF33" i="1"/>
  <c r="V33" i="1"/>
  <c r="Q33" i="1"/>
  <c r="J33" i="1"/>
  <c r="CX32" i="1"/>
  <c r="CN32" i="1"/>
  <c r="CI32" i="1"/>
  <c r="CF32" i="1"/>
  <c r="BR32" i="1"/>
  <c r="BO32" i="1"/>
  <c r="BI32" i="1"/>
  <c r="BE32" i="1"/>
  <c r="AF32" i="1"/>
  <c r="V32" i="1"/>
  <c r="Q32" i="1"/>
  <c r="J32" i="1"/>
  <c r="CX31" i="1"/>
  <c r="CN31" i="1"/>
  <c r="CI31" i="1"/>
  <c r="CF31" i="1"/>
  <c r="BR31" i="1"/>
  <c r="BO31" i="1"/>
  <c r="BI31" i="1"/>
  <c r="BE31" i="1"/>
  <c r="AF31" i="1"/>
  <c r="V31" i="1"/>
  <c r="Q31" i="1"/>
  <c r="J31" i="1"/>
  <c r="CX30" i="1"/>
  <c r="CN30" i="1"/>
  <c r="CI30" i="1"/>
  <c r="BR30" i="1"/>
  <c r="BO30" i="1"/>
  <c r="BI30" i="1"/>
  <c r="BE30" i="1"/>
  <c r="AF30" i="1"/>
  <c r="AA23" i="1"/>
  <c r="Q30" i="1"/>
  <c r="CX29" i="1"/>
  <c r="CN29" i="1"/>
  <c r="CI29" i="1"/>
  <c r="CF29" i="1"/>
  <c r="BR29" i="1"/>
  <c r="BO29" i="1"/>
  <c r="BI29" i="1"/>
  <c r="BE29" i="1"/>
  <c r="AF29" i="1"/>
  <c r="V29" i="1"/>
  <c r="Q29" i="1"/>
  <c r="J29" i="1"/>
  <c r="CX28" i="1"/>
  <c r="CN28" i="1"/>
  <c r="CI28" i="1"/>
  <c r="CF28" i="1"/>
  <c r="BR28" i="1"/>
  <c r="BO28" i="1"/>
  <c r="BI28" i="1"/>
  <c r="BE28" i="1"/>
  <c r="AF28" i="1"/>
  <c r="V28" i="1"/>
  <c r="Q28" i="1"/>
  <c r="J28" i="1"/>
  <c r="CX27" i="1"/>
  <c r="CN27" i="1"/>
  <c r="CI27" i="1"/>
  <c r="CF27" i="1"/>
  <c r="BR27" i="1"/>
  <c r="BO27" i="1"/>
  <c r="BI27" i="1"/>
  <c r="BE27" i="1"/>
  <c r="AF27" i="1"/>
  <c r="V27" i="1"/>
  <c r="Q27" i="1"/>
  <c r="J27" i="1"/>
  <c r="CX26" i="1"/>
  <c r="CN26" i="1"/>
  <c r="CI26" i="1"/>
  <c r="CF26" i="1"/>
  <c r="BR26" i="1"/>
  <c r="BO26" i="1"/>
  <c r="BI26" i="1"/>
  <c r="BE26" i="1"/>
  <c r="AF26" i="1"/>
  <c r="V26" i="1"/>
  <c r="Q26" i="1"/>
  <c r="J26" i="1"/>
  <c r="CX25" i="1"/>
  <c r="CN25" i="1"/>
  <c r="CI25" i="1"/>
  <c r="CF25" i="1"/>
  <c r="BR25" i="1"/>
  <c r="BO25" i="1"/>
  <c r="BI25" i="1"/>
  <c r="BE25" i="1"/>
  <c r="AF25" i="1"/>
  <c r="V25" i="1"/>
  <c r="Q25" i="1"/>
  <c r="CX24" i="1"/>
  <c r="CN24" i="1"/>
  <c r="CI24" i="1"/>
  <c r="CF24" i="1"/>
  <c r="BR24" i="1"/>
  <c r="BO24" i="1"/>
  <c r="BI24" i="1"/>
  <c r="BE24" i="1"/>
  <c r="AF24" i="1"/>
  <c r="V24" i="1"/>
  <c r="Q24" i="1"/>
  <c r="J24" i="1"/>
  <c r="CZ23" i="1"/>
  <c r="CY23" i="1"/>
  <c r="CV23" i="1"/>
  <c r="CU23" i="1"/>
  <c r="CT23" i="1"/>
  <c r="CQ23" i="1"/>
  <c r="CO23" i="1"/>
  <c r="CM23" i="1"/>
  <c r="CJ23" i="1"/>
  <c r="CG23" i="1"/>
  <c r="CC23" i="1"/>
  <c r="CA23" i="1"/>
  <c r="BZ23" i="1"/>
  <c r="BY23" i="1"/>
  <c r="BX23" i="1"/>
  <c r="BW23" i="1"/>
  <c r="BV23" i="1"/>
  <c r="BU23" i="1"/>
  <c r="BT23" i="1"/>
  <c r="BS23" i="1"/>
  <c r="BP23" i="1"/>
  <c r="BN23" i="1"/>
  <c r="BM23" i="1"/>
  <c r="BL23" i="1"/>
  <c r="BJ23" i="1"/>
  <c r="BH23" i="1"/>
  <c r="BG23" i="1"/>
  <c r="BF23" i="1"/>
  <c r="BA23" i="1"/>
  <c r="AZ23" i="1"/>
  <c r="AY23" i="1"/>
  <c r="AX23" i="1"/>
  <c r="AU23" i="1"/>
  <c r="AT23" i="1"/>
  <c r="AS23" i="1"/>
  <c r="AP23" i="1"/>
  <c r="AO23" i="1"/>
  <c r="AM23" i="1"/>
  <c r="AK23" i="1"/>
  <c r="AH23" i="1"/>
  <c r="AG23" i="1"/>
  <c r="AE23" i="1"/>
  <c r="AD23" i="1"/>
  <c r="AC23" i="1"/>
  <c r="AB23" i="1"/>
  <c r="Y23" i="1"/>
  <c r="W23" i="1"/>
  <c r="U23" i="1"/>
  <c r="T23" i="1"/>
  <c r="R23" i="1"/>
  <c r="N23" i="1"/>
  <c r="M23" i="1"/>
  <c r="L23" i="1"/>
  <c r="K23" i="1"/>
  <c r="CX22" i="1"/>
  <c r="CN22" i="1"/>
  <c r="CI22" i="1"/>
  <c r="CF22" i="1"/>
  <c r="BR22" i="1"/>
  <c r="BO22" i="1"/>
  <c r="BI22" i="1"/>
  <c r="BE22" i="1"/>
  <c r="AF22" i="1"/>
  <c r="V22" i="1"/>
  <c r="Q22" i="1"/>
  <c r="J22" i="1"/>
  <c r="CX21" i="1"/>
  <c r="CN21" i="1"/>
  <c r="CI21" i="1"/>
  <c r="CF21" i="1"/>
  <c r="BR21" i="1"/>
  <c r="BO21" i="1"/>
  <c r="BI21" i="1"/>
  <c r="BE21" i="1"/>
  <c r="V21" i="1"/>
  <c r="Q21" i="1"/>
  <c r="J21" i="1"/>
  <c r="CX20" i="1"/>
  <c r="CT20" i="1"/>
  <c r="CN20" i="1"/>
  <c r="CI20" i="1"/>
  <c r="CF20" i="1"/>
  <c r="CB19" i="1"/>
  <c r="BO20" i="1"/>
  <c r="BI20" i="1"/>
  <c r="BE20" i="1"/>
  <c r="AF20" i="1"/>
  <c r="X19" i="1"/>
  <c r="Q20" i="1"/>
  <c r="J20" i="1"/>
  <c r="CZ19" i="1"/>
  <c r="CY19" i="1"/>
  <c r="CV19" i="1"/>
  <c r="CT19" i="1"/>
  <c r="CQ19" i="1"/>
  <c r="CO19" i="1"/>
  <c r="CM19" i="1"/>
  <c r="CJ19" i="1"/>
  <c r="CH19" i="1"/>
  <c r="CG19" i="1"/>
  <c r="CC19" i="1"/>
  <c r="CA19" i="1"/>
  <c r="BZ19" i="1"/>
  <c r="BY19" i="1"/>
  <c r="BX19" i="1"/>
  <c r="BW19" i="1"/>
  <c r="BV19" i="1"/>
  <c r="BU19" i="1"/>
  <c r="BT19" i="1"/>
  <c r="BS19" i="1"/>
  <c r="BP19" i="1"/>
  <c r="BN19" i="1"/>
  <c r="BM19" i="1"/>
  <c r="BL19" i="1"/>
  <c r="BJ19" i="1"/>
  <c r="BH19" i="1"/>
  <c r="BG19" i="1"/>
  <c r="BF19" i="1"/>
  <c r="AZ19" i="1"/>
  <c r="AY19" i="1"/>
  <c r="AX19" i="1"/>
  <c r="AU19" i="1"/>
  <c r="AT19" i="1"/>
  <c r="AS19" i="1"/>
  <c r="AQ19" i="1"/>
  <c r="AP19" i="1"/>
  <c r="AO19" i="1"/>
  <c r="AN19" i="1"/>
  <c r="AM19" i="1"/>
  <c r="AL19" i="1"/>
  <c r="AK19" i="1"/>
  <c r="AJ19" i="1"/>
  <c r="AH19" i="1"/>
  <c r="AG19" i="1"/>
  <c r="AE19" i="1"/>
  <c r="AD19" i="1"/>
  <c r="AC19" i="1"/>
  <c r="AB19" i="1"/>
  <c r="AA19" i="1"/>
  <c r="Z19" i="1"/>
  <c r="Y19" i="1"/>
  <c r="W19" i="1"/>
  <c r="U19" i="1"/>
  <c r="T19" i="1"/>
  <c r="S19" i="1"/>
  <c r="R19" i="1"/>
  <c r="P19" i="1"/>
  <c r="O19" i="1"/>
  <c r="N19" i="1"/>
  <c r="M19" i="1"/>
  <c r="L19" i="1"/>
  <c r="K19" i="1"/>
  <c r="H19" i="1"/>
  <c r="CX18" i="1"/>
  <c r="CT18" i="1"/>
  <c r="CN18" i="1"/>
  <c r="CI18" i="1"/>
  <c r="CF18" i="1"/>
  <c r="BR18" i="1"/>
  <c r="BO18" i="1"/>
  <c r="BI18" i="1"/>
  <c r="BE18" i="1"/>
  <c r="AF18" i="1"/>
  <c r="V18" i="1"/>
  <c r="Q18" i="1"/>
  <c r="J18" i="1"/>
  <c r="CZ17" i="1"/>
  <c r="CY17" i="1"/>
  <c r="CV17" i="1"/>
  <c r="CU17" i="1"/>
  <c r="CT17" i="1"/>
  <c r="CQ17" i="1"/>
  <c r="CO17" i="1"/>
  <c r="CM17" i="1"/>
  <c r="CJ17" i="1"/>
  <c r="CH17" i="1"/>
  <c r="CG17" i="1"/>
  <c r="CC17" i="1"/>
  <c r="CB17" i="1"/>
  <c r="CA17" i="1"/>
  <c r="BZ17" i="1"/>
  <c r="BY17" i="1"/>
  <c r="BX17" i="1"/>
  <c r="BW17" i="1"/>
  <c r="BV17" i="1"/>
  <c r="BU17" i="1"/>
  <c r="BT17" i="1"/>
  <c r="BS17" i="1"/>
  <c r="BP17" i="1"/>
  <c r="BN17" i="1"/>
  <c r="BM17" i="1"/>
  <c r="BL17" i="1"/>
  <c r="BJ17" i="1"/>
  <c r="BH17" i="1"/>
  <c r="BG17" i="1"/>
  <c r="BF17" i="1"/>
  <c r="BC17" i="1"/>
  <c r="BA17" i="1"/>
  <c r="AZ17" i="1"/>
  <c r="AY17" i="1"/>
  <c r="AX17" i="1"/>
  <c r="AU17" i="1"/>
  <c r="AT17" i="1"/>
  <c r="AS17" i="1"/>
  <c r="AQ17" i="1"/>
  <c r="AP17" i="1"/>
  <c r="AO17" i="1"/>
  <c r="AN17" i="1"/>
  <c r="AM17" i="1"/>
  <c r="AL17" i="1"/>
  <c r="AK17" i="1"/>
  <c r="AJ17" i="1"/>
  <c r="AI17" i="1"/>
  <c r="AH17" i="1"/>
  <c r="AG17" i="1"/>
  <c r="AE17" i="1"/>
  <c r="AD17" i="1"/>
  <c r="AC17" i="1"/>
  <c r="AB17" i="1"/>
  <c r="AA17" i="1"/>
  <c r="Z17" i="1"/>
  <c r="Y17" i="1"/>
  <c r="X17" i="1"/>
  <c r="W17" i="1"/>
  <c r="U17" i="1"/>
  <c r="T17" i="1"/>
  <c r="S17" i="1"/>
  <c r="R17" i="1"/>
  <c r="P17" i="1"/>
  <c r="O17" i="1"/>
  <c r="N17" i="1"/>
  <c r="M17" i="1"/>
  <c r="L17" i="1"/>
  <c r="K17" i="1"/>
  <c r="H17" i="1"/>
  <c r="L71" i="1"/>
  <c r="O311" i="1"/>
  <c r="CZ256" i="1"/>
  <c r="AF331" i="1"/>
  <c r="AJ170" i="1"/>
  <c r="AX330" i="1"/>
  <c r="CI331" i="1"/>
  <c r="P131" i="1"/>
  <c r="J67" i="1"/>
  <c r="AF168" i="1"/>
  <c r="CF331" i="1"/>
  <c r="CH330" i="1"/>
  <c r="H23" i="1"/>
  <c r="CH170" i="1"/>
  <c r="CH135" i="1"/>
  <c r="J171" i="1"/>
  <c r="K170" i="1"/>
  <c r="AF233" i="1"/>
  <c r="AY232" i="1"/>
  <c r="BL326" i="1"/>
  <c r="V109" i="1" l="1"/>
  <c r="BE109" i="1"/>
  <c r="BR109" i="1"/>
  <c r="CI109" i="1"/>
  <c r="V120" i="1"/>
  <c r="BE120" i="1"/>
  <c r="CN120" i="1"/>
  <c r="AF109" i="1"/>
  <c r="CN109" i="1"/>
  <c r="AF120" i="1"/>
  <c r="BI120" i="1"/>
  <c r="BR120" i="1"/>
  <c r="CI120" i="1"/>
  <c r="J109" i="1"/>
  <c r="CX109" i="1"/>
  <c r="J120" i="1"/>
  <c r="BO120" i="1"/>
  <c r="CF120" i="1"/>
  <c r="Q109" i="1"/>
  <c r="BO109" i="1"/>
  <c r="CF109" i="1"/>
  <c r="Q120" i="1"/>
  <c r="CX120" i="1"/>
  <c r="AF325" i="1"/>
  <c r="CX330" i="1"/>
  <c r="CN185" i="1"/>
  <c r="BR217" i="1"/>
  <c r="J331" i="1"/>
  <c r="BI326" i="1"/>
  <c r="CT314" i="1"/>
  <c r="AP16" i="1"/>
  <c r="AS16" i="1"/>
  <c r="AY16" i="1"/>
  <c r="AX16" i="1"/>
  <c r="AZ16" i="1"/>
  <c r="AT16" i="1"/>
  <c r="AU16" i="1"/>
  <c r="CI328" i="1"/>
  <c r="CW259" i="1"/>
  <c r="CW275" i="1"/>
  <c r="J283" i="1"/>
  <c r="CN309" i="1"/>
  <c r="BE328" i="1"/>
  <c r="CF328" i="1"/>
  <c r="BE330" i="1"/>
  <c r="CW339" i="1"/>
  <c r="K330" i="1"/>
  <c r="CW337" i="1"/>
  <c r="J338" i="1"/>
  <c r="J307" i="1"/>
  <c r="CW327" i="1"/>
  <c r="V338" i="1"/>
  <c r="AF332" i="1"/>
  <c r="V312" i="1"/>
  <c r="CN307" i="1"/>
  <c r="CW267" i="1"/>
  <c r="G337" i="1"/>
  <c r="AF283" i="1"/>
  <c r="BD268" i="1"/>
  <c r="AQ311" i="1"/>
  <c r="CW300" i="1"/>
  <c r="CA222" i="1"/>
  <c r="AX311" i="1"/>
  <c r="BR309" i="1"/>
  <c r="CW313" i="1"/>
  <c r="CX230" i="1"/>
  <c r="CF334" i="1"/>
  <c r="BD270" i="1"/>
  <c r="CW252" i="1"/>
  <c r="BY216" i="1"/>
  <c r="CW329" i="1"/>
  <c r="Q230" i="1"/>
  <c r="AW314" i="1"/>
  <c r="CI283" i="1"/>
  <c r="BR283" i="1"/>
  <c r="CW284" i="1"/>
  <c r="CW224" i="1"/>
  <c r="CE337" i="1"/>
  <c r="G293" i="1"/>
  <c r="CN334" i="1"/>
  <c r="CW287" i="1"/>
  <c r="V195" i="1"/>
  <c r="V336" i="1"/>
  <c r="CT311" i="1"/>
  <c r="CI230" i="1"/>
  <c r="BO338" i="1"/>
  <c r="CW235" i="1"/>
  <c r="BD313" i="1"/>
  <c r="BD257" i="1"/>
  <c r="CW231" i="1"/>
  <c r="CF205" i="1"/>
  <c r="BR223" i="1"/>
  <c r="CE293" i="1"/>
  <c r="J193" i="1"/>
  <c r="CF332" i="1"/>
  <c r="CF338" i="1"/>
  <c r="CU314" i="1"/>
  <c r="BD260" i="1"/>
  <c r="BO326" i="1"/>
  <c r="U311" i="1"/>
  <c r="BI307" i="1"/>
  <c r="CW293" i="1"/>
  <c r="CW253" i="1"/>
  <c r="CH222" i="1"/>
  <c r="BC222" i="1"/>
  <c r="CW215" i="1"/>
  <c r="CN332" i="1"/>
  <c r="AF312" i="1"/>
  <c r="BW311" i="1"/>
  <c r="CW233" i="1"/>
  <c r="BR230" i="1"/>
  <c r="AK222" i="1"/>
  <c r="BE193" i="1"/>
  <c r="CF148" i="1"/>
  <c r="V172" i="1"/>
  <c r="J180" i="1"/>
  <c r="Q189" i="1"/>
  <c r="BD201" i="1"/>
  <c r="BO175" i="1"/>
  <c r="G237" i="1"/>
  <c r="CW157" i="1"/>
  <c r="BE309" i="1"/>
  <c r="G274" i="1"/>
  <c r="CE235" i="1"/>
  <c r="BD279" i="1"/>
  <c r="BO256" i="1"/>
  <c r="BD252" i="1"/>
  <c r="CW198" i="1"/>
  <c r="CM311" i="1"/>
  <c r="AF326" i="1"/>
  <c r="CW279" i="1"/>
  <c r="CW271" i="1"/>
  <c r="CW263" i="1"/>
  <c r="CB70" i="1"/>
  <c r="CX180" i="1"/>
  <c r="CE194" i="1"/>
  <c r="CX195" i="1"/>
  <c r="BI197" i="1"/>
  <c r="AB71" i="1"/>
  <c r="AT155" i="1"/>
  <c r="CE231" i="1"/>
  <c r="X23" i="1"/>
  <c r="S23" i="1"/>
  <c r="V164" i="1"/>
  <c r="AL23" i="1"/>
  <c r="AS71" i="1"/>
  <c r="CH80" i="1"/>
  <c r="AU135" i="1"/>
  <c r="CH155" i="1"/>
  <c r="P172" i="1"/>
  <c r="H61" i="1"/>
  <c r="H66" i="1"/>
  <c r="I68" i="1"/>
  <c r="I76" i="1"/>
  <c r="I82" i="1"/>
  <c r="I89" i="1"/>
  <c r="I92" i="1"/>
  <c r="I112" i="1"/>
  <c r="I127" i="1"/>
  <c r="U163" i="1"/>
  <c r="S163" i="1"/>
  <c r="J168" i="1"/>
  <c r="AF125" i="1"/>
  <c r="BC163" i="1"/>
  <c r="AO166" i="1"/>
  <c r="V168" i="1"/>
  <c r="BR155" i="1"/>
  <c r="CW190" i="1"/>
  <c r="CT182" i="1"/>
  <c r="CI195" i="1"/>
  <c r="CE200" i="1"/>
  <c r="CE210" i="1"/>
  <c r="BD213" i="1"/>
  <c r="BO205" i="1"/>
  <c r="BO223" i="1"/>
  <c r="CN232" i="1"/>
  <c r="CE252" i="1"/>
  <c r="CW257" i="1"/>
  <c r="CW258" i="1"/>
  <c r="CW260" i="1"/>
  <c r="CE262" i="1"/>
  <c r="CW262" i="1"/>
  <c r="CE264" i="1"/>
  <c r="CW264" i="1"/>
  <c r="CE266" i="1"/>
  <c r="CW266" i="1"/>
  <c r="CW268" i="1"/>
  <c r="BD269" i="1"/>
  <c r="CE269" i="1"/>
  <c r="CW270" i="1"/>
  <c r="BD271" i="1"/>
  <c r="CW272" i="1"/>
  <c r="G273" i="1"/>
  <c r="CW274" i="1"/>
  <c r="CE275" i="1"/>
  <c r="CW276" i="1"/>
  <c r="BD277" i="1"/>
  <c r="CE278" i="1"/>
  <c r="CW278" i="1"/>
  <c r="CW282" i="1"/>
  <c r="V283" i="1"/>
  <c r="BE283" i="1"/>
  <c r="BO283" i="1"/>
  <c r="CF283" i="1"/>
  <c r="CN283" i="1"/>
  <c r="G287" i="1"/>
  <c r="CE289" i="1"/>
  <c r="G292" i="1"/>
  <c r="BD292" i="1"/>
  <c r="BD294" i="1"/>
  <c r="CE296" i="1"/>
  <c r="BD300" i="1"/>
  <c r="BE307" i="1"/>
  <c r="BO307" i="1"/>
  <c r="CE308" i="1"/>
  <c r="CF307" i="1"/>
  <c r="J309" i="1"/>
  <c r="BD310" i="1"/>
  <c r="BO309" i="1"/>
  <c r="AH311" i="1"/>
  <c r="BZ311" i="1"/>
  <c r="CJ311" i="1"/>
  <c r="CY311" i="1"/>
  <c r="J312" i="1"/>
  <c r="BE312" i="1"/>
  <c r="BO312" i="1"/>
  <c r="BD325" i="1"/>
  <c r="Q326" i="1"/>
  <c r="CI326" i="1"/>
  <c r="CX326" i="1"/>
  <c r="BO328" i="1"/>
  <c r="CN328" i="1"/>
  <c r="CW331" i="1"/>
  <c r="Q332" i="1"/>
  <c r="BR332" i="1"/>
  <c r="BR336" i="1"/>
  <c r="BR338" i="1"/>
  <c r="CE119" i="1"/>
  <c r="CW164" i="1"/>
  <c r="BD214" i="1"/>
  <c r="CW280" i="1"/>
  <c r="G335" i="1"/>
  <c r="BD331" i="1"/>
  <c r="BW314" i="1"/>
  <c r="J328" i="1"/>
  <c r="BI256" i="1"/>
  <c r="BD284" i="1"/>
  <c r="CX191" i="1"/>
  <c r="BD296" i="1"/>
  <c r="G278" i="1"/>
  <c r="G264" i="1"/>
  <c r="CE257" i="1"/>
  <c r="BD233" i="1"/>
  <c r="BD339" i="1"/>
  <c r="CF309" i="1"/>
  <c r="BD295" i="1"/>
  <c r="G289" i="1"/>
  <c r="BD274" i="1"/>
  <c r="CE263" i="1"/>
  <c r="CE242" i="1"/>
  <c r="G276" i="1"/>
  <c r="R314" i="1"/>
  <c r="CE171" i="1"/>
  <c r="BD293" i="1"/>
  <c r="BD266" i="1"/>
  <c r="CE310" i="1"/>
  <c r="BD337" i="1"/>
  <c r="BD281" i="1"/>
  <c r="BI336" i="1"/>
  <c r="CW333" i="1"/>
  <c r="BO330" i="1"/>
  <c r="V328" i="1"/>
  <c r="CU311" i="1"/>
  <c r="CB311" i="1"/>
  <c r="V309" i="1"/>
  <c r="CN223" i="1"/>
  <c r="CW214" i="1"/>
  <c r="BI338" i="1"/>
  <c r="BI334" i="1"/>
  <c r="CG311" i="1"/>
  <c r="V307" i="1"/>
  <c r="CW277" i="1"/>
  <c r="CW273" i="1"/>
  <c r="CW269" i="1"/>
  <c r="CW265" i="1"/>
  <c r="CW261" i="1"/>
  <c r="CU234" i="1"/>
  <c r="BE148" i="1"/>
  <c r="Q135" i="1"/>
  <c r="G167" i="1"/>
  <c r="BE155" i="1"/>
  <c r="CW136" i="1"/>
  <c r="CW128" i="1"/>
  <c r="CF172" i="1"/>
  <c r="BO155" i="1"/>
  <c r="CN172" i="1"/>
  <c r="BE170" i="1"/>
  <c r="BO172" i="1"/>
  <c r="V178" i="1"/>
  <c r="BO170" i="1"/>
  <c r="Q45" i="1"/>
  <c r="BI45" i="1"/>
  <c r="CI45" i="1"/>
  <c r="J63" i="1"/>
  <c r="BE63" i="1"/>
  <c r="J68" i="1"/>
  <c r="BI73" i="1"/>
  <c r="CI92" i="1"/>
  <c r="AF172" i="1"/>
  <c r="BD173" i="1"/>
  <c r="CW173" i="1"/>
  <c r="V175" i="1"/>
  <c r="BE175" i="1"/>
  <c r="CF175" i="1"/>
  <c r="CN175" i="1"/>
  <c r="BG169" i="1"/>
  <c r="G179" i="1"/>
  <c r="BD179" i="1"/>
  <c r="AF180" i="1"/>
  <c r="BR180" i="1"/>
  <c r="CW181" i="1"/>
  <c r="CW183" i="1"/>
  <c r="AM182" i="1"/>
  <c r="G186" i="1"/>
  <c r="CE186" i="1"/>
  <c r="CW186" i="1"/>
  <c r="J189" i="1"/>
  <c r="CI189" i="1"/>
  <c r="Q193" i="1"/>
  <c r="AF193" i="1"/>
  <c r="BI193" i="1"/>
  <c r="BR193" i="1"/>
  <c r="CI193" i="1"/>
  <c r="CW194" i="1"/>
  <c r="Q195" i="1"/>
  <c r="AF195" i="1"/>
  <c r="BR195" i="1"/>
  <c r="CW196" i="1"/>
  <c r="BD198" i="1"/>
  <c r="BD199" i="1"/>
  <c r="CE199" i="1"/>
  <c r="CN197" i="1"/>
  <c r="CW201" i="1"/>
  <c r="CW202" i="1"/>
  <c r="BD203" i="1"/>
  <c r="CW204" i="1"/>
  <c r="BI205" i="1"/>
  <c r="CE206" i="1"/>
  <c r="CX205" i="1"/>
  <c r="G209" i="1"/>
  <c r="CW210" i="1"/>
  <c r="CE211" i="1"/>
  <c r="CE212" i="1"/>
  <c r="CE215" i="1"/>
  <c r="K216" i="1"/>
  <c r="AL216" i="1"/>
  <c r="BF216" i="1"/>
  <c r="CJ216" i="1"/>
  <c r="CU216" i="1"/>
  <c r="BE217" i="1"/>
  <c r="CN217" i="1"/>
  <c r="O222" i="1"/>
  <c r="AN222" i="1"/>
  <c r="BA222" i="1"/>
  <c r="CG222" i="1"/>
  <c r="CY222" i="1"/>
  <c r="J223" i="1"/>
  <c r="BD224" i="1"/>
  <c r="CF223" i="1"/>
  <c r="CE225" i="1"/>
  <c r="BD231" i="1"/>
  <c r="BO230" i="1"/>
  <c r="CF230" i="1"/>
  <c r="Q232" i="1"/>
  <c r="CI232" i="1"/>
  <c r="CX232" i="1"/>
  <c r="J232" i="1"/>
  <c r="V232" i="1"/>
  <c r="BO232" i="1"/>
  <c r="CE233" i="1"/>
  <c r="BD235" i="1"/>
  <c r="CE237" i="1"/>
  <c r="BD242" i="1"/>
  <c r="G247" i="1"/>
  <c r="BD247" i="1"/>
  <c r="CE247" i="1"/>
  <c r="CW247" i="1"/>
  <c r="G253" i="1"/>
  <c r="BD253" i="1"/>
  <c r="CE253" i="1"/>
  <c r="CN312" i="1"/>
  <c r="CI338" i="1"/>
  <c r="AF330" i="1"/>
  <c r="J37" i="1"/>
  <c r="AF45" i="1"/>
  <c r="BR45" i="1"/>
  <c r="CX45" i="1"/>
  <c r="CX47" i="1"/>
  <c r="CX50" i="1"/>
  <c r="CF52" i="1"/>
  <c r="CF54" i="1"/>
  <c r="CF68" i="1"/>
  <c r="Q73" i="1"/>
  <c r="CX76" i="1"/>
  <c r="BE82" i="1"/>
  <c r="CF82" i="1"/>
  <c r="BI84" i="1"/>
  <c r="BR84" i="1"/>
  <c r="CX84" i="1"/>
  <c r="BR92" i="1"/>
  <c r="CX92" i="1"/>
  <c r="CV102" i="1"/>
  <c r="CW104" i="1"/>
  <c r="X105" i="1"/>
  <c r="AO105" i="1"/>
  <c r="AZ105" i="1"/>
  <c r="BY105" i="1"/>
  <c r="CC105" i="1"/>
  <c r="CH105" i="1"/>
  <c r="CI106" i="1"/>
  <c r="J112" i="1"/>
  <c r="BE112" i="1"/>
  <c r="CN112" i="1"/>
  <c r="V127" i="1"/>
  <c r="BE127" i="1"/>
  <c r="CF127" i="1"/>
  <c r="CW132" i="1"/>
  <c r="BE135" i="1"/>
  <c r="BO135" i="1"/>
  <c r="CN139" i="1"/>
  <c r="CI141" i="1"/>
  <c r="Q143" i="1"/>
  <c r="BI143" i="1"/>
  <c r="BR143" i="1"/>
  <c r="CI143" i="1"/>
  <c r="CX143" i="1"/>
  <c r="CT147" i="1"/>
  <c r="BI148" i="1"/>
  <c r="CX148" i="1"/>
  <c r="Q152" i="1"/>
  <c r="AF152" i="1"/>
  <c r="CW153" i="1"/>
  <c r="Q155" i="1"/>
  <c r="BI155" i="1"/>
  <c r="CI155" i="1"/>
  <c r="CX155" i="1"/>
  <c r="CW161" i="1"/>
  <c r="CW165" i="1"/>
  <c r="BR166" i="1"/>
  <c r="AY169" i="1"/>
  <c r="Q170" i="1"/>
  <c r="BI170" i="1"/>
  <c r="BR170" i="1"/>
  <c r="CW171" i="1"/>
  <c r="CI166" i="1"/>
  <c r="AP162" i="1"/>
  <c r="CN89" i="1"/>
  <c r="G159" i="1"/>
  <c r="CX17" i="1"/>
  <c r="CX37" i="1"/>
  <c r="J45" i="1"/>
  <c r="V45" i="1"/>
  <c r="BE45" i="1"/>
  <c r="BO45" i="1"/>
  <c r="CF45" i="1"/>
  <c r="CN45" i="1"/>
  <c r="CF47" i="1"/>
  <c r="J50" i="1"/>
  <c r="CX52" i="1"/>
  <c r="CW55" i="1"/>
  <c r="J56" i="1"/>
  <c r="J58" i="1"/>
  <c r="J61" i="1"/>
  <c r="AP65" i="1"/>
  <c r="CX68" i="1"/>
  <c r="BE73" i="1"/>
  <c r="CN73" i="1"/>
  <c r="CW79" i="1"/>
  <c r="BE80" i="1"/>
  <c r="CX82" i="1"/>
  <c r="CF84" i="1"/>
  <c r="BO86" i="1"/>
  <c r="AF89" i="1"/>
  <c r="J92" i="1"/>
  <c r="H102" i="1"/>
  <c r="AL102" i="1"/>
  <c r="AP102" i="1"/>
  <c r="J103" i="1"/>
  <c r="CO105" i="1"/>
  <c r="CU105" i="1"/>
  <c r="CY105" i="1"/>
  <c r="J106" i="1"/>
  <c r="V106" i="1"/>
  <c r="BO106" i="1"/>
  <c r="CF106" i="1"/>
  <c r="CN106" i="1"/>
  <c r="BZ108" i="1"/>
  <c r="CI112" i="1"/>
  <c r="CW113" i="1"/>
  <c r="CW116" i="1"/>
  <c r="BO118" i="1"/>
  <c r="BI124" i="1"/>
  <c r="BR124" i="1"/>
  <c r="CI124" i="1"/>
  <c r="CX124" i="1"/>
  <c r="BR127" i="1"/>
  <c r="BI135" i="1"/>
  <c r="CX139" i="1"/>
  <c r="CN141" i="1"/>
  <c r="CF143" i="1"/>
  <c r="V148" i="1"/>
  <c r="CN148" i="1"/>
  <c r="BE172" i="1"/>
  <c r="CW177" i="1"/>
  <c r="J178" i="1"/>
  <c r="BI178" i="1"/>
  <c r="CI178" i="1"/>
  <c r="CX178" i="1"/>
  <c r="CF180" i="1"/>
  <c r="J185" i="1"/>
  <c r="V185" i="1"/>
  <c r="BE185" i="1"/>
  <c r="BO185" i="1"/>
  <c r="CF185" i="1"/>
  <c r="BI189" i="1"/>
  <c r="J191" i="1"/>
  <c r="BE191" i="1"/>
  <c r="CF191" i="1"/>
  <c r="CN193" i="1"/>
  <c r="CF195" i="1"/>
  <c r="CT234" i="1"/>
  <c r="BE256" i="1"/>
  <c r="G258" i="1"/>
  <c r="BD258" i="1"/>
  <c r="CE258" i="1"/>
  <c r="BD259" i="1"/>
  <c r="BD261" i="1"/>
  <c r="BD262" i="1"/>
  <c r="BD263" i="1"/>
  <c r="BD264" i="1"/>
  <c r="BD265" i="1"/>
  <c r="BD267" i="1"/>
  <c r="CE268" i="1"/>
  <c r="G270" i="1"/>
  <c r="G271" i="1"/>
  <c r="CE271" i="1"/>
  <c r="G272" i="1"/>
  <c r="BD272" i="1"/>
  <c r="CE272" i="1"/>
  <c r="BD273" i="1"/>
  <c r="CE274" i="1"/>
  <c r="BD275" i="1"/>
  <c r="CE276" i="1"/>
  <c r="CE277" i="1"/>
  <c r="BD278" i="1"/>
  <c r="CE279" i="1"/>
  <c r="BD282" i="1"/>
  <c r="BR256" i="1"/>
  <c r="Q283" i="1"/>
  <c r="BI283" i="1"/>
  <c r="CE284" i="1"/>
  <c r="CX283" i="1"/>
  <c r="BD287" i="1"/>
  <c r="CE287" i="1"/>
  <c r="BD289" i="1"/>
  <c r="CW289" i="1"/>
  <c r="G291" i="1"/>
  <c r="BD291" i="1"/>
  <c r="CE291" i="1"/>
  <c r="CW291" i="1"/>
  <c r="CE292" i="1"/>
  <c r="CW292" i="1"/>
  <c r="G294" i="1"/>
  <c r="CE294" i="1"/>
  <c r="CW294" i="1"/>
  <c r="G295" i="1"/>
  <c r="CE295" i="1"/>
  <c r="CW295" i="1"/>
  <c r="CW296" i="1"/>
  <c r="CE300" i="1"/>
  <c r="G306" i="1"/>
  <c r="BD306" i="1"/>
  <c r="CE306" i="1"/>
  <c r="CW306" i="1"/>
  <c r="G308" i="1"/>
  <c r="AF307" i="1"/>
  <c r="BD308" i="1"/>
  <c r="BR307" i="1"/>
  <c r="CW308" i="1"/>
  <c r="Q309" i="1"/>
  <c r="AF309" i="1"/>
  <c r="BI309" i="1"/>
  <c r="CI309" i="1"/>
  <c r="CW310" i="1"/>
  <c r="I311" i="1"/>
  <c r="L311" i="1"/>
  <c r="N311" i="1"/>
  <c r="P311" i="1"/>
  <c r="S311" i="1"/>
  <c r="X311" i="1"/>
  <c r="Z311" i="1"/>
  <c r="AB311" i="1"/>
  <c r="AD311" i="1"/>
  <c r="AG311" i="1"/>
  <c r="AI311" i="1"/>
  <c r="AK311" i="1"/>
  <c r="AM311" i="1"/>
  <c r="AO311" i="1"/>
  <c r="AT311" i="1"/>
  <c r="AV311" i="1"/>
  <c r="AZ311" i="1"/>
  <c r="BC311" i="1"/>
  <c r="BG311" i="1"/>
  <c r="BJ311" i="1"/>
  <c r="BL311" i="1"/>
  <c r="BN311" i="1"/>
  <c r="BS311" i="1"/>
  <c r="BU311" i="1"/>
  <c r="BY311" i="1"/>
  <c r="CA311" i="1"/>
  <c r="CC311" i="1"/>
  <c r="CQ311" i="1"/>
  <c r="CV311" i="1"/>
  <c r="CZ311" i="1"/>
  <c r="Q312" i="1"/>
  <c r="BI312" i="1"/>
  <c r="BR312" i="1"/>
  <c r="CI312" i="1"/>
  <c r="CX312" i="1"/>
  <c r="CW325" i="1"/>
  <c r="Z314" i="1"/>
  <c r="AG314" i="1"/>
  <c r="J326" i="1"/>
  <c r="V326" i="1"/>
  <c r="BE326" i="1"/>
  <c r="CF326" i="1"/>
  <c r="CN326" i="1"/>
  <c r="Q328" i="1"/>
  <c r="AF328" i="1"/>
  <c r="BI328" i="1"/>
  <c r="BR328" i="1"/>
  <c r="CE329" i="1"/>
  <c r="Q330" i="1"/>
  <c r="BI330" i="1"/>
  <c r="J332" i="1"/>
  <c r="V332" i="1"/>
  <c r="BE332" i="1"/>
  <c r="CE333" i="1"/>
  <c r="J334" i="1"/>
  <c r="V334" i="1"/>
  <c r="BE334" i="1"/>
  <c r="BO334" i="1"/>
  <c r="CE335" i="1"/>
  <c r="AN314" i="1"/>
  <c r="J336" i="1"/>
  <c r="BO336" i="1"/>
  <c r="CF336" i="1"/>
  <c r="CN336" i="1"/>
  <c r="BS314" i="1"/>
  <c r="CA314" i="1"/>
  <c r="BE338" i="1"/>
  <c r="CE339" i="1"/>
  <c r="CN338" i="1"/>
  <c r="G119" i="1"/>
  <c r="CW119" i="1"/>
  <c r="BD164" i="1"/>
  <c r="J205" i="1"/>
  <c r="CE214" i="1"/>
  <c r="CN205" i="1"/>
  <c r="G280" i="1"/>
  <c r="BD280" i="1"/>
  <c r="CE280" i="1"/>
  <c r="CI256" i="1"/>
  <c r="CW281" i="1"/>
  <c r="H88" i="1"/>
  <c r="U88" i="1"/>
  <c r="CN135" i="1"/>
  <c r="P163" i="1"/>
  <c r="G329" i="1"/>
  <c r="G310" i="1"/>
  <c r="BE223" i="1"/>
  <c r="CX256" i="1"/>
  <c r="CX193" i="1"/>
  <c r="CX170" i="1"/>
  <c r="CX307" i="1"/>
  <c r="BE178" i="1"/>
  <c r="CE327" i="1"/>
  <c r="G333" i="1"/>
  <c r="CF197" i="1"/>
  <c r="BD206" i="1"/>
  <c r="BD329" i="1"/>
  <c r="G313" i="1"/>
  <c r="O23" i="1"/>
  <c r="AF36" i="1"/>
  <c r="AA88" i="1"/>
  <c r="BT88" i="1"/>
  <c r="BV88" i="1"/>
  <c r="J118" i="1"/>
  <c r="V118" i="1"/>
  <c r="BR118" i="1"/>
  <c r="CX118" i="1"/>
  <c r="AG114" i="1"/>
  <c r="BG114" i="1"/>
  <c r="CA114" i="1"/>
  <c r="CH114" i="1"/>
  <c r="CQ114" i="1"/>
  <c r="CZ114" i="1"/>
  <c r="Q124" i="1"/>
  <c r="M114" i="1"/>
  <c r="AE114" i="1"/>
  <c r="AJ114" i="1"/>
  <c r="BT114" i="1"/>
  <c r="BE124" i="1"/>
  <c r="BO124" i="1"/>
  <c r="CN124" i="1"/>
  <c r="Q131" i="1"/>
  <c r="BD150" i="1"/>
  <c r="G153" i="1"/>
  <c r="BD154" i="1"/>
  <c r="BW162" i="1"/>
  <c r="CY162" i="1"/>
  <c r="BE230" i="1"/>
  <c r="Q185" i="1"/>
  <c r="CW110" i="1"/>
  <c r="CW85" i="1"/>
  <c r="CX78" i="1"/>
  <c r="CY60" i="1"/>
  <c r="J156" i="1"/>
  <c r="CE157" i="1"/>
  <c r="CE159" i="1"/>
  <c r="G161" i="1"/>
  <c r="BD161" i="1"/>
  <c r="BH162" i="1"/>
  <c r="BR163" i="1"/>
  <c r="CE165" i="1"/>
  <c r="CA162" i="1"/>
  <c r="AK169" i="1"/>
  <c r="CQ169" i="1"/>
  <c r="BD177" i="1"/>
  <c r="AP169" i="1"/>
  <c r="CE184" i="1"/>
  <c r="CE187" i="1"/>
  <c r="CE190" i="1"/>
  <c r="BS65" i="1"/>
  <c r="CE110" i="1"/>
  <c r="BV126" i="1"/>
  <c r="BD129" i="1"/>
  <c r="BD134" i="1"/>
  <c r="CE146" i="1"/>
  <c r="CE154" i="1"/>
  <c r="CW144" i="1"/>
  <c r="CW179" i="1"/>
  <c r="J173" i="1"/>
  <c r="CX152" i="1"/>
  <c r="I197" i="1"/>
  <c r="G110" i="1"/>
  <c r="BY147" i="1"/>
  <c r="G140" i="1"/>
  <c r="BD153" i="1"/>
  <c r="CU162" i="1"/>
  <c r="G177" i="1"/>
  <c r="CO60" i="1"/>
  <c r="CY65" i="1"/>
  <c r="CH65" i="1"/>
  <c r="CE75" i="1"/>
  <c r="G81" i="1"/>
  <c r="BD91" i="1"/>
  <c r="CE91" i="1"/>
  <c r="AH126" i="1"/>
  <c r="BP126" i="1"/>
  <c r="BD132" i="1"/>
  <c r="CG162" i="1"/>
  <c r="BO166" i="1"/>
  <c r="BY169" i="1"/>
  <c r="Z65" i="1"/>
  <c r="N108" i="1"/>
  <c r="CW77" i="1"/>
  <c r="BI152" i="1"/>
  <c r="CI39" i="1"/>
  <c r="BW65" i="1"/>
  <c r="CA65" i="1"/>
  <c r="CC65" i="1"/>
  <c r="BD79" i="1"/>
  <c r="CE83" i="1"/>
  <c r="CE94" i="1"/>
  <c r="CE98" i="1"/>
  <c r="BD116" i="1"/>
  <c r="CE116" i="1"/>
  <c r="CY126" i="1"/>
  <c r="BD130" i="1"/>
  <c r="CE137" i="1"/>
  <c r="CE142" i="1"/>
  <c r="CB147" i="1"/>
  <c r="BD160" i="1"/>
  <c r="BD187" i="1"/>
  <c r="AN182" i="1"/>
  <c r="CF66" i="1"/>
  <c r="CE67" i="1"/>
  <c r="BI103" i="1"/>
  <c r="BD104" i="1"/>
  <c r="CI152" i="1"/>
  <c r="CE153" i="1"/>
  <c r="CW48" i="1"/>
  <c r="CW121" i="1"/>
  <c r="BE106" i="1"/>
  <c r="CE62" i="1"/>
  <c r="Y314" i="1"/>
  <c r="BH314" i="1"/>
  <c r="BN314" i="1"/>
  <c r="BU314" i="1"/>
  <c r="BY314" i="1"/>
  <c r="CC314" i="1"/>
  <c r="CJ314" i="1"/>
  <c r="CF232" i="1"/>
  <c r="V135" i="1"/>
  <c r="BD184" i="1"/>
  <c r="J197" i="1"/>
  <c r="G266" i="1"/>
  <c r="G267" i="1"/>
  <c r="CH49" i="1"/>
  <c r="N60" i="1"/>
  <c r="AA65" i="1"/>
  <c r="AL65" i="1"/>
  <c r="BM65" i="1"/>
  <c r="CE87" i="1"/>
  <c r="BU88" i="1"/>
  <c r="AJ88" i="1"/>
  <c r="AY88" i="1"/>
  <c r="G116" i="1"/>
  <c r="AI126" i="1"/>
  <c r="BD128" i="1"/>
  <c r="G130" i="1"/>
  <c r="AF133" i="1"/>
  <c r="CJ126" i="1"/>
  <c r="N147" i="1"/>
  <c r="AM147" i="1"/>
  <c r="BJ162" i="1"/>
  <c r="BS162" i="1"/>
  <c r="AN169" i="1"/>
  <c r="AU169" i="1"/>
  <c r="BF169" i="1"/>
  <c r="BT169" i="1"/>
  <c r="AH169" i="1"/>
  <c r="G176" i="1"/>
  <c r="CC169" i="1"/>
  <c r="CY169" i="1"/>
  <c r="BT182" i="1"/>
  <c r="G187" i="1"/>
  <c r="L182" i="1"/>
  <c r="BJ182" i="1"/>
  <c r="CZ182" i="1"/>
  <c r="G218" i="1"/>
  <c r="G225" i="1"/>
  <c r="G242" i="1"/>
  <c r="G284" i="1"/>
  <c r="G296" i="1"/>
  <c r="G300" i="1"/>
  <c r="G327" i="1"/>
  <c r="AO314" i="1"/>
  <c r="BT314" i="1"/>
  <c r="W114" i="1"/>
  <c r="AY114" i="1"/>
  <c r="BS114" i="1"/>
  <c r="G279" i="1"/>
  <c r="X70" i="1"/>
  <c r="U49" i="1"/>
  <c r="CF61" i="1"/>
  <c r="BD110" i="1"/>
  <c r="CX54" i="1"/>
  <c r="R60" i="1"/>
  <c r="AE60" i="1"/>
  <c r="S60" i="1"/>
  <c r="O65" i="1"/>
  <c r="T65" i="1"/>
  <c r="BS70" i="1"/>
  <c r="J71" i="1"/>
  <c r="V73" i="1"/>
  <c r="CE77" i="1"/>
  <c r="J80" i="1"/>
  <c r="J84" i="1"/>
  <c r="AM88" i="1"/>
  <c r="BN88" i="1"/>
  <c r="BW88" i="1"/>
  <c r="CC88" i="1"/>
  <c r="CO88" i="1"/>
  <c r="M88" i="1"/>
  <c r="W88" i="1"/>
  <c r="AE88" i="1"/>
  <c r="AN88" i="1"/>
  <c r="AU88" i="1"/>
  <c r="BF88" i="1"/>
  <c r="BP88" i="1"/>
  <c r="BZ88" i="1"/>
  <c r="BD96" i="1"/>
  <c r="CW96" i="1"/>
  <c r="X102" i="1"/>
  <c r="AD102" i="1"/>
  <c r="CH102" i="1"/>
  <c r="CY102" i="1"/>
  <c r="V103" i="1"/>
  <c r="BO103" i="1"/>
  <c r="CF103" i="1"/>
  <c r="AC105" i="1"/>
  <c r="BM105" i="1"/>
  <c r="CJ105" i="1"/>
  <c r="L108" i="1"/>
  <c r="P108" i="1"/>
  <c r="S108" i="1"/>
  <c r="CJ108" i="1"/>
  <c r="CO108" i="1"/>
  <c r="CY108" i="1"/>
  <c r="BT108" i="1"/>
  <c r="CB108" i="1"/>
  <c r="BR112" i="1"/>
  <c r="AF118" i="1"/>
  <c r="CN118" i="1"/>
  <c r="H114" i="1"/>
  <c r="K114" i="1"/>
  <c r="O114" i="1"/>
  <c r="T114" i="1"/>
  <c r="Y114" i="1"/>
  <c r="AC114" i="1"/>
  <c r="AH114" i="1"/>
  <c r="AN114" i="1"/>
  <c r="AS114" i="1"/>
  <c r="BA114" i="1"/>
  <c r="BM114" i="1"/>
  <c r="BP114" i="1"/>
  <c r="BV114" i="1"/>
  <c r="BX114" i="1"/>
  <c r="CB114" i="1"/>
  <c r="CO114" i="1"/>
  <c r="CU114" i="1"/>
  <c r="CE121" i="1"/>
  <c r="CF124" i="1"/>
  <c r="X126" i="1"/>
  <c r="AG126" i="1"/>
  <c r="AX126" i="1"/>
  <c r="BG126" i="1"/>
  <c r="CA126" i="1"/>
  <c r="AF127" i="1"/>
  <c r="CE129" i="1"/>
  <c r="CE130" i="1"/>
  <c r="CW130" i="1"/>
  <c r="CF133" i="1"/>
  <c r="BR135" i="1"/>
  <c r="G137" i="1"/>
  <c r="CW137" i="1"/>
  <c r="Q139" i="1"/>
  <c r="BI139" i="1"/>
  <c r="BR139" i="1"/>
  <c r="CI139" i="1"/>
  <c r="CO126" i="1"/>
  <c r="CU126" i="1"/>
  <c r="CN143" i="1"/>
  <c r="BD145" i="1"/>
  <c r="AL147" i="1"/>
  <c r="BH147" i="1"/>
  <c r="CM147" i="1"/>
  <c r="CQ147" i="1"/>
  <c r="CV147" i="1"/>
  <c r="CI148" i="1"/>
  <c r="L147" i="1"/>
  <c r="U147" i="1"/>
  <c r="AB147" i="1"/>
  <c r="BN147" i="1"/>
  <c r="CA147" i="1"/>
  <c r="CY147" i="1"/>
  <c r="V152" i="1"/>
  <c r="G154" i="1"/>
  <c r="BD158" i="1"/>
  <c r="CE160" i="1"/>
  <c r="AX162" i="1"/>
  <c r="BG162" i="1"/>
  <c r="BL162" i="1"/>
  <c r="CT162" i="1"/>
  <c r="CZ162" i="1"/>
  <c r="BO163" i="1"/>
  <c r="AQ162" i="1"/>
  <c r="CW167" i="1"/>
  <c r="CW168" i="1"/>
  <c r="BM169" i="1"/>
  <c r="CU169" i="1"/>
  <c r="BD171" i="1"/>
  <c r="CN170" i="1"/>
  <c r="CS169" i="1"/>
  <c r="CS340" i="1" s="1"/>
  <c r="Q172" i="1"/>
  <c r="BI172" i="1"/>
  <c r="BD174" i="1"/>
  <c r="CM169" i="1"/>
  <c r="Q175" i="1"/>
  <c r="BI175" i="1"/>
  <c r="BR175" i="1"/>
  <c r="CI175" i="1"/>
  <c r="Q178" i="1"/>
  <c r="BO178" i="1"/>
  <c r="CE179" i="1"/>
  <c r="CN178" i="1"/>
  <c r="CN180" i="1"/>
  <c r="G184" i="1"/>
  <c r="BD186" i="1"/>
  <c r="BR185" i="1"/>
  <c r="CI185" i="1"/>
  <c r="G188" i="1"/>
  <c r="X182" i="1"/>
  <c r="AG182" i="1"/>
  <c r="AZ182" i="1"/>
  <c r="G190" i="1"/>
  <c r="BE189" i="1"/>
  <c r="BO189" i="1"/>
  <c r="Q191" i="1"/>
  <c r="G192" i="1"/>
  <c r="BI191" i="1"/>
  <c r="CI191" i="1"/>
  <c r="V193" i="1"/>
  <c r="BO193" i="1"/>
  <c r="J195" i="1"/>
  <c r="BE195" i="1"/>
  <c r="BO195" i="1"/>
  <c r="CN195" i="1"/>
  <c r="Q197" i="1"/>
  <c r="BO197" i="1"/>
  <c r="V197" i="1"/>
  <c r="CI197" i="1"/>
  <c r="CX197" i="1"/>
  <c r="G201" i="1"/>
  <c r="CE201" i="1"/>
  <c r="CE202" i="1"/>
  <c r="BD204" i="1"/>
  <c r="CI205" i="1"/>
  <c r="BD207" i="1"/>
  <c r="CW207" i="1"/>
  <c r="CE209" i="1"/>
  <c r="BD211" i="1"/>
  <c r="CW211" i="1"/>
  <c r="CE213" i="1"/>
  <c r="H216" i="1"/>
  <c r="O216" i="1"/>
  <c r="R216" i="1"/>
  <c r="T216" i="1"/>
  <c r="AA216" i="1"/>
  <c r="AC216" i="1"/>
  <c r="AH216" i="1"/>
  <c r="AP216" i="1"/>
  <c r="AS216" i="1"/>
  <c r="AU216" i="1"/>
  <c r="BA216" i="1"/>
  <c r="BH216" i="1"/>
  <c r="BM216" i="1"/>
  <c r="BP216" i="1"/>
  <c r="BX216" i="1"/>
  <c r="BZ216" i="1"/>
  <c r="CB216" i="1"/>
  <c r="CM216" i="1"/>
  <c r="CT216" i="1"/>
  <c r="CZ216" i="1"/>
  <c r="AF217" i="1"/>
  <c r="BI217" i="1"/>
  <c r="CW218" i="1"/>
  <c r="H222" i="1"/>
  <c r="M222" i="1"/>
  <c r="R222" i="1"/>
  <c r="W222" i="1"/>
  <c r="Y222" i="1"/>
  <c r="AE222" i="1"/>
  <c r="AH222" i="1"/>
  <c r="AJ222" i="1"/>
  <c r="AP222" i="1"/>
  <c r="AS222" i="1"/>
  <c r="AU222" i="1"/>
  <c r="AY222" i="1"/>
  <c r="BF222" i="1"/>
  <c r="BP222" i="1"/>
  <c r="BV222" i="1"/>
  <c r="BZ222" i="1"/>
  <c r="CB222" i="1"/>
  <c r="CM222" i="1"/>
  <c r="CQ222" i="1"/>
  <c r="Q223" i="1"/>
  <c r="G231" i="1"/>
  <c r="BE205" i="1"/>
  <c r="CX185" i="1"/>
  <c r="CY182" i="1"/>
  <c r="G183" i="1"/>
  <c r="G181" i="1"/>
  <c r="CE177" i="1"/>
  <c r="CG169" i="1"/>
  <c r="CF166" i="1"/>
  <c r="CX223" i="1"/>
  <c r="G206" i="1"/>
  <c r="CW192" i="1"/>
  <c r="CX175" i="1"/>
  <c r="CX166" i="1"/>
  <c r="BE166" i="1"/>
  <c r="K155" i="1"/>
  <c r="BE152" i="1"/>
  <c r="CX189" i="1"/>
  <c r="CX172" i="1"/>
  <c r="CF152" i="1"/>
  <c r="J152" i="1"/>
  <c r="BR148" i="1"/>
  <c r="CX135" i="1"/>
  <c r="CX131" i="1"/>
  <c r="G121" i="1"/>
  <c r="G104" i="1"/>
  <c r="CW93" i="1"/>
  <c r="G90" i="1"/>
  <c r="CF73" i="1"/>
  <c r="J73" i="1"/>
  <c r="CW51" i="1"/>
  <c r="CW140" i="1"/>
  <c r="CX127" i="1"/>
  <c r="CX112" i="1"/>
  <c r="CX106" i="1"/>
  <c r="Q92" i="1"/>
  <c r="BE89" i="1"/>
  <c r="BE66" i="1"/>
  <c r="CJ60" i="1"/>
  <c r="L39" i="1"/>
  <c r="BC39" i="1"/>
  <c r="BI223" i="1"/>
  <c r="CI223" i="1"/>
  <c r="CX217" i="1"/>
  <c r="BD215" i="1"/>
  <c r="AF205" i="1"/>
  <c r="K182" i="1"/>
  <c r="BD210" i="1"/>
  <c r="CE208" i="1"/>
  <c r="BR205" i="1"/>
  <c r="CA182" i="1"/>
  <c r="BD196" i="1"/>
  <c r="BD192" i="1"/>
  <c r="BD188" i="1"/>
  <c r="AF185" i="1"/>
  <c r="AF175" i="1"/>
  <c r="BH169" i="1"/>
  <c r="BA169" i="1"/>
  <c r="AW169" i="1"/>
  <c r="AS169" i="1"/>
  <c r="CI172" i="1"/>
  <c r="AZ169" i="1"/>
  <c r="AL169" i="1"/>
  <c r="T169" i="1"/>
  <c r="CC162" i="1"/>
  <c r="BY162" i="1"/>
  <c r="BU162" i="1"/>
  <c r="AC162" i="1"/>
  <c r="CE181" i="1"/>
  <c r="AE169" i="1"/>
  <c r="CE173" i="1"/>
  <c r="BI163" i="1"/>
  <c r="AZ162" i="1"/>
  <c r="CE161" i="1"/>
  <c r="G160" i="1"/>
  <c r="CN155" i="1"/>
  <c r="BD157" i="1"/>
  <c r="BD156" i="1"/>
  <c r="CI135" i="1"/>
  <c r="BD136" i="1"/>
  <c r="BE131" i="1"/>
  <c r="Q127" i="1"/>
  <c r="BD98" i="1"/>
  <c r="CX163" i="1"/>
  <c r="CN152" i="1"/>
  <c r="CI131" i="1"/>
  <c r="BI92" i="1"/>
  <c r="CE85" i="1"/>
  <c r="CE79" i="1"/>
  <c r="BE76" i="1"/>
  <c r="BO73" i="1"/>
  <c r="AG49" i="1"/>
  <c r="CZ65" i="1"/>
  <c r="AU65" i="1"/>
  <c r="W65" i="1"/>
  <c r="CE35" i="1"/>
  <c r="J230" i="1"/>
  <c r="CE224" i="1"/>
  <c r="G204" i="1"/>
  <c r="G202" i="1"/>
  <c r="G200" i="1"/>
  <c r="G198" i="1"/>
  <c r="BE197" i="1"/>
  <c r="CE196" i="1"/>
  <c r="CE192" i="1"/>
  <c r="CE188" i="1"/>
  <c r="CE176" i="1"/>
  <c r="CE174" i="1"/>
  <c r="CF170" i="1"/>
  <c r="BD168" i="1"/>
  <c r="CE167" i="1"/>
  <c r="BE163" i="1"/>
  <c r="BD159" i="1"/>
  <c r="CE158" i="1"/>
  <c r="V143" i="1"/>
  <c r="CE107" i="1"/>
  <c r="CA169" i="1"/>
  <c r="BW169" i="1"/>
  <c r="BO152" i="1"/>
  <c r="CE145" i="1"/>
  <c r="BD138" i="1"/>
  <c r="BO131" i="1"/>
  <c r="CI127" i="1"/>
  <c r="BD125" i="1"/>
  <c r="CF71" i="1"/>
  <c r="CJ65" i="1"/>
  <c r="AX65" i="1"/>
  <c r="AN65" i="1"/>
  <c r="AH65" i="1"/>
  <c r="BT49" i="1"/>
  <c r="J124" i="1"/>
  <c r="V124" i="1"/>
  <c r="BD225" i="1"/>
  <c r="BD212" i="1"/>
  <c r="Q205" i="1"/>
  <c r="CE203" i="1"/>
  <c r="BH182" i="1"/>
  <c r="CE183" i="1"/>
  <c r="BN162" i="1"/>
  <c r="G157" i="1"/>
  <c r="CZ147" i="1"/>
  <c r="Y182" i="1"/>
  <c r="CE128" i="1"/>
  <c r="CE125" i="1"/>
  <c r="BF114" i="1"/>
  <c r="CE104" i="1"/>
  <c r="P88" i="1"/>
  <c r="K65" i="1"/>
  <c r="CQ65" i="1"/>
  <c r="Y65" i="1"/>
  <c r="CH131" i="1"/>
  <c r="BS126" i="1"/>
  <c r="AA114" i="1"/>
  <c r="U108" i="1"/>
  <c r="BH88" i="1"/>
  <c r="AS88" i="1"/>
  <c r="BE56" i="1"/>
  <c r="CI163" i="1"/>
  <c r="G203" i="1"/>
  <c r="G199" i="1"/>
  <c r="CQ182" i="1"/>
  <c r="AP114" i="1"/>
  <c r="R114" i="1"/>
  <c r="BI185" i="1"/>
  <c r="G174" i="1"/>
  <c r="V155" i="1"/>
  <c r="CG147" i="1"/>
  <c r="G145" i="1"/>
  <c r="CE136" i="1"/>
  <c r="G136" i="1"/>
  <c r="BZ114" i="1"/>
  <c r="CH108" i="1"/>
  <c r="BM108" i="1"/>
  <c r="CC147" i="1"/>
  <c r="AZ147" i="1"/>
  <c r="BE143" i="1"/>
  <c r="CF118" i="1"/>
  <c r="G113" i="1"/>
  <c r="BY88" i="1"/>
  <c r="T88" i="1"/>
  <c r="AG70" i="1"/>
  <c r="CT65" i="1"/>
  <c r="AZ60" i="1"/>
  <c r="AA182" i="1"/>
  <c r="CY114" i="1"/>
  <c r="BC88" i="1"/>
  <c r="CE204" i="1"/>
  <c r="AC70" i="1"/>
  <c r="BE180" i="1"/>
  <c r="CE207" i="1"/>
  <c r="BD194" i="1"/>
  <c r="BZ147" i="1"/>
  <c r="AL114" i="1"/>
  <c r="CV162" i="1"/>
  <c r="AA222" i="1"/>
  <c r="Y216" i="1"/>
  <c r="CW203" i="1"/>
  <c r="CW199" i="1"/>
  <c r="V180" i="1"/>
  <c r="CW176" i="1"/>
  <c r="AF139" i="1"/>
  <c r="Q112" i="1"/>
  <c r="CV222" i="1"/>
  <c r="BT222" i="1"/>
  <c r="CV216" i="1"/>
  <c r="BT216" i="1"/>
  <c r="CW200" i="1"/>
  <c r="AF191" i="1"/>
  <c r="CF178" i="1"/>
  <c r="CN103" i="1"/>
  <c r="G53" i="1"/>
  <c r="BD59" i="1"/>
  <c r="CE53" i="1"/>
  <c r="G85" i="1"/>
  <c r="CX328" i="1"/>
  <c r="AF44" i="1"/>
  <c r="Y49" i="1"/>
  <c r="CB49" i="1"/>
  <c r="Y88" i="1"/>
  <c r="AZ70" i="1"/>
  <c r="W16" i="1"/>
  <c r="O88" i="1"/>
  <c r="BU49" i="1"/>
  <c r="G107" i="1"/>
  <c r="CE90" i="1"/>
  <c r="CW134" i="1"/>
  <c r="O108" i="1"/>
  <c r="AP105" i="1"/>
  <c r="Y105" i="1"/>
  <c r="CW159" i="1"/>
  <c r="BO141" i="1"/>
  <c r="AC108" i="1"/>
  <c r="CB105" i="1"/>
  <c r="BH105" i="1"/>
  <c r="CW95" i="1"/>
  <c r="BE103" i="1"/>
  <c r="V80" i="1"/>
  <c r="BD121" i="1"/>
  <c r="J43" i="1"/>
  <c r="CE41" i="1"/>
  <c r="BE39" i="1"/>
  <c r="AE65" i="1"/>
  <c r="K49" i="1"/>
  <c r="BG70" i="1"/>
  <c r="BX49" i="1"/>
  <c r="CE43" i="1"/>
  <c r="BE23" i="1"/>
  <c r="AT70" i="1"/>
  <c r="BA88" i="1"/>
  <c r="AY49" i="1"/>
  <c r="BW49" i="1"/>
  <c r="CU108" i="1"/>
  <c r="CM108" i="1"/>
  <c r="CH88" i="1"/>
  <c r="CA88" i="1"/>
  <c r="BS88" i="1"/>
  <c r="AQ70" i="1"/>
  <c r="S65" i="1"/>
  <c r="X114" i="1"/>
  <c r="CE113" i="1"/>
  <c r="AQ60" i="1"/>
  <c r="CZ60" i="1"/>
  <c r="CW146" i="1"/>
  <c r="AL105" i="1"/>
  <c r="T105" i="1"/>
  <c r="CO102" i="1"/>
  <c r="BZ60" i="1"/>
  <c r="CW156" i="1"/>
  <c r="BR152" i="1"/>
  <c r="V141" i="1"/>
  <c r="AF106" i="1"/>
  <c r="BX105" i="1"/>
  <c r="CW99" i="1"/>
  <c r="CW94" i="1"/>
  <c r="CF112" i="1"/>
  <c r="CF19" i="1"/>
  <c r="AO49" i="1"/>
  <c r="BV49" i="1"/>
  <c r="AC88" i="1"/>
  <c r="Z70" i="1"/>
  <c r="BM88" i="1"/>
  <c r="CB88" i="1"/>
  <c r="K88" i="1"/>
  <c r="AK70" i="1"/>
  <c r="BW70" i="1"/>
  <c r="R65" i="1"/>
  <c r="CU70" i="1"/>
  <c r="CW145" i="1"/>
  <c r="AH105" i="1"/>
  <c r="O105" i="1"/>
  <c r="CW154" i="1"/>
  <c r="BE139" i="1"/>
  <c r="BT105" i="1"/>
  <c r="CW98" i="1"/>
  <c r="AL88" i="1"/>
  <c r="CN80" i="1"/>
  <c r="BM147" i="1"/>
  <c r="CW149" i="1"/>
  <c r="CW150" i="1"/>
  <c r="CW151" i="1"/>
  <c r="AA147" i="1"/>
  <c r="CW187" i="1"/>
  <c r="CW188" i="1"/>
  <c r="CI336" i="1"/>
  <c r="AO70" i="1"/>
  <c r="CE74" i="1"/>
  <c r="AS105" i="1"/>
  <c r="AY105" i="1"/>
  <c r="CV105" i="1"/>
  <c r="BD107" i="1"/>
  <c r="X108" i="1"/>
  <c r="AB108" i="1"/>
  <c r="AS108" i="1"/>
  <c r="V112" i="1"/>
  <c r="BE141" i="1"/>
  <c r="CF141" i="1"/>
  <c r="BD176" i="1"/>
  <c r="BR178" i="1"/>
  <c r="CE198" i="1"/>
  <c r="CW206" i="1"/>
  <c r="BD208" i="1"/>
  <c r="CW208" i="1"/>
  <c r="BD209" i="1"/>
  <c r="CW209" i="1"/>
  <c r="CW212" i="1"/>
  <c r="CW213" i="1"/>
  <c r="M216" i="1"/>
  <c r="W216" i="1"/>
  <c r="AE216" i="1"/>
  <c r="AJ216" i="1"/>
  <c r="AN216" i="1"/>
  <c r="AY216" i="1"/>
  <c r="BV216" i="1"/>
  <c r="CG216" i="1"/>
  <c r="CQ216" i="1"/>
  <c r="Q217" i="1"/>
  <c r="CI217" i="1"/>
  <c r="K222" i="1"/>
  <c r="T222" i="1"/>
  <c r="AC222" i="1"/>
  <c r="AL222" i="1"/>
  <c r="BH222" i="1"/>
  <c r="BX222" i="1"/>
  <c r="CJ222" i="1"/>
  <c r="CT222" i="1"/>
  <c r="AF223" i="1"/>
  <c r="G224" i="1"/>
  <c r="CW225" i="1"/>
  <c r="BE232" i="1"/>
  <c r="G235" i="1"/>
  <c r="BD237" i="1"/>
  <c r="CW237" i="1"/>
  <c r="CW242" i="1"/>
  <c r="CH311" i="1"/>
  <c r="CO311" i="1"/>
  <c r="CF312" i="1"/>
  <c r="CE313" i="1"/>
  <c r="CE325" i="1"/>
  <c r="BR326" i="1"/>
  <c r="BR330" i="1"/>
  <c r="T314" i="1"/>
  <c r="BD333" i="1"/>
  <c r="BI332" i="1"/>
  <c r="CW335" i="1"/>
  <c r="AG60" i="1"/>
  <c r="AT60" i="1"/>
  <c r="BN60" i="1"/>
  <c r="M65" i="1"/>
  <c r="BP65" i="1"/>
  <c r="CE99" i="1"/>
  <c r="T102" i="1"/>
  <c r="BT102" i="1"/>
  <c r="BX102" i="1"/>
  <c r="CZ102" i="1"/>
  <c r="CC126" i="1"/>
  <c r="BI131" i="1"/>
  <c r="AL131" i="1"/>
  <c r="BD137" i="1"/>
  <c r="Q166" i="1"/>
  <c r="BD167" i="1"/>
  <c r="BR172" i="1"/>
  <c r="CW174" i="1"/>
  <c r="BO191" i="1"/>
  <c r="CN191" i="1"/>
  <c r="CV182" i="1"/>
  <c r="G194" i="1"/>
  <c r="AO182" i="1"/>
  <c r="G196" i="1"/>
  <c r="BI195" i="1"/>
  <c r="Q307" i="1"/>
  <c r="CI307" i="1"/>
  <c r="AS311" i="1"/>
  <c r="BT311" i="1"/>
  <c r="CI82" i="1"/>
  <c r="BO84" i="1"/>
  <c r="BO127" i="1"/>
  <c r="CN127" i="1"/>
  <c r="BD165" i="1"/>
  <c r="CN189" i="1"/>
  <c r="V189" i="1"/>
  <c r="CE260" i="1"/>
  <c r="G262" i="1"/>
  <c r="BD276" i="1"/>
  <c r="H50" i="1"/>
  <c r="H82" i="1"/>
  <c r="H106" i="1"/>
  <c r="BR190" i="1"/>
  <c r="CC197" i="1"/>
  <c r="AD256" i="1"/>
  <c r="AU114" i="1"/>
  <c r="Z23" i="1"/>
  <c r="BC23" i="1"/>
  <c r="H39" i="1"/>
  <c r="H54" i="1"/>
  <c r="H68" i="1"/>
  <c r="H76" i="1"/>
  <c r="H86" i="1"/>
  <c r="H127" i="1"/>
  <c r="H131" i="1"/>
  <c r="AT163" i="1"/>
  <c r="CH163" i="1"/>
  <c r="I175" i="1"/>
  <c r="K256" i="1"/>
  <c r="I17" i="1"/>
  <c r="CB23" i="1"/>
  <c r="I23" i="1"/>
  <c r="H37" i="1"/>
  <c r="H139" i="1"/>
  <c r="H148" i="1"/>
  <c r="Y163" i="1"/>
  <c r="I166" i="1"/>
  <c r="I185" i="1"/>
  <c r="CB189" i="1"/>
  <c r="CE28" i="1"/>
  <c r="BD18" i="1"/>
  <c r="G38" i="1"/>
  <c r="G48" i="1"/>
  <c r="CE51" i="1"/>
  <c r="BD53" i="1"/>
  <c r="G55" i="1"/>
  <c r="BD55" i="1"/>
  <c r="CE55" i="1"/>
  <c r="G57" i="1"/>
  <c r="CE57" i="1"/>
  <c r="G59" i="1"/>
  <c r="CE59" i="1"/>
  <c r="BD62" i="1"/>
  <c r="BD67" i="1"/>
  <c r="BD72" i="1"/>
  <c r="BE336" i="1"/>
  <c r="BD77" i="1"/>
  <c r="AX70" i="1"/>
  <c r="CZ49" i="1"/>
  <c r="CX73" i="1"/>
  <c r="BU65" i="1"/>
  <c r="N49" i="1"/>
  <c r="CU16" i="1"/>
  <c r="AB16" i="1"/>
  <c r="CA49" i="1"/>
  <c r="AL60" i="1"/>
  <c r="P49" i="1"/>
  <c r="CJ70" i="1"/>
  <c r="CG60" i="1"/>
  <c r="AL49" i="1"/>
  <c r="CV60" i="1"/>
  <c r="BV60" i="1"/>
  <c r="CH23" i="1"/>
  <c r="CE38" i="1"/>
  <c r="G69" i="1"/>
  <c r="CW53" i="1"/>
  <c r="AU49" i="1"/>
  <c r="AE49" i="1"/>
  <c r="G42" i="1"/>
  <c r="AM65" i="1"/>
  <c r="S49" i="1"/>
  <c r="G32" i="1"/>
  <c r="BC49" i="1"/>
  <c r="AT65" i="1"/>
  <c r="X65" i="1"/>
  <c r="P60" i="1"/>
  <c r="CX61" i="1"/>
  <c r="BR39" i="1"/>
  <c r="AS49" i="1"/>
  <c r="AK49" i="1"/>
  <c r="AC49" i="1"/>
  <c r="AI65" i="1"/>
  <c r="O49" i="1"/>
  <c r="BD35" i="1"/>
  <c r="AZ49" i="1"/>
  <c r="CM65" i="1"/>
  <c r="BC65" i="1"/>
  <c r="AD65" i="1"/>
  <c r="BZ49" i="1"/>
  <c r="BG49" i="1"/>
  <c r="BU70" i="1"/>
  <c r="P70" i="1"/>
  <c r="G62" i="1"/>
  <c r="CG49" i="1"/>
  <c r="CW74" i="1"/>
  <c r="BN49" i="1"/>
  <c r="CE36" i="1"/>
  <c r="BS49" i="1"/>
  <c r="BX70" i="1"/>
  <c r="AI60" i="1"/>
  <c r="CQ60" i="1"/>
  <c r="BD41" i="1"/>
  <c r="AM49" i="1"/>
  <c r="W49" i="1"/>
  <c r="BE68" i="1"/>
  <c r="G74" i="1"/>
  <c r="CW62" i="1"/>
  <c r="BD75" i="1"/>
  <c r="CM60" i="1"/>
  <c r="G40" i="1"/>
  <c r="CF76" i="1"/>
  <c r="BR73" i="1"/>
  <c r="AQ49" i="1"/>
  <c r="AI49" i="1"/>
  <c r="AA49" i="1"/>
  <c r="CE44" i="1"/>
  <c r="M49" i="1"/>
  <c r="CN39" i="1"/>
  <c r="BD34" i="1"/>
  <c r="AX49" i="1"/>
  <c r="AZ65" i="1"/>
  <c r="AB65" i="1"/>
  <c r="L60" i="1"/>
  <c r="BD40" i="1"/>
  <c r="BP16" i="1"/>
  <c r="BC70" i="1"/>
  <c r="AD70" i="1"/>
  <c r="CE69" i="1"/>
  <c r="CV65" i="1"/>
  <c r="N65" i="1"/>
  <c r="BJ49" i="1"/>
  <c r="AK16" i="1"/>
  <c r="BD74" i="1"/>
  <c r="AX60" i="1"/>
  <c r="AY70" i="1"/>
  <c r="AM60" i="1"/>
  <c r="J170" i="1"/>
  <c r="CG16" i="1"/>
  <c r="BD38" i="1"/>
  <c r="BG16" i="1"/>
  <c r="BD36" i="1"/>
  <c r="U16" i="1"/>
  <c r="BE37" i="1"/>
  <c r="CE25" i="1"/>
  <c r="CV16" i="1"/>
  <c r="N16" i="1"/>
  <c r="CT49" i="1"/>
  <c r="AN49" i="1"/>
  <c r="CM49" i="1"/>
  <c r="CE42" i="1"/>
  <c r="BL49" i="1"/>
  <c r="AK60" i="1"/>
  <c r="BD32" i="1"/>
  <c r="CH169" i="1"/>
  <c r="G28" i="1"/>
  <c r="BE19" i="1"/>
  <c r="BD42" i="1"/>
  <c r="CE33" i="1"/>
  <c r="BW16" i="1"/>
  <c r="AE16" i="1"/>
  <c r="X49" i="1"/>
  <c r="CY49" i="1"/>
  <c r="J52" i="1"/>
  <c r="J19" i="1"/>
  <c r="AO60" i="1"/>
  <c r="CQ49" i="1"/>
  <c r="CV49" i="1"/>
  <c r="BV16" i="1"/>
  <c r="AH49" i="1"/>
  <c r="P23" i="1"/>
  <c r="BC155" i="1"/>
  <c r="CF189" i="1"/>
  <c r="Q338" i="1"/>
  <c r="AF61" i="1"/>
  <c r="AU155" i="1"/>
  <c r="BO180" i="1"/>
  <c r="CI332" i="1"/>
  <c r="CE18" i="1"/>
  <c r="CX39" i="1"/>
  <c r="CX336" i="1"/>
  <c r="CF281" i="1"/>
  <c r="BD51" i="1"/>
  <c r="AX314" i="1"/>
  <c r="BD28" i="1"/>
  <c r="AI23" i="1"/>
  <c r="G33" i="1"/>
  <c r="BD25" i="1"/>
  <c r="BS16" i="1"/>
  <c r="AM16" i="1"/>
  <c r="Y16" i="1"/>
  <c r="CC49" i="1"/>
  <c r="AJ49" i="1"/>
  <c r="CU49" i="1"/>
  <c r="CJ49" i="1"/>
  <c r="BD43" i="1"/>
  <c r="G35" i="1"/>
  <c r="CE40" i="1"/>
  <c r="BD57" i="1"/>
  <c r="AP49" i="1"/>
  <c r="T49" i="1"/>
  <c r="BO332" i="1"/>
  <c r="J17" i="1"/>
  <c r="G29" i="1"/>
  <c r="CE27" i="1"/>
  <c r="BL16" i="1"/>
  <c r="AF34" i="1"/>
  <c r="BD26" i="1"/>
  <c r="BD21" i="1"/>
  <c r="CA16" i="1"/>
  <c r="BF16" i="1"/>
  <c r="AG16" i="1"/>
  <c r="R16" i="1"/>
  <c r="AB49" i="1"/>
  <c r="BF49" i="1"/>
  <c r="CO49" i="1"/>
  <c r="AD16" i="1"/>
  <c r="G18" i="1"/>
  <c r="CE20" i="1"/>
  <c r="AF21" i="1"/>
  <c r="CI334" i="1"/>
  <c r="AF281" i="1"/>
  <c r="BD24" i="1"/>
  <c r="BI82" i="1"/>
  <c r="Q148" i="1"/>
  <c r="CN66" i="1"/>
  <c r="V68" i="1"/>
  <c r="BN16" i="1"/>
  <c r="M16" i="1"/>
  <c r="CE24" i="1"/>
  <c r="Q19" i="1"/>
  <c r="CT16" i="1"/>
  <c r="BY16" i="1"/>
  <c r="BX16" i="1"/>
  <c r="BM16" i="1"/>
  <c r="CY16" i="1"/>
  <c r="G24" i="1"/>
  <c r="BD30" i="1"/>
  <c r="BI76" i="1"/>
  <c r="CE22" i="1"/>
  <c r="K16" i="1"/>
  <c r="AH16" i="1"/>
  <c r="CJ16" i="1"/>
  <c r="CQ16" i="1"/>
  <c r="BH16" i="1"/>
  <c r="AO16" i="1"/>
  <c r="BT16" i="1"/>
  <c r="T16" i="1"/>
  <c r="CN19" i="1"/>
  <c r="BZ65" i="1"/>
  <c r="CU65" i="1"/>
  <c r="CI66" i="1"/>
  <c r="AF68" i="1"/>
  <c r="AF76" i="1"/>
  <c r="BD22" i="1"/>
  <c r="CZ16" i="1"/>
  <c r="BJ16" i="1"/>
  <c r="CO16" i="1"/>
  <c r="CC16" i="1"/>
  <c r="BU16" i="1"/>
  <c r="AC16" i="1"/>
  <c r="BO19" i="1"/>
  <c r="AF17" i="1"/>
  <c r="BR17" i="1"/>
  <c r="CI19" i="1"/>
  <c r="BA19" i="1"/>
  <c r="BI23" i="1"/>
  <c r="BD29" i="1"/>
  <c r="BD31" i="1"/>
  <c r="J34" i="1"/>
  <c r="AJ23" i="1"/>
  <c r="V37" i="1"/>
  <c r="BO37" i="1"/>
  <c r="CN37" i="1"/>
  <c r="AF47" i="1"/>
  <c r="BR47" i="1"/>
  <c r="BE50" i="1"/>
  <c r="CF50" i="1"/>
  <c r="Q52" i="1"/>
  <c r="BI52" i="1"/>
  <c r="CI52" i="1"/>
  <c r="V54" i="1"/>
  <c r="BO54" i="1"/>
  <c r="Z49" i="1"/>
  <c r="AD49" i="1"/>
  <c r="CF56" i="1"/>
  <c r="AF58" i="1"/>
  <c r="BR58" i="1"/>
  <c r="BE61" i="1"/>
  <c r="V63" i="1"/>
  <c r="BO63" i="1"/>
  <c r="CN63" i="1"/>
  <c r="AC65" i="1"/>
  <c r="BA65" i="1"/>
  <c r="BH65" i="1"/>
  <c r="CG65" i="1"/>
  <c r="Q66" i="1"/>
  <c r="BI66" i="1"/>
  <c r="Q68" i="1"/>
  <c r="CW69" i="1"/>
  <c r="BE71" i="1"/>
  <c r="Q76" i="1"/>
  <c r="CI76" i="1"/>
  <c r="V78" i="1"/>
  <c r="BE78" i="1"/>
  <c r="BR78" i="1"/>
  <c r="AM70" i="1"/>
  <c r="Q80" i="1"/>
  <c r="CI80" i="1"/>
  <c r="V82" i="1"/>
  <c r="BO82" i="1"/>
  <c r="CN82" i="1"/>
  <c r="AF84" i="1"/>
  <c r="Q86" i="1"/>
  <c r="CI86" i="1"/>
  <c r="AF92" i="1"/>
  <c r="L102" i="1"/>
  <c r="P102" i="1"/>
  <c r="U102" i="1"/>
  <c r="Z102" i="1"/>
  <c r="AI102" i="1"/>
  <c r="AM102" i="1"/>
  <c r="AQ102" i="1"/>
  <c r="AX102" i="1"/>
  <c r="BC102" i="1"/>
  <c r="BJ102" i="1"/>
  <c r="BN102" i="1"/>
  <c r="BU102" i="1"/>
  <c r="BY102" i="1"/>
  <c r="CC102" i="1"/>
  <c r="CU102" i="1"/>
  <c r="CA105" i="1"/>
  <c r="M105" i="1"/>
  <c r="R105" i="1"/>
  <c r="W105" i="1"/>
  <c r="AA105" i="1"/>
  <c r="AE105" i="1"/>
  <c r="AJ105" i="1"/>
  <c r="AN105" i="1"/>
  <c r="BF105" i="1"/>
  <c r="BP105" i="1"/>
  <c r="BV105" i="1"/>
  <c r="BZ105" i="1"/>
  <c r="CG105" i="1"/>
  <c r="CM105" i="1"/>
  <c r="CQ105" i="1"/>
  <c r="Q106" i="1"/>
  <c r="BI106" i="1"/>
  <c r="Q115" i="1"/>
  <c r="BI115" i="1"/>
  <c r="CI115" i="1"/>
  <c r="Q118" i="1"/>
  <c r="BI118" i="1"/>
  <c r="CI118" i="1"/>
  <c r="AO114" i="1"/>
  <c r="BW114" i="1"/>
  <c r="CG114" i="1"/>
  <c r="CM114" i="1"/>
  <c r="CV114" i="1"/>
  <c r="N126" i="1"/>
  <c r="S126" i="1"/>
  <c r="AB126" i="1"/>
  <c r="AO126" i="1"/>
  <c r="AT126" i="1"/>
  <c r="AZ126" i="1"/>
  <c r="BL126" i="1"/>
  <c r="BW126" i="1"/>
  <c r="BI127" i="1"/>
  <c r="T126" i="1"/>
  <c r="Y126" i="1"/>
  <c r="AC126" i="1"/>
  <c r="AP126" i="1"/>
  <c r="BA126" i="1"/>
  <c r="BH126" i="1"/>
  <c r="BM126" i="1"/>
  <c r="BT126" i="1"/>
  <c r="BX126" i="1"/>
  <c r="CE132" i="1"/>
  <c r="AK131" i="1"/>
  <c r="AF141" i="1"/>
  <c r="BR141" i="1"/>
  <c r="CW142" i="1"/>
  <c r="CE144" i="1"/>
  <c r="G146" i="1"/>
  <c r="CF156" i="1"/>
  <c r="CF193" i="1"/>
  <c r="I216" i="1"/>
  <c r="N216" i="1"/>
  <c r="S216" i="1"/>
  <c r="X216" i="1"/>
  <c r="AB216" i="1"/>
  <c r="AG216" i="1"/>
  <c r="AK216" i="1"/>
  <c r="AO216" i="1"/>
  <c r="AT216" i="1"/>
  <c r="AZ216" i="1"/>
  <c r="BG216" i="1"/>
  <c r="BL216" i="1"/>
  <c r="BS216" i="1"/>
  <c r="BW216" i="1"/>
  <c r="CA216" i="1"/>
  <c r="CH216" i="1"/>
  <c r="CY216" i="1"/>
  <c r="V217" i="1"/>
  <c r="BO217" i="1"/>
  <c r="L222" i="1"/>
  <c r="P222" i="1"/>
  <c r="U222" i="1"/>
  <c r="Z222" i="1"/>
  <c r="AD222" i="1"/>
  <c r="AI222" i="1"/>
  <c r="AM222" i="1"/>
  <c r="AQ222" i="1"/>
  <c r="AX222" i="1"/>
  <c r="BJ222" i="1"/>
  <c r="BN222" i="1"/>
  <c r="BU222" i="1"/>
  <c r="BY222" i="1"/>
  <c r="CC222" i="1"/>
  <c r="CO222" i="1"/>
  <c r="CU222" i="1"/>
  <c r="BI232" i="1"/>
  <c r="BR232" i="1"/>
  <c r="L234" i="1"/>
  <c r="T234" i="1"/>
  <c r="AG234" i="1"/>
  <c r="AN234" i="1"/>
  <c r="AS234" i="1"/>
  <c r="AW234" i="1"/>
  <c r="BA234" i="1"/>
  <c r="BJ234" i="1"/>
  <c r="BN234" i="1"/>
  <c r="BU234" i="1"/>
  <c r="BY234" i="1"/>
  <c r="CC234" i="1"/>
  <c r="CM234" i="1"/>
  <c r="CY234" i="1"/>
  <c r="K311" i="1"/>
  <c r="T311" i="1"/>
  <c r="Y311" i="1"/>
  <c r="AC311" i="1"/>
  <c r="AL311" i="1"/>
  <c r="AP311" i="1"/>
  <c r="AU311" i="1"/>
  <c r="AY311" i="1"/>
  <c r="BF311" i="1"/>
  <c r="BP311" i="1"/>
  <c r="BV311" i="1"/>
  <c r="V315" i="1"/>
  <c r="BO315" i="1"/>
  <c r="CN315" i="1"/>
  <c r="AF338" i="1"/>
  <c r="BD327" i="1"/>
  <c r="G325" i="1"/>
  <c r="CZ234" i="1"/>
  <c r="BR216" i="1"/>
  <c r="BE17" i="1"/>
  <c r="CF17" i="1"/>
  <c r="CW18" i="1"/>
  <c r="V20" i="1"/>
  <c r="BC19" i="1"/>
  <c r="CW22" i="1"/>
  <c r="V30" i="1"/>
  <c r="AN23" i="1"/>
  <c r="CW34" i="1"/>
  <c r="CW35" i="1"/>
  <c r="AQ23" i="1"/>
  <c r="AF37" i="1"/>
  <c r="BR37" i="1"/>
  <c r="CW38" i="1"/>
  <c r="CW40" i="1"/>
  <c r="CW41" i="1"/>
  <c r="CW42" i="1"/>
  <c r="CW43" i="1"/>
  <c r="V44" i="1"/>
  <c r="J47" i="1"/>
  <c r="BE47" i="1"/>
  <c r="BI50" i="1"/>
  <c r="V52" i="1"/>
  <c r="BO52" i="1"/>
  <c r="CN52" i="1"/>
  <c r="AF54" i="1"/>
  <c r="Q56" i="1"/>
  <c r="BI56" i="1"/>
  <c r="CI56" i="1"/>
  <c r="BE58" i="1"/>
  <c r="CF58" i="1"/>
  <c r="AJ60" i="1"/>
  <c r="AN60" i="1"/>
  <c r="AS60" i="1"/>
  <c r="AY60" i="1"/>
  <c r="BF60" i="1"/>
  <c r="Q61" i="1"/>
  <c r="BI61" i="1"/>
  <c r="CI61" i="1"/>
  <c r="BR63" i="1"/>
  <c r="BT65" i="1"/>
  <c r="BX65" i="1"/>
  <c r="V66" i="1"/>
  <c r="BO66" i="1"/>
  <c r="Q71" i="1"/>
  <c r="BI71" i="1"/>
  <c r="CI71" i="1"/>
  <c r="T70" i="1"/>
  <c r="CW75" i="1"/>
  <c r="V76" i="1"/>
  <c r="BO76" i="1"/>
  <c r="CN76" i="1"/>
  <c r="BO80" i="1"/>
  <c r="AF82" i="1"/>
  <c r="BR82" i="1"/>
  <c r="CW83" i="1"/>
  <c r="V86" i="1"/>
  <c r="CN86" i="1"/>
  <c r="AH88" i="1"/>
  <c r="AP88" i="1"/>
  <c r="BX88" i="1"/>
  <c r="CJ88" i="1"/>
  <c r="CT88" i="1"/>
  <c r="CZ88" i="1"/>
  <c r="CW91" i="1"/>
  <c r="BE92" i="1"/>
  <c r="CF92" i="1"/>
  <c r="M102" i="1"/>
  <c r="R102" i="1"/>
  <c r="W102" i="1"/>
  <c r="AA102" i="1"/>
  <c r="AE102" i="1"/>
  <c r="AJ102" i="1"/>
  <c r="AN102" i="1"/>
  <c r="AS102" i="1"/>
  <c r="AY102" i="1"/>
  <c r="BF102" i="1"/>
  <c r="BP102" i="1"/>
  <c r="BV102" i="1"/>
  <c r="BZ102" i="1"/>
  <c r="CG102" i="1"/>
  <c r="CM102" i="1"/>
  <c r="CQ102" i="1"/>
  <c r="Q103" i="1"/>
  <c r="CI103" i="1"/>
  <c r="N105" i="1"/>
  <c r="S105" i="1"/>
  <c r="AB105" i="1"/>
  <c r="AG105" i="1"/>
  <c r="AK105" i="1"/>
  <c r="AT105" i="1"/>
  <c r="BG105" i="1"/>
  <c r="BL105" i="1"/>
  <c r="BS105" i="1"/>
  <c r="BW105" i="1"/>
  <c r="K108" i="1"/>
  <c r="T108" i="1"/>
  <c r="Y108" i="1"/>
  <c r="AH108" i="1"/>
  <c r="AL108" i="1"/>
  <c r="AP108" i="1"/>
  <c r="AU108" i="1"/>
  <c r="BA108" i="1"/>
  <c r="BH108" i="1"/>
  <c r="BX108" i="1"/>
  <c r="BO112" i="1"/>
  <c r="V115" i="1"/>
  <c r="BO115" i="1"/>
  <c r="CN115" i="1"/>
  <c r="V139" i="1"/>
  <c r="BO139" i="1"/>
  <c r="J141" i="1"/>
  <c r="S147" i="1"/>
  <c r="X147" i="1"/>
  <c r="AG147" i="1"/>
  <c r="AK147" i="1"/>
  <c r="AO147" i="1"/>
  <c r="BG147" i="1"/>
  <c r="BL147" i="1"/>
  <c r="BS147" i="1"/>
  <c r="BW147" i="1"/>
  <c r="T147" i="1"/>
  <c r="Y147" i="1"/>
  <c r="AC147" i="1"/>
  <c r="AH147" i="1"/>
  <c r="AP147" i="1"/>
  <c r="BA147" i="1"/>
  <c r="BT147" i="1"/>
  <c r="O155" i="1"/>
  <c r="AF156" i="1"/>
  <c r="AS162" i="1"/>
  <c r="AY162" i="1"/>
  <c r="BF162" i="1"/>
  <c r="BP162" i="1"/>
  <c r="BV162" i="1"/>
  <c r="BZ162" i="1"/>
  <c r="CM162" i="1"/>
  <c r="CQ162" i="1"/>
  <c r="BI166" i="1"/>
  <c r="CI170" i="1"/>
  <c r="Q180" i="1"/>
  <c r="CI180" i="1"/>
  <c r="M234" i="1"/>
  <c r="AC234" i="1"/>
  <c r="AH234" i="1"/>
  <c r="AO234" i="1"/>
  <c r="AT234" i="1"/>
  <c r="AX234" i="1"/>
  <c r="BF234" i="1"/>
  <c r="BP234" i="1"/>
  <c r="BV234" i="1"/>
  <c r="BZ234" i="1"/>
  <c r="CG234" i="1"/>
  <c r="AF315" i="1"/>
  <c r="BR315" i="1"/>
  <c r="CX315" i="1"/>
  <c r="AY315" i="1"/>
  <c r="V330" i="1"/>
  <c r="CX332" i="1"/>
  <c r="CX334" i="1"/>
  <c r="Q334" i="1"/>
  <c r="Q336" i="1"/>
  <c r="I50" i="1"/>
  <c r="I54" i="1"/>
  <c r="I61" i="1"/>
  <c r="I73" i="1"/>
  <c r="I86" i="1"/>
  <c r="I106" i="1"/>
  <c r="I139" i="1"/>
  <c r="I148" i="1"/>
  <c r="H163" i="1"/>
  <c r="Q164" i="1"/>
  <c r="U166" i="1"/>
  <c r="H180" i="1"/>
  <c r="H197" i="1"/>
  <c r="H234" i="1"/>
  <c r="Y256" i="1"/>
  <c r="J281" i="1"/>
  <c r="V281" i="1"/>
  <c r="Z256" i="1"/>
  <c r="BH118" i="1"/>
  <c r="AF164" i="1"/>
  <c r="BC256" i="1"/>
  <c r="AF282" i="1"/>
  <c r="CF164" i="1"/>
  <c r="BR200" i="1"/>
  <c r="CH256" i="1"/>
  <c r="CF282" i="1"/>
  <c r="BZ16" i="1"/>
  <c r="CM16" i="1"/>
  <c r="Q17" i="1"/>
  <c r="BI17" i="1"/>
  <c r="CI17" i="1"/>
  <c r="BR20" i="1"/>
  <c r="CE21" i="1"/>
  <c r="CW24" i="1"/>
  <c r="CW25" i="1"/>
  <c r="CW26" i="1"/>
  <c r="CW27" i="1"/>
  <c r="CW28" i="1"/>
  <c r="CW29" i="1"/>
  <c r="CW30" i="1"/>
  <c r="CW31" i="1"/>
  <c r="CW32" i="1"/>
  <c r="CF34" i="1"/>
  <c r="CW36" i="1"/>
  <c r="CF37" i="1"/>
  <c r="CW44" i="1"/>
  <c r="Q47" i="1"/>
  <c r="BI47" i="1"/>
  <c r="CI47" i="1"/>
  <c r="CI50" i="1"/>
  <c r="V50" i="1"/>
  <c r="BO50" i="1"/>
  <c r="CN50" i="1"/>
  <c r="AF52" i="1"/>
  <c r="BR52" i="1"/>
  <c r="BY49" i="1"/>
  <c r="J54" i="1"/>
  <c r="BE54" i="1"/>
  <c r="CI54" i="1"/>
  <c r="AT49" i="1"/>
  <c r="V56" i="1"/>
  <c r="BO56" i="1"/>
  <c r="CN56" i="1"/>
  <c r="Q58" i="1"/>
  <c r="BI58" i="1"/>
  <c r="CI58" i="1"/>
  <c r="V61" i="1"/>
  <c r="BO61" i="1"/>
  <c r="CN61" i="1"/>
  <c r="AJ65" i="1"/>
  <c r="AS65" i="1"/>
  <c r="AY65" i="1"/>
  <c r="BF65" i="1"/>
  <c r="CB65" i="1"/>
  <c r="AF66" i="1"/>
  <c r="BI68" i="1"/>
  <c r="CI68" i="1"/>
  <c r="V72" i="1"/>
  <c r="BO71" i="1"/>
  <c r="CN71" i="1"/>
  <c r="BR76" i="1"/>
  <c r="CF78" i="1"/>
  <c r="AF78" i="1"/>
  <c r="BI78" i="1"/>
  <c r="CI78" i="1"/>
  <c r="AF80" i="1"/>
  <c r="BR80" i="1"/>
  <c r="J83" i="1"/>
  <c r="Q84" i="1"/>
  <c r="CI84" i="1"/>
  <c r="AF86" i="1"/>
  <c r="BR86" i="1"/>
  <c r="CX86" i="1"/>
  <c r="I102" i="1"/>
  <c r="N102" i="1"/>
  <c r="S102" i="1"/>
  <c r="AB102" i="1"/>
  <c r="AG102" i="1"/>
  <c r="AK102" i="1"/>
  <c r="AO102" i="1"/>
  <c r="AT102" i="1"/>
  <c r="AZ102" i="1"/>
  <c r="BG102" i="1"/>
  <c r="BL102" i="1"/>
  <c r="BS102" i="1"/>
  <c r="BW102" i="1"/>
  <c r="CA102" i="1"/>
  <c r="K105" i="1"/>
  <c r="AU105" i="1"/>
  <c r="BA105" i="1"/>
  <c r="CT105" i="1"/>
  <c r="CZ105" i="1"/>
  <c r="BR106" i="1"/>
  <c r="CW107" i="1"/>
  <c r="Z108" i="1"/>
  <c r="AD108" i="1"/>
  <c r="AF112" i="1"/>
  <c r="AF115" i="1"/>
  <c r="BR115" i="1"/>
  <c r="CX115" i="1"/>
  <c r="AD114" i="1"/>
  <c r="BU114" i="1"/>
  <c r="BY114" i="1"/>
  <c r="CC114" i="1"/>
  <c r="CJ114" i="1"/>
  <c r="CT114" i="1"/>
  <c r="CW125" i="1"/>
  <c r="L126" i="1"/>
  <c r="U126" i="1"/>
  <c r="Z126" i="1"/>
  <c r="AD126" i="1"/>
  <c r="AM126" i="1"/>
  <c r="AQ126" i="1"/>
  <c r="BC126" i="1"/>
  <c r="BJ126" i="1"/>
  <c r="BN126" i="1"/>
  <c r="BU126" i="1"/>
  <c r="BY126" i="1"/>
  <c r="CW129" i="1"/>
  <c r="R126" i="1"/>
  <c r="W126" i="1"/>
  <c r="AA126" i="1"/>
  <c r="AE126" i="1"/>
  <c r="AS126" i="1"/>
  <c r="AY126" i="1"/>
  <c r="BF126" i="1"/>
  <c r="V131" i="1"/>
  <c r="AN131" i="1"/>
  <c r="CW133" i="1"/>
  <c r="Q141" i="1"/>
  <c r="AF148" i="1"/>
  <c r="P155" i="1"/>
  <c r="AK162" i="1"/>
  <c r="CN163" i="1"/>
  <c r="J175" i="1"/>
  <c r="V191" i="1"/>
  <c r="L216" i="1"/>
  <c r="P216" i="1"/>
  <c r="U216" i="1"/>
  <c r="Z216" i="1"/>
  <c r="AD216" i="1"/>
  <c r="AI216" i="1"/>
  <c r="AM216" i="1"/>
  <c r="AQ216" i="1"/>
  <c r="AX216" i="1"/>
  <c r="BC216" i="1"/>
  <c r="BJ216" i="1"/>
  <c r="BN216" i="1"/>
  <c r="BU216" i="1"/>
  <c r="CC216" i="1"/>
  <c r="CO216" i="1"/>
  <c r="J217" i="1"/>
  <c r="I222" i="1"/>
  <c r="N222" i="1"/>
  <c r="S222" i="1"/>
  <c r="X222" i="1"/>
  <c r="AB222" i="1"/>
  <c r="AG222" i="1"/>
  <c r="AO222" i="1"/>
  <c r="AT222" i="1"/>
  <c r="AZ222" i="1"/>
  <c r="BG222" i="1"/>
  <c r="BL222" i="1"/>
  <c r="BS222" i="1"/>
  <c r="BW222" i="1"/>
  <c r="V223" i="1"/>
  <c r="V230" i="1"/>
  <c r="CN230" i="1"/>
  <c r="N234" i="1"/>
  <c r="AP234" i="1"/>
  <c r="AU234" i="1"/>
  <c r="AY234" i="1"/>
  <c r="BG234" i="1"/>
  <c r="BL234" i="1"/>
  <c r="BS234" i="1"/>
  <c r="BW234" i="1"/>
  <c r="CA234" i="1"/>
  <c r="CJ234" i="1"/>
  <c r="H311" i="1"/>
  <c r="M311" i="1"/>
  <c r="R311" i="1"/>
  <c r="W311" i="1"/>
  <c r="AA311" i="1"/>
  <c r="AE311" i="1"/>
  <c r="AJ311" i="1"/>
  <c r="AN311" i="1"/>
  <c r="AW311" i="1"/>
  <c r="BA311" i="1"/>
  <c r="BH311" i="1"/>
  <c r="BM311" i="1"/>
  <c r="BX311" i="1"/>
  <c r="J315" i="1"/>
  <c r="BE315" i="1"/>
  <c r="CF315" i="1"/>
  <c r="V17" i="1"/>
  <c r="BO17" i="1"/>
  <c r="CN17" i="1"/>
  <c r="CW20" i="1"/>
  <c r="AI19" i="1"/>
  <c r="J25" i="1"/>
  <c r="J30" i="1"/>
  <c r="CF30" i="1"/>
  <c r="CW33" i="1"/>
  <c r="Q37" i="1"/>
  <c r="BI37" i="1"/>
  <c r="CI37" i="1"/>
  <c r="Q41" i="1"/>
  <c r="P39" i="1"/>
  <c r="V47" i="1"/>
  <c r="CN47" i="1"/>
  <c r="AF50" i="1"/>
  <c r="BR50" i="1"/>
  <c r="BE52" i="1"/>
  <c r="Q54" i="1"/>
  <c r="BI54" i="1"/>
  <c r="CN54" i="1"/>
  <c r="AF56" i="1"/>
  <c r="BR56" i="1"/>
  <c r="CW57" i="1"/>
  <c r="AV49" i="1"/>
  <c r="V58" i="1"/>
  <c r="BO58" i="1"/>
  <c r="CN58" i="1"/>
  <c r="U60" i="1"/>
  <c r="AH60" i="1"/>
  <c r="AP60" i="1"/>
  <c r="AU60" i="1"/>
  <c r="BA60" i="1"/>
  <c r="BX60" i="1"/>
  <c r="CB60" i="1"/>
  <c r="CT60" i="1"/>
  <c r="BR61" i="1"/>
  <c r="Q63" i="1"/>
  <c r="CI63" i="1"/>
  <c r="BV65" i="1"/>
  <c r="CW67" i="1"/>
  <c r="BY65" i="1"/>
  <c r="BO68" i="1"/>
  <c r="CN68" i="1"/>
  <c r="AF72" i="1"/>
  <c r="BR71" i="1"/>
  <c r="CG70" i="1"/>
  <c r="CM70" i="1"/>
  <c r="CI73" i="1"/>
  <c r="J76" i="1"/>
  <c r="Q78" i="1"/>
  <c r="BO78" i="1"/>
  <c r="CN78" i="1"/>
  <c r="CF81" i="1"/>
  <c r="Q82" i="1"/>
  <c r="V84" i="1"/>
  <c r="CN84" i="1"/>
  <c r="BE86" i="1"/>
  <c r="CF86" i="1"/>
  <c r="R88" i="1"/>
  <c r="CG88" i="1"/>
  <c r="CM88" i="1"/>
  <c r="CQ88" i="1"/>
  <c r="CV88" i="1"/>
  <c r="CI89" i="1"/>
  <c r="CN92" i="1"/>
  <c r="K102" i="1"/>
  <c r="O102" i="1"/>
  <c r="Y102" i="1"/>
  <c r="AC102" i="1"/>
  <c r="AH102" i="1"/>
  <c r="AU102" i="1"/>
  <c r="BA102" i="1"/>
  <c r="BH102" i="1"/>
  <c r="BM102" i="1"/>
  <c r="CB102" i="1"/>
  <c r="CJ102" i="1"/>
  <c r="CT102" i="1"/>
  <c r="AF103" i="1"/>
  <c r="BR103" i="1"/>
  <c r="CX103" i="1"/>
  <c r="L105" i="1"/>
  <c r="P105" i="1"/>
  <c r="U105" i="1"/>
  <c r="Z105" i="1"/>
  <c r="AD105" i="1"/>
  <c r="AI105" i="1"/>
  <c r="AM105" i="1"/>
  <c r="AQ105" i="1"/>
  <c r="AX105" i="1"/>
  <c r="BC105" i="1"/>
  <c r="BJ105" i="1"/>
  <c r="BN105" i="1"/>
  <c r="BU105" i="1"/>
  <c r="H108" i="1"/>
  <c r="M108" i="1"/>
  <c r="R108" i="1"/>
  <c r="W108" i="1"/>
  <c r="AA108" i="1"/>
  <c r="AE108" i="1"/>
  <c r="AJ108" i="1"/>
  <c r="AN108" i="1"/>
  <c r="AY108" i="1"/>
  <c r="BF108" i="1"/>
  <c r="BP108" i="1"/>
  <c r="BV108" i="1"/>
  <c r="J115" i="1"/>
  <c r="BE115" i="1"/>
  <c r="CF115" i="1"/>
  <c r="J127" i="1"/>
  <c r="AJ131" i="1"/>
  <c r="AF138" i="1"/>
  <c r="CW138" i="1"/>
  <c r="J139" i="1"/>
  <c r="CF139" i="1"/>
  <c r="M147" i="1"/>
  <c r="Z147" i="1"/>
  <c r="AD147" i="1"/>
  <c r="AI147" i="1"/>
  <c r="AQ147" i="1"/>
  <c r="AX147" i="1"/>
  <c r="BJ147" i="1"/>
  <c r="BU147" i="1"/>
  <c r="CO147" i="1"/>
  <c r="CU147" i="1"/>
  <c r="J148" i="1"/>
  <c r="CE149" i="1"/>
  <c r="CE150" i="1"/>
  <c r="G151" i="1"/>
  <c r="CE151" i="1"/>
  <c r="R147" i="1"/>
  <c r="W147" i="1"/>
  <c r="AE147" i="1"/>
  <c r="AJ147" i="1"/>
  <c r="AN147" i="1"/>
  <c r="AS147" i="1"/>
  <c r="AY147" i="1"/>
  <c r="BF147" i="1"/>
  <c r="BP147" i="1"/>
  <c r="BV147" i="1"/>
  <c r="CJ147" i="1"/>
  <c r="CW158" i="1"/>
  <c r="CW160" i="1"/>
  <c r="AU162" i="1"/>
  <c r="BA162" i="1"/>
  <c r="BM162" i="1"/>
  <c r="BT162" i="1"/>
  <c r="BX162" i="1"/>
  <c r="CB162" i="1"/>
  <c r="CJ162" i="1"/>
  <c r="CW184" i="1"/>
  <c r="AF189" i="1"/>
  <c r="BR191" i="1"/>
  <c r="BM222" i="1"/>
  <c r="CZ222" i="1"/>
  <c r="BI230" i="1"/>
  <c r="AF230" i="1"/>
  <c r="J252" i="1"/>
  <c r="AE234" i="1"/>
  <c r="AM234" i="1"/>
  <c r="AQ234" i="1"/>
  <c r="AV234" i="1"/>
  <c r="AZ234" i="1"/>
  <c r="BH234" i="1"/>
  <c r="BM234" i="1"/>
  <c r="BT234" i="1"/>
  <c r="BX234" i="1"/>
  <c r="CB234" i="1"/>
  <c r="CQ234" i="1"/>
  <c r="CV234" i="1"/>
  <c r="CX309" i="1"/>
  <c r="Q315" i="1"/>
  <c r="BI315" i="1"/>
  <c r="CI315" i="1"/>
  <c r="CM330" i="1"/>
  <c r="AF334" i="1"/>
  <c r="BR334" i="1"/>
  <c r="AF336" i="1"/>
  <c r="I39" i="1"/>
  <c r="I47" i="1"/>
  <c r="I52" i="1"/>
  <c r="I71" i="1"/>
  <c r="I78" i="1"/>
  <c r="I84" i="1"/>
  <c r="I141" i="1"/>
  <c r="I155" i="1"/>
  <c r="I163" i="1"/>
  <c r="H166" i="1"/>
  <c r="H185" i="1"/>
  <c r="H232" i="1"/>
  <c r="AA256" i="1"/>
  <c r="U256" i="1"/>
  <c r="Q281" i="1"/>
  <c r="AB256" i="1"/>
  <c r="V282" i="1"/>
  <c r="BC124" i="1"/>
  <c r="AF165" i="1"/>
  <c r="AI166" i="1"/>
  <c r="AL256" i="1"/>
  <c r="CN168" i="1"/>
  <c r="BR202" i="1"/>
  <c r="CO256" i="1"/>
  <c r="CF135" i="1"/>
  <c r="CE138" i="1"/>
  <c r="CN330" i="1"/>
  <c r="CI330" i="1"/>
  <c r="R234" i="1"/>
  <c r="I234" i="1"/>
  <c r="BM314" i="1"/>
  <c r="AK234" i="1"/>
  <c r="U169" i="1"/>
  <c r="AJ169" i="1"/>
  <c r="AF170" i="1"/>
  <c r="V170" i="1"/>
  <c r="G171" i="1"/>
  <c r="CN131" i="1"/>
  <c r="CE134" i="1"/>
  <c r="G134" i="1"/>
  <c r="O126" i="1"/>
  <c r="R49" i="1"/>
  <c r="BA49" i="1"/>
  <c r="BH49" i="1"/>
  <c r="BM49" i="1"/>
  <c r="BP49" i="1"/>
  <c r="AL70" i="1"/>
  <c r="BN70" i="1"/>
  <c r="J78" i="1"/>
  <c r="G79" i="1"/>
  <c r="L82" i="1"/>
  <c r="BE84" i="1"/>
  <c r="BD85" i="1"/>
  <c r="L88" i="1"/>
  <c r="N88" i="1"/>
  <c r="BI180" i="1"/>
  <c r="BD181" i="1"/>
  <c r="AF64" i="1"/>
  <c r="BC63" i="1"/>
  <c r="BI63" i="1"/>
  <c r="BD64" i="1"/>
  <c r="L65" i="1"/>
  <c r="BI112" i="1"/>
  <c r="BD113" i="1"/>
  <c r="J164" i="1"/>
  <c r="O163" i="1"/>
  <c r="O256" i="1"/>
  <c r="AC205" i="1"/>
  <c r="V215" i="1"/>
  <c r="AI256" i="1"/>
  <c r="G331" i="1"/>
  <c r="AB88" i="1"/>
  <c r="AD88" i="1"/>
  <c r="AG88" i="1"/>
  <c r="AI88" i="1"/>
  <c r="AK88" i="1"/>
  <c r="AO88" i="1"/>
  <c r="AZ88" i="1"/>
  <c r="BG88" i="1"/>
  <c r="BJ88" i="1"/>
  <c r="O166" i="1"/>
  <c r="AJ166" i="1"/>
  <c r="CO166" i="1"/>
  <c r="CB197" i="1"/>
  <c r="X256" i="1"/>
  <c r="BX147" i="1"/>
  <c r="K162" i="1"/>
  <c r="M162" i="1"/>
  <c r="R162" i="1"/>
  <c r="T162" i="1"/>
  <c r="W162" i="1"/>
  <c r="AA162" i="1"/>
  <c r="AE162" i="1"/>
  <c r="AH162" i="1"/>
  <c r="AL162" i="1"/>
  <c r="AN162" i="1"/>
  <c r="L162" i="1"/>
  <c r="N162" i="1"/>
  <c r="X162" i="1"/>
  <c r="Z162" i="1"/>
  <c r="AB162" i="1"/>
  <c r="AD162" i="1"/>
  <c r="AG162" i="1"/>
  <c r="AM162" i="1"/>
  <c r="N169" i="1"/>
  <c r="R169" i="1"/>
  <c r="W169" i="1"/>
  <c r="Y169" i="1"/>
  <c r="AA169" i="1"/>
  <c r="AC169" i="1"/>
  <c r="AM169" i="1"/>
  <c r="AO169" i="1"/>
  <c r="AQ169" i="1"/>
  <c r="AT169" i="1"/>
  <c r="AV169" i="1"/>
  <c r="AX169" i="1"/>
  <c r="BC169" i="1"/>
  <c r="BJ169" i="1"/>
  <c r="BL169" i="1"/>
  <c r="BN169" i="1"/>
  <c r="G259" i="1"/>
  <c r="CE259" i="1"/>
  <c r="CE261" i="1"/>
  <c r="CE265" i="1"/>
  <c r="CE267" i="1"/>
  <c r="CE273" i="1"/>
  <c r="G277" i="1"/>
  <c r="AF232" i="1"/>
  <c r="G233" i="1"/>
  <c r="CU88" i="1"/>
  <c r="CY88" i="1"/>
  <c r="S256" i="1"/>
  <c r="W256" i="1"/>
  <c r="J282" i="1"/>
  <c r="P256" i="1"/>
  <c r="AG108" i="1"/>
  <c r="AI108" i="1"/>
  <c r="AK108" i="1"/>
  <c r="AM108" i="1"/>
  <c r="AO108" i="1"/>
  <c r="AQ108" i="1"/>
  <c r="AT108" i="1"/>
  <c r="AX108" i="1"/>
  <c r="AZ108" i="1"/>
  <c r="BC108" i="1"/>
  <c r="BG108" i="1"/>
  <c r="BJ108" i="1"/>
  <c r="BL108" i="1"/>
  <c r="BN108" i="1"/>
  <c r="BS108" i="1"/>
  <c r="BU108" i="1"/>
  <c r="BW108" i="1"/>
  <c r="BY108" i="1"/>
  <c r="CA108" i="1"/>
  <c r="CC108" i="1"/>
  <c r="CG108" i="1"/>
  <c r="CQ108" i="1"/>
  <c r="CT108" i="1"/>
  <c r="CV108" i="1"/>
  <c r="BS169" i="1"/>
  <c r="BU169" i="1"/>
  <c r="CO169" i="1"/>
  <c r="L169" i="1"/>
  <c r="M169" i="1"/>
  <c r="O169" i="1"/>
  <c r="S169" i="1"/>
  <c r="X169" i="1"/>
  <c r="Z169" i="1"/>
  <c r="AB169" i="1"/>
  <c r="AD169" i="1"/>
  <c r="AG169" i="1"/>
  <c r="AI169" i="1"/>
  <c r="BP169" i="1"/>
  <c r="BV169" i="1"/>
  <c r="BX169" i="1"/>
  <c r="BZ169" i="1"/>
  <c r="CB169" i="1"/>
  <c r="CJ169" i="1"/>
  <c r="N182" i="1"/>
  <c r="P182" i="1"/>
  <c r="S182" i="1"/>
  <c r="U182" i="1"/>
  <c r="Z182" i="1"/>
  <c r="AB182" i="1"/>
  <c r="AD182" i="1"/>
  <c r="AI182" i="1"/>
  <c r="AK182" i="1"/>
  <c r="AQ182" i="1"/>
  <c r="AT182" i="1"/>
  <c r="AX182" i="1"/>
  <c r="BC182" i="1"/>
  <c r="BG182" i="1"/>
  <c r="BL182" i="1"/>
  <c r="BN182" i="1"/>
  <c r="BS182" i="1"/>
  <c r="BU182" i="1"/>
  <c r="BW182" i="1"/>
  <c r="M182" i="1"/>
  <c r="O182" i="1"/>
  <c r="R182" i="1"/>
  <c r="T182" i="1"/>
  <c r="W182" i="1"/>
  <c r="AE182" i="1"/>
  <c r="AH182" i="1"/>
  <c r="AJ182" i="1"/>
  <c r="AL182" i="1"/>
  <c r="AP182" i="1"/>
  <c r="AS182" i="1"/>
  <c r="AU182" i="1"/>
  <c r="AY182" i="1"/>
  <c r="BA182" i="1"/>
  <c r="BF182" i="1"/>
  <c r="BM182" i="1"/>
  <c r="BP182" i="1"/>
  <c r="BV182" i="1"/>
  <c r="BX182" i="1"/>
  <c r="BZ182" i="1"/>
  <c r="CJ182" i="1"/>
  <c r="CM182" i="1"/>
  <c r="BD218" i="1"/>
  <c r="CE218" i="1"/>
  <c r="CN256" i="1"/>
  <c r="CW59" i="1"/>
  <c r="CX58" i="1"/>
  <c r="AG65" i="1"/>
  <c r="AK65" i="1"/>
  <c r="AO65" i="1"/>
  <c r="AQ65" i="1"/>
  <c r="BG65" i="1"/>
  <c r="BJ65" i="1"/>
  <c r="BL65" i="1"/>
  <c r="BN65" i="1"/>
  <c r="CW72" i="1"/>
  <c r="CX71" i="1"/>
  <c r="CO65" i="1"/>
  <c r="CW81" i="1"/>
  <c r="CX80" i="1"/>
  <c r="G22" i="1"/>
  <c r="BO23" i="1"/>
  <c r="CN23" i="1"/>
  <c r="G26" i="1"/>
  <c r="CE26" i="1"/>
  <c r="BD33" i="1"/>
  <c r="BO39" i="1"/>
  <c r="CF39" i="1"/>
  <c r="CE48" i="1"/>
  <c r="X60" i="1"/>
  <c r="Z60" i="1"/>
  <c r="AB60" i="1"/>
  <c r="AD60" i="1"/>
  <c r="BH60" i="1"/>
  <c r="BM60" i="1"/>
  <c r="BP60" i="1"/>
  <c r="BT60" i="1"/>
  <c r="K60" i="1"/>
  <c r="M60" i="1"/>
  <c r="O60" i="1"/>
  <c r="T60" i="1"/>
  <c r="W60" i="1"/>
  <c r="Y60" i="1"/>
  <c r="AA60" i="1"/>
  <c r="BG60" i="1"/>
  <c r="BJ60" i="1"/>
  <c r="BL60" i="1"/>
  <c r="BS60" i="1"/>
  <c r="BU60" i="1"/>
  <c r="BW60" i="1"/>
  <c r="BY60" i="1"/>
  <c r="CA60" i="1"/>
  <c r="CC60" i="1"/>
  <c r="CH60" i="1"/>
  <c r="CU60" i="1"/>
  <c r="K70" i="1"/>
  <c r="CE72" i="1"/>
  <c r="CO70" i="1"/>
  <c r="BY182" i="1"/>
  <c r="BD140" i="1"/>
  <c r="BZ126" i="1"/>
  <c r="CB126" i="1"/>
  <c r="CG126" i="1"/>
  <c r="CM126" i="1"/>
  <c r="CQ126" i="1"/>
  <c r="CT126" i="1"/>
  <c r="CV126" i="1"/>
  <c r="CZ126" i="1"/>
  <c r="BD146" i="1"/>
  <c r="BD149" i="1"/>
  <c r="BD151" i="1"/>
  <c r="CT169" i="1"/>
  <c r="CV169" i="1"/>
  <c r="CZ169" i="1"/>
  <c r="CH182" i="1"/>
  <c r="CO182" i="1"/>
  <c r="CU182" i="1"/>
  <c r="CG182" i="1"/>
  <c r="CE270" i="1"/>
  <c r="O314" i="1"/>
  <c r="L114" i="1"/>
  <c r="N114" i="1"/>
  <c r="S114" i="1"/>
  <c r="Z114" i="1"/>
  <c r="AK114" i="1"/>
  <c r="AT114" i="1"/>
  <c r="AZ114" i="1"/>
  <c r="BL114" i="1"/>
  <c r="S88" i="1"/>
  <c r="X88" i="1"/>
  <c r="AQ88" i="1"/>
  <c r="AT88" i="1"/>
  <c r="AX88" i="1"/>
  <c r="BL88" i="1"/>
  <c r="BD94" i="1"/>
  <c r="BO92" i="1"/>
  <c r="G129" i="1"/>
  <c r="AF143" i="1"/>
  <c r="AJ256" i="1"/>
  <c r="I314" i="1"/>
  <c r="L314" i="1"/>
  <c r="N314" i="1"/>
  <c r="P314" i="1"/>
  <c r="S314" i="1"/>
  <c r="U314" i="1"/>
  <c r="X314" i="1"/>
  <c r="AB314" i="1"/>
  <c r="AD314" i="1"/>
  <c r="AK314" i="1"/>
  <c r="AM314" i="1"/>
  <c r="AQ314" i="1"/>
  <c r="AT314" i="1"/>
  <c r="AV314" i="1"/>
  <c r="BG314" i="1"/>
  <c r="BV314" i="1"/>
  <c r="BZ314" i="1"/>
  <c r="AH314" i="1"/>
  <c r="AS314" i="1"/>
  <c r="BA314" i="1"/>
  <c r="CQ314" i="1"/>
  <c r="CY314" i="1"/>
  <c r="AC314" i="1"/>
  <c r="CG314" i="1"/>
  <c r="BE119" i="1"/>
  <c r="G214" i="1"/>
  <c r="J330" i="1"/>
  <c r="G268" i="1"/>
  <c r="BI19" i="1"/>
  <c r="Q23" i="1"/>
  <c r="G207" i="1"/>
  <c r="G208" i="1"/>
  <c r="G210" i="1"/>
  <c r="G211" i="1"/>
  <c r="G212" i="1"/>
  <c r="G213" i="1"/>
  <c r="G260" i="1"/>
  <c r="G263" i="1"/>
  <c r="G265" i="1"/>
  <c r="G269" i="1"/>
  <c r="G275" i="1"/>
  <c r="BD27" i="1"/>
  <c r="CE29" i="1"/>
  <c r="G31" i="1"/>
  <c r="CE31" i="1"/>
  <c r="CE32" i="1"/>
  <c r="CX56" i="1"/>
  <c r="G77" i="1"/>
  <c r="J89" i="1"/>
  <c r="V89" i="1"/>
  <c r="BD90" i="1"/>
  <c r="CF89" i="1"/>
  <c r="BI89" i="1"/>
  <c r="BR89" i="1"/>
  <c r="G94" i="1"/>
  <c r="G95" i="1"/>
  <c r="BD95" i="1"/>
  <c r="CE95" i="1"/>
  <c r="G96" i="1"/>
  <c r="CE96" i="1"/>
  <c r="G98" i="1"/>
  <c r="G99" i="1"/>
  <c r="BD99" i="1"/>
  <c r="BD183" i="1"/>
  <c r="G257" i="1"/>
  <c r="G261" i="1"/>
  <c r="AI314" i="1"/>
  <c r="CO314" i="1"/>
  <c r="BD335" i="1"/>
  <c r="G339" i="1"/>
  <c r="CE331" i="1"/>
  <c r="CH314" i="1"/>
  <c r="CF330" i="1"/>
  <c r="CF217" i="1"/>
  <c r="AZ314" i="1"/>
  <c r="BC314" i="1"/>
  <c r="BJ314" i="1"/>
  <c r="BP314" i="1"/>
  <c r="BX314" i="1"/>
  <c r="CB314" i="1"/>
  <c r="H314" i="1"/>
  <c r="M314" i="1"/>
  <c r="AJ314" i="1"/>
  <c r="AL314" i="1"/>
  <c r="AP314" i="1"/>
  <c r="AU314" i="1"/>
  <c r="CZ314" i="1"/>
  <c r="BL314" i="1"/>
  <c r="W314" i="1"/>
  <c r="AA314" i="1"/>
  <c r="AE314" i="1"/>
  <c r="BF314" i="1"/>
  <c r="I114" i="1"/>
  <c r="P114" i="1"/>
  <c r="U114" i="1"/>
  <c r="AB114" i="1"/>
  <c r="AI114" i="1"/>
  <c r="AM114" i="1"/>
  <c r="AQ114" i="1"/>
  <c r="AX114" i="1"/>
  <c r="BJ114" i="1"/>
  <c r="BN114" i="1"/>
  <c r="AA16" i="1"/>
  <c r="L49" i="1"/>
  <c r="M70" i="1"/>
  <c r="O70" i="1"/>
  <c r="S70" i="1"/>
  <c r="W70" i="1"/>
  <c r="Y70" i="1"/>
  <c r="AA70" i="1"/>
  <c r="AE70" i="1"/>
  <c r="AH70" i="1"/>
  <c r="AJ70" i="1"/>
  <c r="AN70" i="1"/>
  <c r="AP70" i="1"/>
  <c r="AU70" i="1"/>
  <c r="BA70" i="1"/>
  <c r="BF70" i="1"/>
  <c r="BH70" i="1"/>
  <c r="BJ70" i="1"/>
  <c r="BL70" i="1"/>
  <c r="BY70" i="1"/>
  <c r="CA70" i="1"/>
  <c r="CC70" i="1"/>
  <c r="CY70" i="1"/>
  <c r="R70" i="1"/>
  <c r="BM70" i="1"/>
  <c r="BP70" i="1"/>
  <c r="BT70" i="1"/>
  <c r="BV70" i="1"/>
  <c r="BZ70" i="1"/>
  <c r="CQ70" i="1"/>
  <c r="CT70" i="1"/>
  <c r="CV70" i="1"/>
  <c r="CZ70" i="1"/>
  <c r="AC60" i="1"/>
  <c r="P65" i="1"/>
  <c r="AI70" i="1"/>
  <c r="N70" i="1"/>
  <c r="Z88" i="1"/>
  <c r="CZ108" i="1"/>
  <c r="K126" i="1"/>
  <c r="M126" i="1"/>
  <c r="K169" i="1"/>
  <c r="CW64" i="1"/>
  <c r="CX63" i="1"/>
  <c r="BR68" i="1"/>
  <c r="BD69" i="1"/>
  <c r="BI80" i="1"/>
  <c r="BD81" i="1"/>
  <c r="J86" i="1"/>
  <c r="G87" i="1"/>
  <c r="BI86" i="1"/>
  <c r="BD87" i="1"/>
  <c r="CW90" i="1"/>
  <c r="CX89" i="1"/>
  <c r="G91" i="1"/>
  <c r="Q89" i="1"/>
  <c r="G93" i="1"/>
  <c r="V92" i="1"/>
  <c r="BI141" i="1"/>
  <c r="BD142" i="1"/>
  <c r="J143" i="1"/>
  <c r="G144" i="1"/>
  <c r="BO143" i="1"/>
  <c r="BD144" i="1"/>
  <c r="CW87" i="1"/>
  <c r="BD83" i="1"/>
  <c r="CX141" i="1"/>
  <c r="CE140" i="1"/>
  <c r="BD93" i="1"/>
  <c r="BO89" i="1"/>
  <c r="BO148" i="1"/>
  <c r="CE93" i="1"/>
  <c r="G142" i="1"/>
  <c r="CW21" i="1"/>
  <c r="CX19" i="1"/>
  <c r="CX23" i="1"/>
  <c r="CI23" i="1"/>
  <c r="BD44" i="1"/>
  <c r="BI39" i="1"/>
  <c r="BO47" i="1"/>
  <c r="BD48" i="1"/>
  <c r="Q50" i="1"/>
  <c r="G51" i="1"/>
  <c r="CF63" i="1"/>
  <c r="CE64" i="1"/>
  <c r="U70" i="1"/>
  <c r="G75" i="1"/>
  <c r="J131" i="1"/>
  <c r="BR131" i="1"/>
  <c r="J135" i="1"/>
  <c r="G150" i="1"/>
  <c r="G158" i="1"/>
  <c r="G149" i="1"/>
  <c r="P126" i="1"/>
  <c r="BD133" i="1"/>
  <c r="G132" i="1"/>
  <c r="G128" i="1"/>
  <c r="AF73" i="1"/>
  <c r="U65" i="1"/>
  <c r="G67" i="1"/>
  <c r="J66" i="1"/>
  <c r="G27" i="1"/>
  <c r="CX66" i="1"/>
  <c r="BD120" i="1" l="1"/>
  <c r="CE109" i="1"/>
  <c r="G120" i="1"/>
  <c r="CE120" i="1"/>
  <c r="BD109" i="1"/>
  <c r="CW120" i="1"/>
  <c r="G109" i="1"/>
  <c r="CW109" i="1"/>
  <c r="BA16" i="1"/>
  <c r="CF105" i="1"/>
  <c r="CW189" i="1"/>
  <c r="AS70" i="1"/>
  <c r="X16" i="1"/>
  <c r="CW338" i="1"/>
  <c r="CE141" i="1"/>
  <c r="CE115" i="1"/>
  <c r="CW330" i="1"/>
  <c r="K314" i="1"/>
  <c r="AQ16" i="1"/>
  <c r="CD265" i="1"/>
  <c r="BC16" i="1"/>
  <c r="CD79" i="1"/>
  <c r="CE52" i="1"/>
  <c r="CW193" i="1"/>
  <c r="CD119" i="1"/>
  <c r="CE73" i="1"/>
  <c r="F145" i="1"/>
  <c r="CD128" i="1"/>
  <c r="G230" i="1"/>
  <c r="CF131" i="1"/>
  <c r="CD77" i="1"/>
  <c r="AF131" i="1"/>
  <c r="G115" i="1"/>
  <c r="CD87" i="1"/>
  <c r="BE105" i="1"/>
  <c r="G139" i="1"/>
  <c r="P162" i="1"/>
  <c r="CD271" i="1"/>
  <c r="CW112" i="1"/>
  <c r="J102" i="1"/>
  <c r="CW78" i="1"/>
  <c r="CI105" i="1"/>
  <c r="CD247" i="1"/>
  <c r="CD225" i="1"/>
  <c r="CD257" i="1"/>
  <c r="G334" i="1"/>
  <c r="G125" i="1"/>
  <c r="I65" i="1"/>
  <c r="CH147" i="1"/>
  <c r="CH70" i="1"/>
  <c r="AL16" i="1"/>
  <c r="S16" i="1"/>
  <c r="CE230" i="1"/>
  <c r="AB70" i="1"/>
  <c r="CW328" i="1"/>
  <c r="CW336" i="1"/>
  <c r="CW52" i="1"/>
  <c r="G43" i="1"/>
  <c r="F104" i="1"/>
  <c r="CD110" i="1"/>
  <c r="CE189" i="1"/>
  <c r="CW115" i="1"/>
  <c r="CN216" i="1"/>
  <c r="CD199" i="1"/>
  <c r="CE170" i="1"/>
  <c r="I108" i="1"/>
  <c r="AU126" i="1"/>
  <c r="AT147" i="1"/>
  <c r="CE193" i="1"/>
  <c r="BO234" i="1"/>
  <c r="CW230" i="1"/>
  <c r="AF124" i="1"/>
  <c r="CI108" i="1"/>
  <c r="I88" i="1"/>
  <c r="G152" i="1"/>
  <c r="CE127" i="1"/>
  <c r="F296" i="1"/>
  <c r="CE56" i="1"/>
  <c r="CW332" i="1"/>
  <c r="CD278" i="1"/>
  <c r="CE336" i="1"/>
  <c r="F258" i="1"/>
  <c r="G328" i="1"/>
  <c r="V311" i="1"/>
  <c r="AF311" i="1"/>
  <c r="F274" i="1"/>
  <c r="F270" i="1"/>
  <c r="CW326" i="1"/>
  <c r="BI234" i="1"/>
  <c r="CD279" i="1"/>
  <c r="BR234" i="1"/>
  <c r="G336" i="1"/>
  <c r="BD330" i="1"/>
  <c r="CD264" i="1"/>
  <c r="G307" i="1"/>
  <c r="F242" i="1"/>
  <c r="F271" i="1"/>
  <c r="CE334" i="1"/>
  <c r="CD337" i="1"/>
  <c r="BD312" i="1"/>
  <c r="BR222" i="1"/>
  <c r="BE311" i="1"/>
  <c r="BD309" i="1"/>
  <c r="CD235" i="1"/>
  <c r="CW312" i="1"/>
  <c r="CW309" i="1"/>
  <c r="CF222" i="1"/>
  <c r="CD272" i="1"/>
  <c r="CD266" i="1"/>
  <c r="CD252" i="1"/>
  <c r="BD336" i="1"/>
  <c r="CD269" i="1"/>
  <c r="CE338" i="1"/>
  <c r="CD215" i="1"/>
  <c r="BR311" i="1"/>
  <c r="CE283" i="1"/>
  <c r="F289" i="1"/>
  <c r="F292" i="1"/>
  <c r="F294" i="1"/>
  <c r="F293" i="1"/>
  <c r="CE309" i="1"/>
  <c r="CD289" i="1"/>
  <c r="BD338" i="1"/>
  <c r="CW232" i="1"/>
  <c r="CD293" i="1"/>
  <c r="CD280" i="1"/>
  <c r="CD268" i="1"/>
  <c r="CD171" i="1"/>
  <c r="J182" i="1"/>
  <c r="P169" i="1"/>
  <c r="BE162" i="1"/>
  <c r="CD308" i="1"/>
  <c r="G175" i="1"/>
  <c r="CD165" i="1"/>
  <c r="F159" i="1"/>
  <c r="F264" i="1"/>
  <c r="F295" i="1"/>
  <c r="S162" i="1"/>
  <c r="CD262" i="1"/>
  <c r="CD237" i="1"/>
  <c r="BE222" i="1"/>
  <c r="AO162" i="1"/>
  <c r="BO222" i="1"/>
  <c r="CE307" i="1"/>
  <c r="CD231" i="1"/>
  <c r="CD274" i="1"/>
  <c r="BD191" i="1"/>
  <c r="BI216" i="1"/>
  <c r="CD181" i="1"/>
  <c r="CD296" i="1"/>
  <c r="CD173" i="1"/>
  <c r="CD214" i="1"/>
  <c r="CD263" i="1"/>
  <c r="CW180" i="1"/>
  <c r="CN222" i="1"/>
  <c r="F179" i="1"/>
  <c r="CD276" i="1"/>
  <c r="V166" i="1"/>
  <c r="CD200" i="1"/>
  <c r="F337" i="1"/>
  <c r="G168" i="1"/>
  <c r="CE232" i="1"/>
  <c r="BD283" i="1"/>
  <c r="CD333" i="1"/>
  <c r="BI147" i="1"/>
  <c r="F273" i="1"/>
  <c r="BE234" i="1"/>
  <c r="BD190" i="1"/>
  <c r="CW163" i="1"/>
  <c r="G309" i="1"/>
  <c r="CD137" i="1"/>
  <c r="I182" i="1"/>
  <c r="BC147" i="1"/>
  <c r="F157" i="1"/>
  <c r="BD175" i="1"/>
  <c r="CW217" i="1"/>
  <c r="CD194" i="1"/>
  <c r="CW195" i="1"/>
  <c r="F272" i="1"/>
  <c r="CW256" i="1"/>
  <c r="CD284" i="1"/>
  <c r="BD232" i="1"/>
  <c r="F287" i="1"/>
  <c r="CW170" i="1"/>
  <c r="CX169" i="1"/>
  <c r="J311" i="1"/>
  <c r="CD258" i="1"/>
  <c r="Q311" i="1"/>
  <c r="CD186" i="1"/>
  <c r="CD275" i="1"/>
  <c r="BO311" i="1"/>
  <c r="BD307" i="1"/>
  <c r="CD242" i="1"/>
  <c r="CD210" i="1"/>
  <c r="CD253" i="1"/>
  <c r="CU229" i="1"/>
  <c r="CU340" i="1" s="1"/>
  <c r="AN229" i="1"/>
  <c r="F329" i="1"/>
  <c r="CD209" i="1"/>
  <c r="CD306" i="1"/>
  <c r="CF102" i="1"/>
  <c r="BC162" i="1"/>
  <c r="CD310" i="1"/>
  <c r="J60" i="1"/>
  <c r="CE143" i="1"/>
  <c r="CD67" i="1"/>
  <c r="CE61" i="1"/>
  <c r="H60" i="1"/>
  <c r="G54" i="1"/>
  <c r="G37" i="1"/>
  <c r="F130" i="1"/>
  <c r="F279" i="1"/>
  <c r="F116" i="1"/>
  <c r="BO169" i="1"/>
  <c r="CD116" i="1"/>
  <c r="BD230" i="1"/>
  <c r="CX147" i="1"/>
  <c r="F310" i="1"/>
  <c r="F160" i="1"/>
  <c r="CE172" i="1"/>
  <c r="F247" i="1"/>
  <c r="G133" i="1"/>
  <c r="BE216" i="1"/>
  <c r="CX222" i="1"/>
  <c r="CD211" i="1"/>
  <c r="F266" i="1"/>
  <c r="F203" i="1"/>
  <c r="CD159" i="1"/>
  <c r="BI222" i="1"/>
  <c r="BD103" i="1"/>
  <c r="CW47" i="1"/>
  <c r="CX234" i="1"/>
  <c r="CD212" i="1"/>
  <c r="CD233" i="1"/>
  <c r="J222" i="1"/>
  <c r="CD104" i="1"/>
  <c r="CD208" i="1"/>
  <c r="F153" i="1"/>
  <c r="BR162" i="1"/>
  <c r="BD328" i="1"/>
  <c r="CE326" i="1"/>
  <c r="BD178" i="1"/>
  <c r="F253" i="1"/>
  <c r="CD201" i="1"/>
  <c r="CD327" i="1"/>
  <c r="G178" i="1"/>
  <c r="CD213" i="1"/>
  <c r="CW103" i="1"/>
  <c r="O16" i="1"/>
  <c r="V147" i="1"/>
  <c r="Q182" i="1"/>
  <c r="CE175" i="1"/>
  <c r="K234" i="1"/>
  <c r="BR147" i="1"/>
  <c r="CD176" i="1"/>
  <c r="AF39" i="1"/>
  <c r="CE103" i="1"/>
  <c r="AF19" i="1"/>
  <c r="G20" i="1"/>
  <c r="CJ229" i="1"/>
  <c r="CJ340" i="1" s="1"/>
  <c r="G83" i="1"/>
  <c r="M229" i="1"/>
  <c r="M340" i="1" s="1"/>
  <c r="AN16" i="1"/>
  <c r="AW229" i="1"/>
  <c r="AW340" i="1" s="1"/>
  <c r="T229" i="1"/>
  <c r="T340" i="1" s="1"/>
  <c r="CD144" i="1"/>
  <c r="CW61" i="1"/>
  <c r="CD36" i="1"/>
  <c r="CH16" i="1"/>
  <c r="CE58" i="1"/>
  <c r="Z16" i="1"/>
  <c r="AD234" i="1"/>
  <c r="G195" i="1"/>
  <c r="F194" i="1"/>
  <c r="CD99" i="1"/>
  <c r="CW334" i="1"/>
  <c r="BD332" i="1"/>
  <c r="F237" i="1"/>
  <c r="F235" i="1"/>
  <c r="CW223" i="1"/>
  <c r="BE108" i="1"/>
  <c r="AF105" i="1"/>
  <c r="CD43" i="1"/>
  <c r="BE102" i="1"/>
  <c r="G52" i="1"/>
  <c r="CN102" i="1"/>
  <c r="CW175" i="1"/>
  <c r="BD193" i="1"/>
  <c r="BE169" i="1"/>
  <c r="G112" i="1"/>
  <c r="CD136" i="1"/>
  <c r="CD183" i="1"/>
  <c r="CD203" i="1"/>
  <c r="CD145" i="1"/>
  <c r="CD107" i="1"/>
  <c r="CD158" i="1"/>
  <c r="CD174" i="1"/>
  <c r="CE185" i="1"/>
  <c r="CD196" i="1"/>
  <c r="F198" i="1"/>
  <c r="CD224" i="1"/>
  <c r="CD35" i="1"/>
  <c r="CD85" i="1"/>
  <c r="BD195" i="1"/>
  <c r="CI222" i="1"/>
  <c r="CX105" i="1"/>
  <c r="CW50" i="1"/>
  <c r="CW191" i="1"/>
  <c r="CD177" i="1"/>
  <c r="Q222" i="1"/>
  <c r="F201" i="1"/>
  <c r="G189" i="1"/>
  <c r="CE178" i="1"/>
  <c r="CE76" i="1"/>
  <c r="F300" i="1"/>
  <c r="F284" i="1"/>
  <c r="F187" i="1"/>
  <c r="CE86" i="1"/>
  <c r="F267" i="1"/>
  <c r="CW118" i="1"/>
  <c r="BI102" i="1"/>
  <c r="CE82" i="1"/>
  <c r="CW76" i="1"/>
  <c r="CD75" i="1"/>
  <c r="F177" i="1"/>
  <c r="CW45" i="1"/>
  <c r="G173" i="1"/>
  <c r="CD146" i="1"/>
  <c r="CD190" i="1"/>
  <c r="CW84" i="1"/>
  <c r="G332" i="1"/>
  <c r="CD335" i="1"/>
  <c r="CE328" i="1"/>
  <c r="CI311" i="1"/>
  <c r="CD295" i="1"/>
  <c r="CD291" i="1"/>
  <c r="V105" i="1"/>
  <c r="CE330" i="1"/>
  <c r="V205" i="1"/>
  <c r="U234" i="1"/>
  <c r="G41" i="1"/>
  <c r="BW229" i="1"/>
  <c r="BW340" i="1" s="1"/>
  <c r="CX114" i="1"/>
  <c r="BF229" i="1"/>
  <c r="BF340" i="1" s="1"/>
  <c r="AF155" i="1"/>
  <c r="BJ229" i="1"/>
  <c r="BJ340" i="1" s="1"/>
  <c r="AJ16" i="1"/>
  <c r="G17" i="1"/>
  <c r="CE17" i="1"/>
  <c r="G68" i="1"/>
  <c r="BD66" i="1"/>
  <c r="CD57" i="1"/>
  <c r="CD55" i="1"/>
  <c r="BD45" i="1"/>
  <c r="CE112" i="1"/>
  <c r="G45" i="1"/>
  <c r="BD17" i="1"/>
  <c r="F53" i="1"/>
  <c r="I169" i="1"/>
  <c r="BR169" i="1"/>
  <c r="CN182" i="1"/>
  <c r="G76" i="1"/>
  <c r="K147" i="1"/>
  <c r="CX162" i="1"/>
  <c r="CE106" i="1"/>
  <c r="G191" i="1"/>
  <c r="CE197" i="1"/>
  <c r="CD53" i="1"/>
  <c r="BD155" i="1"/>
  <c r="F154" i="1"/>
  <c r="BD124" i="1"/>
  <c r="CE205" i="1"/>
  <c r="G170" i="1"/>
  <c r="AA234" i="1"/>
  <c r="AF216" i="1"/>
  <c r="CE332" i="1"/>
  <c r="CN169" i="1"/>
  <c r="CW315" i="1"/>
  <c r="CD184" i="1"/>
  <c r="CI234" i="1"/>
  <c r="BG229" i="1"/>
  <c r="BG340" i="1" s="1"/>
  <c r="AU229" i="1"/>
  <c r="N229" i="1"/>
  <c r="N340" i="1" s="1"/>
  <c r="P147" i="1"/>
  <c r="Q126" i="1"/>
  <c r="AN126" i="1"/>
  <c r="AF65" i="1"/>
  <c r="CN60" i="1"/>
  <c r="V60" i="1"/>
  <c r="CD329" i="1"/>
  <c r="CD98" i="1"/>
  <c r="CF65" i="1"/>
  <c r="BD172" i="1"/>
  <c r="G118" i="1"/>
  <c r="BC234" i="1"/>
  <c r="Z234" i="1"/>
  <c r="G36" i="1"/>
  <c r="CD277" i="1"/>
  <c r="G217" i="1"/>
  <c r="CT229" i="1"/>
  <c r="CT340" i="1" s="1"/>
  <c r="BD326" i="1"/>
  <c r="BD115" i="1"/>
  <c r="CD157" i="1"/>
  <c r="CX311" i="1"/>
  <c r="CW54" i="1"/>
  <c r="F291" i="1"/>
  <c r="CW283" i="1"/>
  <c r="F280" i="1"/>
  <c r="CN105" i="1"/>
  <c r="F186" i="1"/>
  <c r="CD339" i="1"/>
  <c r="CD294" i="1"/>
  <c r="BI311" i="1"/>
  <c r="CD287" i="1"/>
  <c r="CD292" i="1"/>
  <c r="CD300" i="1"/>
  <c r="CD179" i="1"/>
  <c r="BD152" i="1"/>
  <c r="F306" i="1"/>
  <c r="BO105" i="1"/>
  <c r="F313" i="1"/>
  <c r="BD73" i="1"/>
  <c r="CD69" i="1"/>
  <c r="BE65" i="1"/>
  <c r="CE37" i="1"/>
  <c r="F308" i="1"/>
  <c r="BD71" i="1"/>
  <c r="G58" i="1"/>
  <c r="G56" i="1"/>
  <c r="BD52" i="1"/>
  <c r="G312" i="1"/>
  <c r="CD28" i="1"/>
  <c r="J105" i="1"/>
  <c r="CW307" i="1"/>
  <c r="H147" i="1"/>
  <c r="CB16" i="1"/>
  <c r="F262" i="1"/>
  <c r="F224" i="1"/>
  <c r="CD74" i="1"/>
  <c r="CD41" i="1"/>
  <c r="J39" i="1"/>
  <c r="CD90" i="1"/>
  <c r="G84" i="1"/>
  <c r="BD58" i="1"/>
  <c r="CE45" i="1"/>
  <c r="CD207" i="1"/>
  <c r="CD204" i="1"/>
  <c r="F136" i="1"/>
  <c r="F199" i="1"/>
  <c r="CI162" i="1"/>
  <c r="J108" i="1"/>
  <c r="CH126" i="1"/>
  <c r="CD125" i="1"/>
  <c r="BD223" i="1"/>
  <c r="CI126" i="1"/>
  <c r="CD167" i="1"/>
  <c r="CE191" i="1"/>
  <c r="CE78" i="1"/>
  <c r="CN147" i="1"/>
  <c r="CD161" i="1"/>
  <c r="CE180" i="1"/>
  <c r="F192" i="1"/>
  <c r="CX216" i="1"/>
  <c r="L16" i="1"/>
  <c r="CX108" i="1"/>
  <c r="CW139" i="1"/>
  <c r="G103" i="1"/>
  <c r="BE147" i="1"/>
  <c r="F206" i="1"/>
  <c r="G180" i="1"/>
  <c r="F231" i="1"/>
  <c r="F184" i="1"/>
  <c r="BO162" i="1"/>
  <c r="CI147" i="1"/>
  <c r="CE133" i="1"/>
  <c r="CD130" i="1"/>
  <c r="CD121" i="1"/>
  <c r="CE118" i="1"/>
  <c r="BO102" i="1"/>
  <c r="G326" i="1"/>
  <c r="G283" i="1"/>
  <c r="CD62" i="1"/>
  <c r="CD153" i="1"/>
  <c r="CE66" i="1"/>
  <c r="CD142" i="1"/>
  <c r="CD94" i="1"/>
  <c r="BD78" i="1"/>
  <c r="F278" i="1"/>
  <c r="CN108" i="1"/>
  <c r="CD91" i="1"/>
  <c r="G80" i="1"/>
  <c r="CW178" i="1"/>
  <c r="CD154" i="1"/>
  <c r="CD187" i="1"/>
  <c r="J155" i="1"/>
  <c r="CN311" i="1"/>
  <c r="CD206" i="1"/>
  <c r="AF23" i="1"/>
  <c r="BE126" i="1"/>
  <c r="CF169" i="1"/>
  <c r="BE182" i="1"/>
  <c r="F137" i="1"/>
  <c r="BD127" i="1"/>
  <c r="F161" i="1"/>
  <c r="V19" i="1"/>
  <c r="CE89" i="1"/>
  <c r="F225" i="1"/>
  <c r="F218" i="1"/>
  <c r="F181" i="1"/>
  <c r="F327" i="1"/>
  <c r="CE135" i="1"/>
  <c r="CE124" i="1"/>
  <c r="CD83" i="1"/>
  <c r="J172" i="1"/>
  <c r="CF49" i="1"/>
  <c r="BO182" i="1"/>
  <c r="BD185" i="1"/>
  <c r="CW166" i="1"/>
  <c r="F18" i="1"/>
  <c r="G21" i="1"/>
  <c r="CE54" i="1"/>
  <c r="CE223" i="1"/>
  <c r="CE152" i="1"/>
  <c r="CE195" i="1"/>
  <c r="G106" i="1"/>
  <c r="Q108" i="1"/>
  <c r="J49" i="1"/>
  <c r="CD192" i="1"/>
  <c r="CW197" i="1"/>
  <c r="F121" i="1"/>
  <c r="CX182" i="1"/>
  <c r="CI182" i="1"/>
  <c r="G223" i="1"/>
  <c r="F110" i="1"/>
  <c r="CD113" i="1"/>
  <c r="F333" i="1"/>
  <c r="BE88" i="1"/>
  <c r="CD188" i="1"/>
  <c r="H126" i="1"/>
  <c r="F62" i="1"/>
  <c r="F204" i="1"/>
  <c r="F188" i="1"/>
  <c r="CW92" i="1"/>
  <c r="G185" i="1"/>
  <c r="F176" i="1"/>
  <c r="F57" i="1"/>
  <c r="BD135" i="1"/>
  <c r="G61" i="1"/>
  <c r="BI182" i="1"/>
  <c r="F74" i="1"/>
  <c r="CD38" i="1"/>
  <c r="F40" i="1"/>
  <c r="G197" i="1"/>
  <c r="BO314" i="1"/>
  <c r="F174" i="1"/>
  <c r="V126" i="1"/>
  <c r="CE84" i="1"/>
  <c r="F75" i="1"/>
  <c r="CD18" i="1"/>
  <c r="CD59" i="1"/>
  <c r="CE68" i="1"/>
  <c r="F28" i="1"/>
  <c r="F38" i="1"/>
  <c r="BD170" i="1"/>
  <c r="CD160" i="1"/>
  <c r="CD129" i="1"/>
  <c r="V102" i="1"/>
  <c r="CD202" i="1"/>
  <c r="CF256" i="1"/>
  <c r="CD24" i="1"/>
  <c r="CE39" i="1"/>
  <c r="H70" i="1"/>
  <c r="F55" i="1"/>
  <c r="BR197" i="1"/>
  <c r="AF166" i="1"/>
  <c r="CW185" i="1"/>
  <c r="G315" i="1"/>
  <c r="CW172" i="1"/>
  <c r="CW205" i="1"/>
  <c r="F196" i="1"/>
  <c r="BD163" i="1"/>
  <c r="BI314" i="1"/>
  <c r="AH229" i="1"/>
  <c r="AH340" i="1" s="1"/>
  <c r="CQ229" i="1"/>
  <c r="CQ340" i="1" s="1"/>
  <c r="AT229" i="1"/>
  <c r="Y162" i="1"/>
  <c r="F209" i="1"/>
  <c r="V108" i="1"/>
  <c r="BP229" i="1"/>
  <c r="BP340" i="1" s="1"/>
  <c r="CW148" i="1"/>
  <c r="AL126" i="1"/>
  <c r="AY314" i="1"/>
  <c r="BH229" i="1"/>
  <c r="CB229" i="1"/>
  <c r="V114" i="1"/>
  <c r="BD205" i="1"/>
  <c r="BD166" i="1"/>
  <c r="BD76" i="1"/>
  <c r="CW143" i="1"/>
  <c r="CD42" i="1"/>
  <c r="F167" i="1"/>
  <c r="CW152" i="1"/>
  <c r="CH162" i="1"/>
  <c r="CD260" i="1"/>
  <c r="CD313" i="1"/>
  <c r="CE312" i="1"/>
  <c r="CD198" i="1"/>
  <c r="CD325" i="1"/>
  <c r="BR23" i="1"/>
  <c r="H49" i="1"/>
  <c r="CI216" i="1"/>
  <c r="AT162" i="1"/>
  <c r="CC182" i="1"/>
  <c r="G193" i="1"/>
  <c r="H65" i="1"/>
  <c r="CF311" i="1"/>
  <c r="CE315" i="1"/>
  <c r="BD256" i="1"/>
  <c r="BD61" i="1"/>
  <c r="BR189" i="1"/>
  <c r="AF222" i="1"/>
  <c r="Q216" i="1"/>
  <c r="BD106" i="1"/>
  <c r="CD51" i="1"/>
  <c r="CE50" i="1"/>
  <c r="H16" i="1"/>
  <c r="F276" i="1"/>
  <c r="F107" i="1"/>
  <c r="V163" i="1"/>
  <c r="H105" i="1"/>
  <c r="G47" i="1"/>
  <c r="F32" i="1"/>
  <c r="F207" i="1"/>
  <c r="CI60" i="1"/>
  <c r="F59" i="1"/>
  <c r="BD54" i="1"/>
  <c r="V49" i="1"/>
  <c r="F129" i="1"/>
  <c r="H169" i="1"/>
  <c r="CF80" i="1"/>
  <c r="F42" i="1"/>
  <c r="Q39" i="1"/>
  <c r="BR19" i="1"/>
  <c r="AJ126" i="1"/>
  <c r="Q147" i="1"/>
  <c r="J114" i="1"/>
  <c r="BR108" i="1"/>
  <c r="AY229" i="1"/>
  <c r="AY340" i="1" s="1"/>
  <c r="BL229" i="1"/>
  <c r="BL340" i="1" s="1"/>
  <c r="F277" i="1"/>
  <c r="CD44" i="1"/>
  <c r="BX229" i="1"/>
  <c r="BX340" i="1" s="1"/>
  <c r="R229" i="1"/>
  <c r="R340" i="1" s="1"/>
  <c r="G72" i="1"/>
  <c r="AE229" i="1"/>
  <c r="AE340" i="1" s="1"/>
  <c r="G30" i="1"/>
  <c r="BD37" i="1"/>
  <c r="AF49" i="1"/>
  <c r="CE34" i="1"/>
  <c r="G25" i="1"/>
  <c r="CN49" i="1"/>
  <c r="V39" i="1"/>
  <c r="BI49" i="1"/>
  <c r="G78" i="1"/>
  <c r="BO70" i="1"/>
  <c r="F90" i="1"/>
  <c r="Q70" i="1"/>
  <c r="BT229" i="1"/>
  <c r="BT340" i="1" s="1"/>
  <c r="G44" i="1"/>
  <c r="CX314" i="1"/>
  <c r="BD20" i="1"/>
  <c r="BE16" i="1"/>
  <c r="BR60" i="1"/>
  <c r="CI49" i="1"/>
  <c r="F35" i="1"/>
  <c r="AS229" i="1"/>
  <c r="BA229" i="1"/>
  <c r="CN88" i="1"/>
  <c r="CN314" i="1"/>
  <c r="CY229" i="1"/>
  <c r="CY340" i="1" s="1"/>
  <c r="AI16" i="1"/>
  <c r="I229" i="1"/>
  <c r="CD25" i="1"/>
  <c r="CD33" i="1"/>
  <c r="CD218" i="1"/>
  <c r="V169" i="1"/>
  <c r="F331" i="1"/>
  <c r="BS229" i="1"/>
  <c r="BS340" i="1" s="1"/>
  <c r="AZ229" i="1"/>
  <c r="AZ340" i="1" s="1"/>
  <c r="CI70" i="1"/>
  <c r="CE281" i="1"/>
  <c r="AU147" i="1"/>
  <c r="F79" i="1"/>
  <c r="BI60" i="1"/>
  <c r="BM229" i="1"/>
  <c r="BM340" i="1" s="1"/>
  <c r="CV229" i="1"/>
  <c r="AQ229" i="1"/>
  <c r="CF108" i="1"/>
  <c r="BD50" i="1"/>
  <c r="CO234" i="1"/>
  <c r="J256" i="1"/>
  <c r="CD40" i="1"/>
  <c r="Q65" i="1"/>
  <c r="CW39" i="1"/>
  <c r="F103" i="1"/>
  <c r="BE49" i="1"/>
  <c r="BR314" i="1"/>
  <c r="BC114" i="1"/>
  <c r="H182" i="1"/>
  <c r="AF256" i="1"/>
  <c r="BO60" i="1"/>
  <c r="BE70" i="1"/>
  <c r="AC229" i="1"/>
  <c r="CG229" i="1"/>
  <c r="CG340" i="1" s="1"/>
  <c r="L229" i="1"/>
  <c r="CD27" i="1"/>
  <c r="CE30" i="1"/>
  <c r="CN16" i="1"/>
  <c r="BV229" i="1"/>
  <c r="BV340" i="1" s="1"/>
  <c r="CD20" i="1"/>
  <c r="BR49" i="1"/>
  <c r="CD149" i="1"/>
  <c r="Q60" i="1"/>
  <c r="Q314" i="1"/>
  <c r="BN229" i="1"/>
  <c r="BN340" i="1" s="1"/>
  <c r="AO229" i="1"/>
  <c r="CF23" i="1"/>
  <c r="J23" i="1"/>
  <c r="BO49" i="1"/>
  <c r="F26" i="1"/>
  <c r="CE148" i="1"/>
  <c r="BR70" i="1"/>
  <c r="CF182" i="1"/>
  <c r="AF314" i="1"/>
  <c r="G330" i="1"/>
  <c r="H229" i="1"/>
  <c r="V256" i="1"/>
  <c r="G34" i="1"/>
  <c r="V314" i="1"/>
  <c r="AC182" i="1"/>
  <c r="AC340" i="1" s="1"/>
  <c r="CE81" i="1"/>
  <c r="AX229" i="1"/>
  <c r="AX340" i="1" s="1"/>
  <c r="AG229" i="1"/>
  <c r="AG340" i="1" s="1"/>
  <c r="I147" i="1"/>
  <c r="P16" i="1"/>
  <c r="F24" i="1"/>
  <c r="BD56" i="1"/>
  <c r="CX60" i="1"/>
  <c r="BI88" i="1"/>
  <c r="BE314" i="1"/>
  <c r="AF88" i="1"/>
  <c r="J126" i="1"/>
  <c r="F259" i="1"/>
  <c r="CD22" i="1"/>
  <c r="F150" i="1"/>
  <c r="CF60" i="1"/>
  <c r="BD47" i="1"/>
  <c r="CW86" i="1"/>
  <c r="BD143" i="1"/>
  <c r="BD141" i="1"/>
  <c r="Q88" i="1"/>
  <c r="BD86" i="1"/>
  <c r="J88" i="1"/>
  <c r="F211" i="1"/>
  <c r="J65" i="1"/>
  <c r="BO16" i="1"/>
  <c r="BD39" i="1"/>
  <c r="CX126" i="1"/>
  <c r="BO126" i="1"/>
  <c r="BI126" i="1"/>
  <c r="F91" i="1"/>
  <c r="BD89" i="1"/>
  <c r="CE217" i="1"/>
  <c r="F208" i="1"/>
  <c r="CD96" i="1"/>
  <c r="CF88" i="1"/>
  <c r="F77" i="1"/>
  <c r="F275" i="1"/>
  <c r="F210" i="1"/>
  <c r="F268" i="1"/>
  <c r="CD259" i="1"/>
  <c r="F151" i="1"/>
  <c r="BD139" i="1"/>
  <c r="F33" i="1"/>
  <c r="CM314" i="1"/>
  <c r="BI169" i="1"/>
  <c r="CO162" i="1"/>
  <c r="H162" i="1"/>
  <c r="BI108" i="1"/>
  <c r="BC60" i="1"/>
  <c r="AV229" i="1"/>
  <c r="AV340" i="1" s="1"/>
  <c r="AM229" i="1"/>
  <c r="AM340" i="1" s="1"/>
  <c r="G252" i="1"/>
  <c r="CW131" i="1"/>
  <c r="CC229" i="1"/>
  <c r="BU229" i="1"/>
  <c r="BU340" i="1" s="1"/>
  <c r="CE156" i="1"/>
  <c r="CF155" i="1"/>
  <c r="AK126" i="1"/>
  <c r="AK340" i="1" s="1"/>
  <c r="I126" i="1"/>
  <c r="BI114" i="1"/>
  <c r="BI105" i="1"/>
  <c r="CX65" i="1"/>
  <c r="G141" i="1"/>
  <c r="BO88" i="1"/>
  <c r="V88" i="1"/>
  <c r="CX88" i="1"/>
  <c r="BD68" i="1"/>
  <c r="F269" i="1"/>
  <c r="BD148" i="1"/>
  <c r="CD26" i="1"/>
  <c r="F22" i="1"/>
  <c r="S234" i="1"/>
  <c r="CD273" i="1"/>
  <c r="G215" i="1"/>
  <c r="L70" i="1"/>
  <c r="BD202" i="1"/>
  <c r="AB234" i="1"/>
  <c r="J166" i="1"/>
  <c r="I162" i="1"/>
  <c r="I16" i="1"/>
  <c r="CD151" i="1"/>
  <c r="CD150" i="1"/>
  <c r="CF114" i="1"/>
  <c r="BR102" i="1"/>
  <c r="CN65" i="1"/>
  <c r="CW56" i="1"/>
  <c r="CV314" i="1"/>
  <c r="AP229" i="1"/>
  <c r="AP340" i="1" s="1"/>
  <c r="J216" i="1"/>
  <c r="BR114" i="1"/>
  <c r="CW106" i="1"/>
  <c r="CN70" i="1"/>
  <c r="V71" i="1"/>
  <c r="CH234" i="1"/>
  <c r="CF163" i="1"/>
  <c r="CE164" i="1"/>
  <c r="AF163" i="1"/>
  <c r="G281" i="1"/>
  <c r="Q163" i="1"/>
  <c r="I105" i="1"/>
  <c r="CI169" i="1"/>
  <c r="O147" i="1"/>
  <c r="BO114" i="1"/>
  <c r="BO108" i="1"/>
  <c r="Q102" i="1"/>
  <c r="CW82" i="1"/>
  <c r="BO65" i="1"/>
  <c r="CW37" i="1"/>
  <c r="CZ229" i="1"/>
  <c r="CZ340" i="1" s="1"/>
  <c r="AF182" i="1"/>
  <c r="BO216" i="1"/>
  <c r="CW68" i="1"/>
  <c r="BI65" i="1"/>
  <c r="CW73" i="1"/>
  <c r="BI162" i="1"/>
  <c r="CI88" i="1"/>
  <c r="CW135" i="1"/>
  <c r="CW63" i="1"/>
  <c r="F96" i="1"/>
  <c r="CD32" i="1"/>
  <c r="CD29" i="1"/>
  <c r="F213" i="1"/>
  <c r="CW23" i="1"/>
  <c r="F132" i="1"/>
  <c r="Q49" i="1"/>
  <c r="CI16" i="1"/>
  <c r="CW89" i="1"/>
  <c r="BR65" i="1"/>
  <c r="CF216" i="1"/>
  <c r="F257" i="1"/>
  <c r="CD95" i="1"/>
  <c r="BR88" i="1"/>
  <c r="CD31" i="1"/>
  <c r="F265" i="1"/>
  <c r="F212" i="1"/>
  <c r="J314" i="1"/>
  <c r="CX70" i="1"/>
  <c r="BD217" i="1"/>
  <c r="G282" i="1"/>
  <c r="CD267" i="1"/>
  <c r="BD63" i="1"/>
  <c r="BD180" i="1"/>
  <c r="CD21" i="1"/>
  <c r="CE19" i="1"/>
  <c r="BD315" i="1"/>
  <c r="CM229" i="1"/>
  <c r="CM340" i="1" s="1"/>
  <c r="BY229" i="1"/>
  <c r="BY340" i="1" s="1"/>
  <c r="CW141" i="1"/>
  <c r="CD132" i="1"/>
  <c r="CI114" i="1"/>
  <c r="Q114" i="1"/>
  <c r="AF108" i="1"/>
  <c r="Q105" i="1"/>
  <c r="G66" i="1"/>
  <c r="BD131" i="1"/>
  <c r="BR126" i="1"/>
  <c r="F158" i="1"/>
  <c r="G73" i="1"/>
  <c r="BI16" i="1"/>
  <c r="BO147" i="1"/>
  <c r="F98" i="1"/>
  <c r="F31" i="1"/>
  <c r="F263" i="1"/>
  <c r="F214" i="1"/>
  <c r="F146" i="1"/>
  <c r="CW80" i="1"/>
  <c r="CW71" i="1"/>
  <c r="AJ162" i="1"/>
  <c r="CB182" i="1"/>
  <c r="AI162" i="1"/>
  <c r="CN166" i="1"/>
  <c r="CE168" i="1"/>
  <c r="AL234" i="1"/>
  <c r="G165" i="1"/>
  <c r="I70" i="1"/>
  <c r="CW155" i="1"/>
  <c r="AF135" i="1"/>
  <c r="G138" i="1"/>
  <c r="CX102" i="1"/>
  <c r="AF102" i="1"/>
  <c r="AF71" i="1"/>
  <c r="CW66" i="1"/>
  <c r="CA229" i="1"/>
  <c r="CA340" i="1" s="1"/>
  <c r="V222" i="1"/>
  <c r="CW124" i="1"/>
  <c r="BR105" i="1"/>
  <c r="J82" i="1"/>
  <c r="CI65" i="1"/>
  <c r="CE282" i="1"/>
  <c r="BD200" i="1"/>
  <c r="BH114" i="1"/>
  <c r="BH340" i="1" s="1"/>
  <c r="Y234" i="1"/>
  <c r="U162" i="1"/>
  <c r="I60" i="1"/>
  <c r="I49" i="1"/>
  <c r="BZ229" i="1"/>
  <c r="BZ340" i="1" s="1"/>
  <c r="Q169" i="1"/>
  <c r="G156" i="1"/>
  <c r="CN114" i="1"/>
  <c r="CI102" i="1"/>
  <c r="V65" i="1"/>
  <c r="V23" i="1"/>
  <c r="CW17" i="1"/>
  <c r="F325" i="1"/>
  <c r="V216" i="1"/>
  <c r="BE60" i="1"/>
  <c r="F29" i="1"/>
  <c r="CW127" i="1"/>
  <c r="CD138" i="1"/>
  <c r="F27" i="1"/>
  <c r="CI314" i="1"/>
  <c r="CF314" i="1"/>
  <c r="CD331" i="1"/>
  <c r="AI234" i="1"/>
  <c r="CD261" i="1"/>
  <c r="P234" i="1"/>
  <c r="O234" i="1"/>
  <c r="F183" i="1"/>
  <c r="CN234" i="1"/>
  <c r="CD270" i="1"/>
  <c r="AK229" i="1"/>
  <c r="AJ234" i="1"/>
  <c r="X234" i="1"/>
  <c r="W234" i="1"/>
  <c r="F261" i="1"/>
  <c r="F260" i="1"/>
  <c r="F171" i="1"/>
  <c r="AF169" i="1"/>
  <c r="CN126" i="1"/>
  <c r="CD134" i="1"/>
  <c r="F134" i="1"/>
  <c r="G164" i="1"/>
  <c r="J163" i="1"/>
  <c r="BD112" i="1"/>
  <c r="F113" i="1"/>
  <c r="O162" i="1"/>
  <c r="AF63" i="1"/>
  <c r="G64" i="1"/>
  <c r="BD84" i="1"/>
  <c r="F85" i="1"/>
  <c r="CX49" i="1"/>
  <c r="Q256" i="1"/>
  <c r="G232" i="1"/>
  <c r="F233" i="1"/>
  <c r="CE71" i="1"/>
  <c r="CD72" i="1"/>
  <c r="CE47" i="1"/>
  <c r="CD48" i="1"/>
  <c r="F142" i="1"/>
  <c r="BD92" i="1"/>
  <c r="F140" i="1"/>
  <c r="F95" i="1"/>
  <c r="F94" i="1"/>
  <c r="BD119" i="1"/>
  <c r="BE118" i="1"/>
  <c r="CW58" i="1"/>
  <c r="CW19" i="1"/>
  <c r="CX16" i="1"/>
  <c r="F99" i="1"/>
  <c r="F335" i="1"/>
  <c r="BD334" i="1"/>
  <c r="G338" i="1"/>
  <c r="F339" i="1"/>
  <c r="CE63" i="1"/>
  <c r="CD64" i="1"/>
  <c r="F51" i="1"/>
  <c r="G50" i="1"/>
  <c r="F48" i="1"/>
  <c r="CE139" i="1"/>
  <c r="CD140" i="1"/>
  <c r="F144" i="1"/>
  <c r="G86" i="1"/>
  <c r="F87" i="1"/>
  <c r="BD80" i="1"/>
  <c r="F81" i="1"/>
  <c r="F69" i="1"/>
  <c r="G143" i="1"/>
  <c r="CE92" i="1"/>
  <c r="CD93" i="1"/>
  <c r="BD82" i="1"/>
  <c r="G92" i="1"/>
  <c r="F93" i="1"/>
  <c r="BI70" i="1"/>
  <c r="G89" i="1"/>
  <c r="G148" i="1"/>
  <c r="F149" i="1"/>
  <c r="F128" i="1"/>
  <c r="G127" i="1"/>
  <c r="F67" i="1"/>
  <c r="CV340" i="1" l="1"/>
  <c r="AO340" i="1"/>
  <c r="CC340" i="1"/>
  <c r="AT340" i="1"/>
  <c r="AS340" i="1"/>
  <c r="AU340" i="1"/>
  <c r="I340" i="1"/>
  <c r="AN340" i="1"/>
  <c r="AQ340" i="1"/>
  <c r="BA340" i="1"/>
  <c r="H340" i="1"/>
  <c r="L340" i="1"/>
  <c r="CB340" i="1"/>
  <c r="CD120" i="1"/>
  <c r="F109" i="1"/>
  <c r="F120" i="1"/>
  <c r="CD109" i="1"/>
  <c r="F36" i="1"/>
  <c r="BO229" i="1"/>
  <c r="BO340" i="1" s="1"/>
  <c r="CD86" i="1"/>
  <c r="CD78" i="1"/>
  <c r="CD118" i="1"/>
  <c r="G124" i="1"/>
  <c r="G105" i="1"/>
  <c r="CF126" i="1"/>
  <c r="F43" i="1"/>
  <c r="AF114" i="1"/>
  <c r="F125" i="1"/>
  <c r="CD180" i="1"/>
  <c r="CD76" i="1"/>
  <c r="F54" i="1"/>
  <c r="CD112" i="1"/>
  <c r="G102" i="1"/>
  <c r="CD52" i="1"/>
  <c r="F52" i="1"/>
  <c r="G172" i="1"/>
  <c r="F133" i="1"/>
  <c r="CD66" i="1"/>
  <c r="F190" i="1"/>
  <c r="F336" i="1"/>
  <c r="F178" i="1"/>
  <c r="CD338" i="1"/>
  <c r="BD311" i="1"/>
  <c r="CD334" i="1"/>
  <c r="CD336" i="1"/>
  <c r="CD30" i="1"/>
  <c r="F56" i="1"/>
  <c r="F332" i="1"/>
  <c r="E181" i="1"/>
  <c r="CE131" i="1"/>
  <c r="F230" i="1"/>
  <c r="CE105" i="1"/>
  <c r="CE102" i="1"/>
  <c r="CD103" i="1"/>
  <c r="F168" i="1"/>
  <c r="CD170" i="1"/>
  <c r="BD189" i="1"/>
  <c r="E36" i="1"/>
  <c r="E159" i="1"/>
  <c r="CE114" i="1"/>
  <c r="F175" i="1"/>
  <c r="CD89" i="1"/>
  <c r="CD172" i="1"/>
  <c r="E206" i="1"/>
  <c r="E308" i="1"/>
  <c r="E265" i="1"/>
  <c r="BI229" i="1"/>
  <c r="BI340" i="1" s="1"/>
  <c r="BR229" i="1"/>
  <c r="E274" i="1"/>
  <c r="F309" i="1"/>
  <c r="E264" i="1"/>
  <c r="CD326" i="1"/>
  <c r="CW311" i="1"/>
  <c r="E247" i="1"/>
  <c r="E242" i="1"/>
  <c r="CX229" i="1"/>
  <c r="CX340" i="1" s="1"/>
  <c r="E295" i="1"/>
  <c r="E296" i="1"/>
  <c r="E287" i="1"/>
  <c r="E327" i="1"/>
  <c r="E271" i="1"/>
  <c r="CD307" i="1"/>
  <c r="CD230" i="1"/>
  <c r="CI229" i="1"/>
  <c r="CI340" i="1" s="1"/>
  <c r="BC229" i="1"/>
  <c r="BC340" i="1" s="1"/>
  <c r="AD229" i="1"/>
  <c r="AD340" i="1" s="1"/>
  <c r="E337" i="1"/>
  <c r="E278" i="1"/>
  <c r="E289" i="1"/>
  <c r="E293" i="1"/>
  <c r="E199" i="1"/>
  <c r="E218" i="1"/>
  <c r="F191" i="1"/>
  <c r="CE169" i="1"/>
  <c r="E272" i="1"/>
  <c r="E153" i="1"/>
  <c r="F185" i="1"/>
  <c r="J147" i="1"/>
  <c r="E187" i="1"/>
  <c r="BE229" i="1"/>
  <c r="E130" i="1"/>
  <c r="E129" i="1"/>
  <c r="F115" i="1"/>
  <c r="F223" i="1"/>
  <c r="E231" i="1"/>
  <c r="AA229" i="1"/>
  <c r="AA340" i="1" s="1"/>
  <c r="E184" i="1"/>
  <c r="E262" i="1"/>
  <c r="E329" i="1"/>
  <c r="CE222" i="1"/>
  <c r="CW216" i="1"/>
  <c r="E157" i="1"/>
  <c r="CD193" i="1"/>
  <c r="E258" i="1"/>
  <c r="CW314" i="1"/>
  <c r="K229" i="1"/>
  <c r="K340" i="1" s="1"/>
  <c r="E291" i="1"/>
  <c r="CW108" i="1"/>
  <c r="CD152" i="1"/>
  <c r="G131" i="1"/>
  <c r="F217" i="1"/>
  <c r="E225" i="1"/>
  <c r="E310" i="1"/>
  <c r="F326" i="1"/>
  <c r="BD102" i="1"/>
  <c r="CW162" i="1"/>
  <c r="CE182" i="1"/>
  <c r="CD115" i="1"/>
  <c r="E116" i="1"/>
  <c r="CW222" i="1"/>
  <c r="CD332" i="1"/>
  <c r="E292" i="1"/>
  <c r="G82" i="1"/>
  <c r="BD222" i="1"/>
  <c r="E266" i="1"/>
  <c r="E110" i="1"/>
  <c r="F328" i="1"/>
  <c r="E253" i="1"/>
  <c r="E204" i="1"/>
  <c r="J169" i="1"/>
  <c r="CW234" i="1"/>
  <c r="CW102" i="1"/>
  <c r="E74" i="1"/>
  <c r="CD309" i="1"/>
  <c r="E192" i="1"/>
  <c r="E57" i="1"/>
  <c r="CE314" i="1"/>
  <c r="F83" i="1"/>
  <c r="CD232" i="1"/>
  <c r="U229" i="1"/>
  <c r="U340" i="1" s="1"/>
  <c r="E279" i="1"/>
  <c r="V182" i="1"/>
  <c r="E136" i="1"/>
  <c r="E104" i="1"/>
  <c r="E284" i="1"/>
  <c r="E177" i="1"/>
  <c r="CD175" i="1"/>
  <c r="E235" i="1"/>
  <c r="CD195" i="1"/>
  <c r="E179" i="1"/>
  <c r="CD106" i="1"/>
  <c r="F41" i="1"/>
  <c r="E145" i="1"/>
  <c r="E53" i="1"/>
  <c r="CD330" i="1"/>
  <c r="F180" i="1"/>
  <c r="CD56" i="1"/>
  <c r="AF16" i="1"/>
  <c r="AF147" i="1"/>
  <c r="CD82" i="1"/>
  <c r="E294" i="1"/>
  <c r="CD143" i="1"/>
  <c r="E194" i="1"/>
  <c r="G216" i="1"/>
  <c r="E224" i="1"/>
  <c r="E154" i="1"/>
  <c r="F152" i="1"/>
  <c r="E137" i="1"/>
  <c r="F193" i="1"/>
  <c r="F283" i="1"/>
  <c r="E186" i="1"/>
  <c r="E201" i="1"/>
  <c r="CD124" i="1"/>
  <c r="CD178" i="1"/>
  <c r="E203" i="1"/>
  <c r="E300" i="1"/>
  <c r="CD223" i="1"/>
  <c r="CD73" i="1"/>
  <c r="CD205" i="1"/>
  <c r="E237" i="1"/>
  <c r="E161" i="1"/>
  <c r="E188" i="1"/>
  <c r="Z229" i="1"/>
  <c r="Z340" i="1" s="1"/>
  <c r="CD283" i="1"/>
  <c r="G108" i="1"/>
  <c r="CE108" i="1"/>
  <c r="E306" i="1"/>
  <c r="F21" i="1"/>
  <c r="G19" i="1"/>
  <c r="F17" i="1"/>
  <c r="F45" i="1"/>
  <c r="E171" i="1"/>
  <c r="G155" i="1"/>
  <c r="BD169" i="1"/>
  <c r="G205" i="1"/>
  <c r="F44" i="1"/>
  <c r="F25" i="1"/>
  <c r="CD34" i="1"/>
  <c r="G71" i="1"/>
  <c r="E277" i="1"/>
  <c r="F58" i="1"/>
  <c r="CE49" i="1"/>
  <c r="F195" i="1"/>
  <c r="CW169" i="1"/>
  <c r="E55" i="1"/>
  <c r="CD127" i="1"/>
  <c r="F37" i="1"/>
  <c r="CE65" i="1"/>
  <c r="E18" i="1"/>
  <c r="E174" i="1"/>
  <c r="E62" i="1"/>
  <c r="E333" i="1"/>
  <c r="CD141" i="1"/>
  <c r="CD61" i="1"/>
  <c r="CD133" i="1"/>
  <c r="F307" i="1"/>
  <c r="CD68" i="1"/>
  <c r="E142" i="1"/>
  <c r="F76" i="1"/>
  <c r="CE80" i="1"/>
  <c r="V234" i="1"/>
  <c r="CF16" i="1"/>
  <c r="AF234" i="1"/>
  <c r="J234" i="1"/>
  <c r="F78" i="1"/>
  <c r="CD217" i="1"/>
  <c r="F20" i="1"/>
  <c r="E90" i="1"/>
  <c r="E207" i="1"/>
  <c r="F106" i="1"/>
  <c r="BD234" i="1"/>
  <c r="E209" i="1"/>
  <c r="CF234" i="1"/>
  <c r="E160" i="1"/>
  <c r="E28" i="1"/>
  <c r="CD58" i="1"/>
  <c r="F73" i="1"/>
  <c r="CD37" i="1"/>
  <c r="E176" i="1"/>
  <c r="CD185" i="1"/>
  <c r="G222" i="1"/>
  <c r="CD191" i="1"/>
  <c r="CD45" i="1"/>
  <c r="G311" i="1"/>
  <c r="F312" i="1"/>
  <c r="E280" i="1"/>
  <c r="CD54" i="1"/>
  <c r="CD328" i="1"/>
  <c r="CD189" i="1"/>
  <c r="F173" i="1"/>
  <c r="CD84" i="1"/>
  <c r="E121" i="1"/>
  <c r="F61" i="1"/>
  <c r="CD197" i="1"/>
  <c r="E107" i="1"/>
  <c r="E196" i="1"/>
  <c r="E38" i="1"/>
  <c r="G23" i="1"/>
  <c r="CE23" i="1"/>
  <c r="F89" i="1"/>
  <c r="E59" i="1"/>
  <c r="CD81" i="1"/>
  <c r="BD162" i="1"/>
  <c r="CW182" i="1"/>
  <c r="BD197" i="1"/>
  <c r="E26" i="1"/>
  <c r="E75" i="1"/>
  <c r="CD148" i="1"/>
  <c r="BR16" i="1"/>
  <c r="G256" i="1"/>
  <c r="E77" i="1"/>
  <c r="F72" i="1"/>
  <c r="CD17" i="1"/>
  <c r="E167" i="1"/>
  <c r="G39" i="1"/>
  <c r="BD23" i="1"/>
  <c r="BD126" i="1"/>
  <c r="CD315" i="1"/>
  <c r="BD19" i="1"/>
  <c r="J16" i="1"/>
  <c r="BR182" i="1"/>
  <c r="F102" i="1"/>
  <c r="Q16" i="1"/>
  <c r="CD312" i="1"/>
  <c r="E313" i="1"/>
  <c r="E276" i="1"/>
  <c r="CD50" i="1"/>
  <c r="CF70" i="1"/>
  <c r="E198" i="1"/>
  <c r="V162" i="1"/>
  <c r="BD105" i="1"/>
  <c r="CE311" i="1"/>
  <c r="AF126" i="1"/>
  <c r="F330" i="1"/>
  <c r="E42" i="1"/>
  <c r="F30" i="1"/>
  <c r="E35" i="1"/>
  <c r="E79" i="1"/>
  <c r="E96" i="1"/>
  <c r="E259" i="1"/>
  <c r="E31" i="1"/>
  <c r="CO229" i="1"/>
  <c r="CO340" i="1" s="1"/>
  <c r="CD281" i="1"/>
  <c r="F139" i="1"/>
  <c r="E24" i="1"/>
  <c r="F34" i="1"/>
  <c r="E140" i="1"/>
  <c r="CD39" i="1"/>
  <c r="E40" i="1"/>
  <c r="BD49" i="1"/>
  <c r="BD314" i="1"/>
  <c r="E99" i="1"/>
  <c r="BE114" i="1"/>
  <c r="BE340" i="1" s="1"/>
  <c r="E94" i="1"/>
  <c r="J162" i="1"/>
  <c r="E325" i="1"/>
  <c r="F156" i="1"/>
  <c r="F200" i="1"/>
  <c r="CW114" i="1"/>
  <c r="AL229" i="1"/>
  <c r="AL340" i="1" s="1"/>
  <c r="BD60" i="1"/>
  <c r="BD216" i="1"/>
  <c r="J70" i="1"/>
  <c r="E132" i="1"/>
  <c r="CF162" i="1"/>
  <c r="E273" i="1"/>
  <c r="CE256" i="1"/>
  <c r="E22" i="1"/>
  <c r="BD147" i="1"/>
  <c r="E269" i="1"/>
  <c r="BD65" i="1"/>
  <c r="CF147" i="1"/>
  <c r="E275" i="1"/>
  <c r="E267" i="1"/>
  <c r="V16" i="1"/>
  <c r="G49" i="1"/>
  <c r="G314" i="1"/>
  <c r="F315" i="1"/>
  <c r="CD71" i="1"/>
  <c r="BD108" i="1"/>
  <c r="CD92" i="1"/>
  <c r="E144" i="1"/>
  <c r="CD63" i="1"/>
  <c r="CW16" i="1"/>
  <c r="E95" i="1"/>
  <c r="BD88" i="1"/>
  <c r="F141" i="1"/>
  <c r="CD47" i="1"/>
  <c r="Y229" i="1"/>
  <c r="Y340" i="1" s="1"/>
  <c r="F165" i="1"/>
  <c r="CD168" i="1"/>
  <c r="CE166" i="1"/>
  <c r="E146" i="1"/>
  <c r="E263" i="1"/>
  <c r="E98" i="1"/>
  <c r="CW147" i="1"/>
  <c r="E158" i="1"/>
  <c r="AF70" i="1"/>
  <c r="E257" i="1"/>
  <c r="E29" i="1"/>
  <c r="Q162" i="1"/>
  <c r="AF162" i="1"/>
  <c r="F202" i="1"/>
  <c r="CE155" i="1"/>
  <c r="CD156" i="1"/>
  <c r="E268" i="1"/>
  <c r="F66" i="1"/>
  <c r="CE88" i="1"/>
  <c r="CD139" i="1"/>
  <c r="CE60" i="1"/>
  <c r="AF60" i="1"/>
  <c r="CW126" i="1"/>
  <c r="CD282" i="1"/>
  <c r="G135" i="1"/>
  <c r="F138" i="1"/>
  <c r="CN162" i="1"/>
  <c r="CD19" i="1"/>
  <c r="F282" i="1"/>
  <c r="CW88" i="1"/>
  <c r="CH229" i="1"/>
  <c r="CH340" i="1" s="1"/>
  <c r="V70" i="1"/>
  <c r="CW105" i="1"/>
  <c r="AB229" i="1"/>
  <c r="AB340" i="1" s="1"/>
  <c r="F215" i="1"/>
  <c r="S229" i="1"/>
  <c r="S340" i="1" s="1"/>
  <c r="E33" i="1"/>
  <c r="E151" i="1"/>
  <c r="E210" i="1"/>
  <c r="CE216" i="1"/>
  <c r="E211" i="1"/>
  <c r="CW70" i="1"/>
  <c r="E150" i="1"/>
  <c r="CW49" i="1"/>
  <c r="CW65" i="1"/>
  <c r="E214" i="1"/>
  <c r="G65" i="1"/>
  <c r="E212" i="1"/>
  <c r="E213" i="1"/>
  <c r="E32" i="1"/>
  <c r="CW60" i="1"/>
  <c r="F281" i="1"/>
  <c r="CD164" i="1"/>
  <c r="CE163" i="1"/>
  <c r="G166" i="1"/>
  <c r="F252" i="1"/>
  <c r="E208" i="1"/>
  <c r="E91" i="1"/>
  <c r="CD135" i="1"/>
  <c r="E27" i="1"/>
  <c r="E331" i="1"/>
  <c r="AI229" i="1"/>
  <c r="AI340" i="1" s="1"/>
  <c r="Q234" i="1"/>
  <c r="P229" i="1"/>
  <c r="P340" i="1" s="1"/>
  <c r="O229" i="1"/>
  <c r="O340" i="1" s="1"/>
  <c r="E183" i="1"/>
  <c r="E270" i="1"/>
  <c r="CN229" i="1"/>
  <c r="AJ229" i="1"/>
  <c r="AJ340" i="1" s="1"/>
  <c r="X229" i="1"/>
  <c r="X340" i="1" s="1"/>
  <c r="W229" i="1"/>
  <c r="W340" i="1" s="1"/>
  <c r="E261" i="1"/>
  <c r="E260" i="1"/>
  <c r="F170" i="1"/>
  <c r="E134" i="1"/>
  <c r="F112" i="1"/>
  <c r="E113" i="1"/>
  <c r="F84" i="1"/>
  <c r="E85" i="1"/>
  <c r="G63" i="1"/>
  <c r="F64" i="1"/>
  <c r="F164" i="1"/>
  <c r="G163" i="1"/>
  <c r="E233" i="1"/>
  <c r="F232" i="1"/>
  <c r="F143" i="1"/>
  <c r="F119" i="1"/>
  <c r="BD118" i="1"/>
  <c r="G88" i="1"/>
  <c r="BD70" i="1"/>
  <c r="E335" i="1"/>
  <c r="F334" i="1"/>
  <c r="E339" i="1"/>
  <c r="F338" i="1"/>
  <c r="F92" i="1"/>
  <c r="E93" i="1"/>
  <c r="E69" i="1"/>
  <c r="F68" i="1"/>
  <c r="F80" i="1"/>
  <c r="F86" i="1"/>
  <c r="E87" i="1"/>
  <c r="F47" i="1"/>
  <c r="E48" i="1"/>
  <c r="F50" i="1"/>
  <c r="E51" i="1"/>
  <c r="E149" i="1"/>
  <c r="F148" i="1"/>
  <c r="E128" i="1"/>
  <c r="F127" i="1"/>
  <c r="E67" i="1"/>
  <c r="CN340" i="1" l="1"/>
  <c r="BR340" i="1"/>
  <c r="AF340" i="1"/>
  <c r="E120" i="1"/>
  <c r="E109" i="1"/>
  <c r="E217" i="1"/>
  <c r="E21" i="1"/>
  <c r="E43" i="1"/>
  <c r="CD108" i="1"/>
  <c r="E125" i="1"/>
  <c r="G114" i="1"/>
  <c r="F124" i="1"/>
  <c r="F131" i="1"/>
  <c r="E190" i="1"/>
  <c r="CE126" i="1"/>
  <c r="G169" i="1"/>
  <c r="CD23" i="1"/>
  <c r="E180" i="1"/>
  <c r="CD102" i="1"/>
  <c r="F19" i="1"/>
  <c r="E25" i="1"/>
  <c r="G147" i="1"/>
  <c r="CW229" i="1"/>
  <c r="CW340" i="1" s="1"/>
  <c r="F172" i="1"/>
  <c r="E133" i="1"/>
  <c r="E52" i="1"/>
  <c r="E178" i="1"/>
  <c r="E103" i="1"/>
  <c r="F82" i="1"/>
  <c r="E307" i="1"/>
  <c r="F189" i="1"/>
  <c r="E83" i="1"/>
  <c r="CD114" i="1"/>
  <c r="E336" i="1"/>
  <c r="E326" i="1"/>
  <c r="E223" i="1"/>
  <c r="F222" i="1"/>
  <c r="E185" i="1"/>
  <c r="E309" i="1"/>
  <c r="CD222" i="1"/>
  <c r="E170" i="1"/>
  <c r="CF229" i="1"/>
  <c r="CF340" i="1" s="1"/>
  <c r="G182" i="1"/>
  <c r="E328" i="1"/>
  <c r="E191" i="1"/>
  <c r="E230" i="1"/>
  <c r="E115" i="1"/>
  <c r="CD131" i="1"/>
  <c r="V229" i="1"/>
  <c r="V340" i="1" s="1"/>
  <c r="AF229" i="1"/>
  <c r="E193" i="1"/>
  <c r="CD169" i="1"/>
  <c r="E283" i="1"/>
  <c r="E141" i="1"/>
  <c r="F216" i="1"/>
  <c r="G70" i="1"/>
  <c r="E56" i="1"/>
  <c r="F39" i="1"/>
  <c r="E41" i="1"/>
  <c r="E152" i="1"/>
  <c r="CD105" i="1"/>
  <c r="G234" i="1"/>
  <c r="J229" i="1"/>
  <c r="J340" i="1" s="1"/>
  <c r="E44" i="1"/>
  <c r="CD65" i="1"/>
  <c r="CD216" i="1"/>
  <c r="CE70" i="1"/>
  <c r="E37" i="1"/>
  <c r="E20" i="1"/>
  <c r="E139" i="1"/>
  <c r="E78" i="1"/>
  <c r="CD314" i="1"/>
  <c r="E76" i="1"/>
  <c r="E175" i="1"/>
  <c r="CD80" i="1"/>
  <c r="E106" i="1"/>
  <c r="F311" i="1"/>
  <c r="E45" i="1"/>
  <c r="E30" i="1"/>
  <c r="E72" i="1"/>
  <c r="E73" i="1"/>
  <c r="BD182" i="1"/>
  <c r="E58" i="1"/>
  <c r="CE16" i="1"/>
  <c r="E195" i="1"/>
  <c r="CD182" i="1"/>
  <c r="E173" i="1"/>
  <c r="BD229" i="1"/>
  <c r="F105" i="1"/>
  <c r="E332" i="1"/>
  <c r="E61" i="1"/>
  <c r="E17" i="1"/>
  <c r="E54" i="1"/>
  <c r="E81" i="1"/>
  <c r="G16" i="1"/>
  <c r="F71" i="1"/>
  <c r="BD16" i="1"/>
  <c r="CD49" i="1"/>
  <c r="E312" i="1"/>
  <c r="CD311" i="1"/>
  <c r="G126" i="1"/>
  <c r="CD256" i="1"/>
  <c r="E34" i="1"/>
  <c r="F23" i="1"/>
  <c r="F256" i="1"/>
  <c r="F65" i="1"/>
  <c r="CD163" i="1"/>
  <c r="E50" i="1"/>
  <c r="E338" i="1"/>
  <c r="G162" i="1"/>
  <c r="F49" i="1"/>
  <c r="E68" i="1"/>
  <c r="F88" i="1"/>
  <c r="BD114" i="1"/>
  <c r="E281" i="1"/>
  <c r="CD60" i="1"/>
  <c r="CD88" i="1"/>
  <c r="CE234" i="1"/>
  <c r="E148" i="1"/>
  <c r="F314" i="1"/>
  <c r="E252" i="1"/>
  <c r="E47" i="1"/>
  <c r="E315" i="1"/>
  <c r="E66" i="1"/>
  <c r="E127" i="1"/>
  <c r="E86" i="1"/>
  <c r="E334" i="1"/>
  <c r="E232" i="1"/>
  <c r="E112" i="1"/>
  <c r="CE162" i="1"/>
  <c r="E215" i="1"/>
  <c r="F205" i="1"/>
  <c r="E282" i="1"/>
  <c r="E202" i="1"/>
  <c r="E156" i="1"/>
  <c r="F155" i="1"/>
  <c r="E143" i="1"/>
  <c r="F108" i="1"/>
  <c r="F135" i="1"/>
  <c r="E138" i="1"/>
  <c r="CD155" i="1"/>
  <c r="CD166" i="1"/>
  <c r="E168" i="1"/>
  <c r="E200" i="1"/>
  <c r="F197" i="1"/>
  <c r="G60" i="1"/>
  <c r="E92" i="1"/>
  <c r="E84" i="1"/>
  <c r="F166" i="1"/>
  <c r="CE147" i="1"/>
  <c r="E165" i="1"/>
  <c r="E89" i="1"/>
  <c r="E330" i="1"/>
  <c r="Q229" i="1"/>
  <c r="Q340" i="1" s="1"/>
  <c r="F63" i="1"/>
  <c r="E64" i="1"/>
  <c r="E164" i="1"/>
  <c r="F163" i="1"/>
  <c r="E119" i="1"/>
  <c r="F118" i="1"/>
  <c r="BD340" i="1" l="1"/>
  <c r="E131" i="1"/>
  <c r="E216" i="1"/>
  <c r="E124" i="1"/>
  <c r="F169" i="1"/>
  <c r="E102" i="1"/>
  <c r="E189" i="1"/>
  <c r="E19" i="1"/>
  <c r="CD16" i="1"/>
  <c r="CD70" i="1"/>
  <c r="CD126" i="1"/>
  <c r="E82" i="1"/>
  <c r="E222" i="1"/>
  <c r="G229" i="1"/>
  <c r="G340" i="1" s="1"/>
  <c r="E80" i="1"/>
  <c r="E105" i="1"/>
  <c r="E71" i="1"/>
  <c r="E39" i="1"/>
  <c r="F234" i="1"/>
  <c r="E23" i="1"/>
  <c r="F70" i="1"/>
  <c r="CD234" i="1"/>
  <c r="E172" i="1"/>
  <c r="E311" i="1"/>
  <c r="F126" i="1"/>
  <c r="F16" i="1"/>
  <c r="E256" i="1"/>
  <c r="E118" i="1"/>
  <c r="E63" i="1"/>
  <c r="E49" i="1"/>
  <c r="E65" i="1"/>
  <c r="F60" i="1"/>
  <c r="E88" i="1"/>
  <c r="E197" i="1"/>
  <c r="E205" i="1"/>
  <c r="E108" i="1"/>
  <c r="F162" i="1"/>
  <c r="E135" i="1"/>
  <c r="E155" i="1"/>
  <c r="F147" i="1"/>
  <c r="F114" i="1"/>
  <c r="E163" i="1"/>
  <c r="E166" i="1"/>
  <c r="CE229" i="1"/>
  <c r="CE340" i="1" s="1"/>
  <c r="CD162" i="1"/>
  <c r="F182" i="1"/>
  <c r="CD147" i="1"/>
  <c r="E314" i="1"/>
  <c r="E16" i="1" l="1"/>
  <c r="CD229" i="1"/>
  <c r="CD340" i="1" s="1"/>
  <c r="E70" i="1"/>
  <c r="E234" i="1"/>
  <c r="E169" i="1"/>
  <c r="E126" i="1"/>
  <c r="F229" i="1"/>
  <c r="F340" i="1" s="1"/>
  <c r="E114" i="1"/>
  <c r="E147" i="1"/>
  <c r="E162" i="1"/>
  <c r="E60" i="1"/>
  <c r="E182" i="1"/>
  <c r="E229" i="1" l="1"/>
  <c r="E340" i="1" s="1"/>
  <c r="E343" i="1" s="1"/>
</calcChain>
</file>

<file path=xl/sharedStrings.xml><?xml version="1.0" encoding="utf-8"?>
<sst xmlns="http://schemas.openxmlformats.org/spreadsheetml/2006/main" count="1287" uniqueCount="663">
  <si>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</si>
  <si>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</si>
  <si>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</si>
  <si>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</si>
  <si>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</si>
  <si>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</si>
  <si>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</si>
  <si>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</si>
  <si>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</si>
  <si>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</si>
  <si>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</si>
  <si>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</si>
  <si>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</si>
  <si>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</si>
  <si>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</si>
  <si>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</si>
  <si>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</si>
  <si>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Функцион.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</si>
  <si>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</si>
  <si>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</si>
  <si>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</si>
  <si>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</si>
  <si>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</si>
  <si>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</si>
  <si>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</si>
  <si>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</si>
  <si>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</si>
  <si>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</si>
  <si>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</si>
  <si>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</si>
  <si>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</si>
  <si>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</si>
  <si>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</si>
  <si>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</si>
  <si>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</si>
  <si>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</si>
  <si>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</si>
  <si>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</si>
  <si>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</si>
  <si>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</si>
  <si>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</si>
  <si>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</si>
  <si>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</si>
  <si>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</si>
  <si>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</si>
  <si>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</si>
  <si>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</si>
  <si>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</si>
  <si>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</si>
  <si>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</si>
  <si>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</si>
  <si>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</si>
  <si>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</si>
  <si>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</si>
  <si>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</si>
  <si>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</si>
  <si>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</si>
  <si>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</si>
  <si>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</si>
  <si>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</si>
  <si>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</si>
  <si>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Уплата % и погашение внутр-х кредитов</t>
  </si>
  <si>
    <t>Уплата % по внутр-м кредитам</t>
  </si>
  <si>
    <t>Погашение внутр-х кредитов</t>
  </si>
  <si>
    <t>Раздел</t>
  </si>
  <si>
    <t>Под-раздел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</si>
  <si>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</si>
  <si>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</si>
  <si>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</si>
  <si>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</si>
  <si>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</si>
  <si>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</si>
  <si>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</si>
  <si>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</si>
  <si>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</si>
  <si>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</si>
  <si>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</si>
  <si>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</si>
  <si>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</si>
  <si>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</si>
  <si>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</si>
  <si>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</si>
  <si>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</si>
  <si>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</si>
  <si>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</si>
  <si>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</si>
  <si>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</si>
  <si>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</si>
  <si>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</si>
  <si>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</si>
  <si>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</si>
  <si>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</si>
  <si>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</si>
  <si>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</si>
  <si>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</si>
  <si>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</si>
  <si>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</si>
  <si>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</si>
  <si>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</si>
  <si>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</si>
  <si>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</si>
  <si>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</si>
  <si>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</si>
  <si>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</si>
  <si>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</si>
  <si>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</si>
  <si>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</si>
  <si>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</si>
  <si>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</si>
  <si>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</si>
  <si>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</si>
  <si>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</si>
  <si>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</si>
  <si>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</si>
  <si>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</si>
  <si>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</si>
  <si>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</si>
  <si>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</si>
  <si>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</si>
  <si>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</si>
  <si>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</si>
  <si>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</si>
  <si>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</si>
  <si>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</si>
  <si>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</si>
  <si>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</si>
  <si>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</si>
  <si>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</si>
  <si>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</si>
  <si>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</si>
  <si>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</si>
  <si>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</si>
  <si>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</si>
  <si>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</si>
  <si>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</si>
  <si>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</si>
  <si>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</si>
  <si>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</si>
  <si>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</si>
  <si>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</si>
  <si>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</si>
  <si>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</si>
  <si>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</si>
  <si>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</si>
  <si>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</si>
  <si>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</si>
  <si>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</si>
  <si>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</si>
  <si>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</si>
  <si>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</si>
  <si>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</si>
  <si>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</si>
  <si>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</si>
  <si>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</si>
  <si>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</si>
  <si>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</si>
  <si>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</si>
  <si>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</si>
  <si>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</si>
  <si>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</si>
  <si>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</si>
  <si>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</si>
  <si>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</si>
  <si>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</si>
  <si>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</si>
  <si>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</si>
  <si>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</si>
  <si>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</si>
  <si>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</si>
  <si>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</si>
  <si>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</si>
  <si>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</si>
  <si>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</si>
  <si>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</si>
  <si>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</si>
  <si>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</si>
  <si>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</si>
  <si>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</si>
  <si>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</si>
  <si>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</si>
  <si>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</si>
  <si>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</si>
  <si>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</si>
  <si>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</si>
  <si>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</si>
  <si>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</si>
  <si>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</si>
  <si>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</si>
  <si>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</si>
  <si>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</si>
  <si>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</si>
  <si>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</si>
  <si>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</si>
  <si>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</si>
  <si>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</si>
  <si>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</si>
  <si>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</si>
  <si>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</si>
  <si>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</si>
  <si>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</si>
  <si>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</si>
  <si>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</si>
  <si>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</si>
  <si>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</si>
  <si>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</si>
  <si>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</si>
  <si>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</si>
  <si>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</si>
  <si>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</si>
  <si>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</si>
  <si>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</si>
  <si>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</si>
  <si>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</si>
  <si>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</si>
  <si>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</si>
  <si>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</si>
  <si>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</si>
  <si>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</si>
  <si>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</si>
  <si>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</si>
  <si>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</si>
  <si>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</si>
  <si>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</si>
  <si>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</si>
  <si>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</si>
  <si>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</si>
  <si>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</si>
  <si>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</si>
  <si>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</si>
  <si>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</si>
  <si>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</si>
  <si>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</si>
  <si>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</si>
  <si>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</si>
  <si>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</si>
  <si>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</si>
  <si>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</si>
  <si>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</si>
  <si>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</si>
  <si>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</si>
  <si>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</si>
  <si>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</si>
  <si>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</si>
  <si>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</si>
  <si>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</si>
  <si>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</si>
  <si>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</si>
  <si>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</si>
  <si>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</si>
  <si>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</si>
  <si>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</si>
  <si>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</si>
  <si>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</si>
  <si>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</si>
  <si>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</si>
  <si>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</si>
  <si>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</si>
  <si>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</si>
  <si>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</si>
  <si>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</si>
  <si>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</si>
  <si>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</si>
  <si>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</si>
  <si>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</si>
  <si>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</si>
  <si>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</si>
  <si>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</si>
  <si>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</si>
  <si>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</si>
  <si>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</si>
  <si>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</si>
  <si>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</si>
  <si>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</si>
  <si>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</si>
  <si>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</si>
  <si>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</si>
  <si>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</si>
  <si>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</si>
  <si>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</si>
  <si>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</si>
  <si>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</si>
  <si>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</si>
  <si>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</si>
  <si>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</si>
  <si>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</si>
  <si>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</si>
  <si>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</si>
  <si>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</si>
  <si>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</si>
  <si>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</si>
  <si>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</si>
  <si>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</si>
  <si>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</si>
  <si>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</si>
  <si>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</si>
  <si>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</si>
  <si>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</si>
  <si>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</si>
  <si>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</si>
  <si>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</si>
  <si>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</si>
  <si>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</si>
  <si>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</si>
  <si>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</si>
  <si>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</si>
  <si>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</si>
  <si>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</si>
  <si>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</si>
  <si>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</si>
  <si>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</si>
  <si>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</si>
  <si>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</si>
  <si>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</si>
  <si>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</si>
  <si>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</si>
  <si>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</si>
  <si>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</si>
  <si>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</si>
  <si>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</si>
  <si>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</si>
  <si>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</si>
  <si>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</si>
  <si>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</si>
  <si>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</si>
  <si>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</si>
  <si>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</si>
  <si>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</si>
  <si>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</si>
  <si>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</si>
  <si>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</si>
  <si>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</si>
  <si>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</si>
  <si>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</si>
  <si>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</si>
  <si>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</si>
  <si>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</si>
  <si>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</si>
  <si>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</si>
  <si>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</si>
  <si>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</si>
  <si>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</si>
  <si>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</si>
  <si>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</si>
  <si>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</si>
  <si>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</si>
  <si>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</si>
  <si>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</si>
  <si>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</si>
  <si>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</si>
  <si>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</si>
  <si>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</si>
  <si>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</si>
  <si>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</si>
  <si>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</si>
  <si>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</si>
  <si>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</si>
  <si>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</si>
  <si>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</si>
  <si>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</si>
  <si>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</si>
  <si>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</si>
  <si>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</si>
  <si>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</si>
  <si>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</si>
  <si>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</si>
  <si>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</si>
  <si>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</si>
  <si>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</si>
  <si>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</si>
  <si>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</si>
  <si>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</si>
  <si>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</si>
  <si>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</si>
  <si>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</si>
  <si>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</si>
  <si>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</si>
  <si>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</si>
  <si>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</si>
  <si>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</si>
  <si>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</si>
  <si>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</si>
  <si>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</si>
  <si>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</si>
  <si>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</si>
  <si>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</si>
  <si>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</si>
  <si>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</si>
  <si>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</si>
  <si>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</si>
  <si>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</si>
  <si>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</si>
  <si>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</si>
  <si>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</si>
  <si>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</si>
  <si>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</si>
  <si>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</si>
  <si>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</si>
  <si>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</si>
  <si>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</si>
  <si>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</si>
  <si>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</si>
  <si>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</si>
  <si>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</si>
  <si>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</si>
  <si>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</si>
  <si>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</si>
  <si>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</si>
  <si>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</si>
  <si>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</si>
  <si>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</si>
  <si>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</si>
  <si>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</si>
  <si>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</si>
  <si>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</si>
  <si>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</si>
  <si>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</si>
  <si>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</si>
  <si>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</si>
  <si>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</si>
  <si>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</si>
  <si>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</si>
  <si>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</si>
  <si>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</si>
  <si>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</si>
  <si>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</si>
  <si>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</si>
  <si>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</si>
  <si>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</si>
  <si>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</si>
  <si>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</si>
  <si>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</si>
  <si>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</si>
  <si>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</si>
  <si>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</si>
  <si>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</si>
  <si>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</si>
  <si>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</si>
  <si>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</si>
  <si>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</si>
  <si>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</si>
  <si>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</si>
  <si>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Финансовая помощь бюджетам др. уровней</t>
  </si>
  <si>
    <t>Субсидии на осуществление программы "Столица"</t>
  </si>
  <si>
    <t>Расходы от оказ.плат.усл. (по госзаказу ПГУ)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</si>
  <si>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</si>
  <si>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</si>
  <si>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  (РКВЦ)</t>
  </si>
  <si>
    <t>Расходы от оказ. плат. усл. (ГУ "Архивы Приднестровья")</t>
  </si>
  <si>
    <t>Программа обеспечения жильем детей-сирот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</si>
  <si>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</si>
  <si>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</si>
  <si>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</si>
  <si>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</si>
  <si>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</si>
  <si>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</si>
  <si>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</si>
  <si>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</si>
  <si>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</si>
  <si>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</si>
  <si>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</si>
  <si>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</si>
  <si>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</si>
  <si>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</si>
  <si>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</si>
  <si>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</si>
  <si>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</si>
  <si>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</si>
  <si>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</si>
  <si>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</si>
  <si>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</si>
  <si>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</si>
  <si>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</si>
  <si>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</si>
  <si>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</si>
  <si>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</si>
  <si>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</si>
  <si>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</si>
  <si>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</si>
  <si>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</si>
  <si>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</si>
  <si>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</si>
  <si>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</si>
  <si>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</si>
  <si>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</si>
  <si>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</si>
  <si>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</si>
  <si>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</si>
  <si>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</si>
  <si>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</si>
  <si>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</si>
  <si>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</si>
  <si>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</si>
  <si>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</si>
  <si>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</si>
  <si>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</si>
  <si>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[111056]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</si>
  <si>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</si>
  <si>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</si>
  <si>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</si>
  <si>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</si>
  <si>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</si>
  <si>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</si>
  <si>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</si>
  <si>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</si>
  <si>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</si>
  <si>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</si>
  <si>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</si>
  <si>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[130310]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</si>
  <si>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</si>
  <si>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</si>
  <si>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</si>
  <si>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</si>
  <si>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</si>
  <si>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</si>
  <si>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</si>
  <si>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</si>
  <si>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</si>
  <si>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</si>
  <si>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</si>
  <si>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</si>
  <si>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</si>
  <si>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</si>
  <si>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</si>
  <si>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</si>
  <si>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</si>
  <si>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</si>
  <si>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</si>
  <si>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</si>
  <si>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</si>
  <si>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</si>
  <si>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</si>
  <si>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</si>
  <si>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</si>
  <si>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</si>
  <si>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[250000]</t>
  </si>
  <si>
    <t>[250100]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</si>
  <si>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</si>
  <si>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</si>
  <si>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</si>
  <si>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</si>
  <si>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</si>
  <si>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</si>
  <si>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</si>
  <si>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</si>
  <si>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Услуги судмед-экспертизы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</si>
  <si>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</si>
  <si>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</si>
  <si>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</si>
  <si>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</si>
  <si>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</si>
  <si>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</si>
  <si>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Создание госрезервов</t>
  </si>
  <si>
    <t>Субсидирование социально значимых маршрутов</t>
  </si>
  <si>
    <t>[130430]</t>
  </si>
  <si>
    <t>МЭР ПМР (территор.упр-я статистики)</t>
  </si>
  <si>
    <t>ГС экологического контроля и охраны окр. среды ПМР</t>
  </si>
  <si>
    <t>Министерство цифрового развития, связи и массовых коммуникаций (лицен. сбор)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</si>
  <si>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</si>
  <si>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</si>
  <si>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</si>
  <si>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</si>
  <si>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</si>
  <si>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</si>
  <si>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</si>
  <si>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СОЗДАНИЕ ГОСУД. РЕЗЕРВОВ</t>
  </si>
  <si>
    <t>УЧАСТИЕ ПРАВ-ВА В ОСУЩ-ИИ ОТД-Х ПРОГР.</t>
  </si>
  <si>
    <t>Предельные  расходы республиканского бюджета на 2022 год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</si>
  <si>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</si>
  <si>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</si>
  <si>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</si>
  <si>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</si>
  <si>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</si>
  <si>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</si>
  <si>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</si>
  <si>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</si>
  <si>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Мероприятия по приобретению и производству учебников</t>
  </si>
  <si>
    <t>Мероприятия по закупке мягкого инвентаря для дошкольных образовательных учреждений</t>
  </si>
  <si>
    <t>Мероприятия по подключ. сел. малонасел. пунктов к провод. и моб. связи , а также обесп. дост. к сети Интернет</t>
  </si>
  <si>
    <t>Программа обеспечения жильем участников боевых действий</t>
  </si>
  <si>
    <t>ГЦП "Равные возможности" (МСЗиТ ПМР)</t>
  </si>
  <si>
    <t>ГЦП "Равные возможности" (Минпрос ПМР)</t>
  </si>
  <si>
    <t>ГП развития минерально-сырьевой базы ПМР</t>
  </si>
  <si>
    <t>Центр национальных культур Приднестровья</t>
  </si>
  <si>
    <t>Мероприятия по оснащению рабочими тетрадями</t>
  </si>
  <si>
    <t>Мероприятия по обеспечению игрушками, канцелярскими товарами и предметами гигиены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</si>
  <si>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</si>
  <si>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</si>
  <si>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ГЦП "Равные возможности" (ГС КиИН ПМР)</t>
  </si>
  <si>
    <t>Мероприятия по приобретению и производству учебников для образоват.учр.</t>
  </si>
  <si>
    <t>Министерство цифрового развития, связи и массовых коммуникаций (возмещение льготы по усл. связи)</t>
  </si>
  <si>
    <t>ГЦП "Равные возможности" (Прокуратура ПМР)</t>
  </si>
  <si>
    <t>Мероприятия по развитию инфраструктуры городов, районов, организаций образов. и соц. защиты, ЛПУ</t>
  </si>
  <si>
    <t>[240230]</t>
  </si>
  <si>
    <t>[240250]</t>
  </si>
  <si>
    <t>[240310]</t>
  </si>
  <si>
    <t>жилого фонда</t>
  </si>
  <si>
    <t>[240360]</t>
  </si>
  <si>
    <t>прочих объектов</t>
  </si>
  <si>
    <t>Программа исполнения наказов избирателей</t>
  </si>
  <si>
    <t>Приложение № 2</t>
  </si>
  <si>
    <t>ГЦП "Равные возможности" (ГА Тирасполя)</t>
  </si>
  <si>
    <t>Другие трансфер-ты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</si>
  <si>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</si>
  <si>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</si>
  <si>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</si>
  <si>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</si>
  <si>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</si>
  <si>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Мероприятия, направл.на развитие (обновлен. мат.-тех. базы учреждений и приобретен. спец. автотранспорта)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</si>
  <si>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</si>
  <si>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</si>
  <si>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</si>
  <si>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</si>
  <si>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</si>
  <si>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</si>
  <si>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Оплата услуг по типовому проектир.</t>
  </si>
  <si>
    <t>в жил. строительство</t>
  </si>
  <si>
    <t>в строит. админ. зданий</t>
  </si>
  <si>
    <t>в строит. коммун. объектов</t>
  </si>
  <si>
    <t>0508</t>
  </si>
  <si>
    <t>[130270]</t>
  </si>
  <si>
    <t>1900</t>
  </si>
  <si>
    <t>ПОПОЛНЕНИЕ ГОСУДАРСТВЕННОГО РЕЗЕРВА</t>
  </si>
  <si>
    <t>1903</t>
  </si>
  <si>
    <t>Фонд государственного резерва</t>
  </si>
  <si>
    <t>Целевые субсидии ГА г. Тирасполя</t>
  </si>
  <si>
    <t>Целевые субсидии ГА Слободзейского района и г. Слободзеи</t>
  </si>
  <si>
    <t>Целевые субсидии ГА на приобретение дорожной техники</t>
  </si>
  <si>
    <t>"О республиканском бюджете на 2022 год"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</si>
  <si>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</si>
  <si>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</si>
  <si>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</si>
  <si>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Целевые субсидии ГА Григориопольского района и г. Григориополя</t>
  </si>
  <si>
    <t>Целевые субсидии ГА г. Днестровска</t>
  </si>
  <si>
    <t>Штрафы</t>
  </si>
  <si>
    <t>[111048]</t>
  </si>
  <si>
    <t xml:space="preserve">к Закону Приднестровской Молдавской Республики </t>
  </si>
  <si>
    <t xml:space="preserve">в Закон Приднестровской Молдавской Республики </t>
  </si>
  <si>
    <t>Целевые субсидии ГА Рыбницкого района и      г. Рыбницы</t>
  </si>
  <si>
    <t>КОМАНДИ-РОВКИ И СЛУЖЕБН.  РАЗЪЕЗДЫ</t>
  </si>
  <si>
    <t>Расходы на осуществлен.       г. Тирасполем функций столицы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</si>
  <si>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</si>
  <si>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</si>
  <si>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</si>
  <si>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</si>
  <si>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Целевые субсидии ГА г. Бендеры</t>
  </si>
  <si>
    <t>2200</t>
  </si>
  <si>
    <t>КАПИТАЛЬНЫЕ ВЛОЖЕНИЯ</t>
  </si>
  <si>
    <t>2201</t>
  </si>
  <si>
    <t>Текущие капитальные вложения</t>
  </si>
  <si>
    <t>Погашение к/з (жилье детям-сиротам)</t>
  </si>
  <si>
    <t>Субсидии с/х производителям</t>
  </si>
  <si>
    <t>ГП разгосударствления и приватизации</t>
  </si>
  <si>
    <t xml:space="preserve">"О внесении изменений </t>
  </si>
  <si>
    <t>Кап. влож. в строи-тельство</t>
  </si>
  <si>
    <t>Субсидии на содержание МК "Кицканский плацдарм" (ГА Слободзеи)</t>
  </si>
  <si>
    <t>Субсидии на содержание и благоустройство ИВМК "Бендерская крепость" и парка                                                           им. А. Невского (ГА Бендер)</t>
  </si>
  <si>
    <t>Расходы от оказ.плат.усл. (театр)</t>
  </si>
  <si>
    <t>ГЦП "Равные возможности" (ПГУ                                                        им. Т. Г. Шевченко)</t>
  </si>
  <si>
    <t>ГЦП "Равные возможности" (ГА Бендер)</t>
  </si>
  <si>
    <t>ГЦП " Переоснащение служебного автотранспорта пожарной охраны                                                                     на 2021-2029 годы"</t>
  </si>
  <si>
    <t>Денеж. компенса-ция</t>
  </si>
  <si>
    <t>Прочие трансферты  на произв. цели</t>
  </si>
  <si>
    <t>УПЛАТА % И ПОГАШ. КРЕДИТОВ СОГЛ. ДОГОВОРАМ, ЗАКЛЮЧ-М С ГЛ.РАСП-МИ КРЕД.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</si>
</sst>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Calibri"/>
      <family val="2"/>
      <scheme val="minor"/>
    </font>
    <font>
      <b/>
      <sz val="7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8">
    <xf numFmtId="0" fontId="0" fillId="0" borderId="0" xfId="0"/>
    <xf numFmtId="165" fontId="6" fillId="0" borderId="2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165" fontId="10" fillId="2" borderId="11" xfId="0" applyNumberFormat="1" applyFont="1" applyFill="1" applyBorder="1" applyAlignment="1">
      <alignment vertical="center"/>
    </xf>
    <xf numFmtId="165" fontId="11" fillId="2" borderId="11" xfId="0" applyNumberFormat="1" applyFont="1" applyFill="1" applyBorder="1" applyAlignment="1">
      <alignment vertical="center"/>
    </xf>
    <xf numFmtId="165" fontId="11" fillId="2" borderId="12" xfId="0" applyNumberFormat="1" applyFont="1" applyFill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1" fillId="0" borderId="8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1" fillId="2" borderId="8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165" fontId="11" fillId="0" borderId="8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165" fontId="10" fillId="0" borderId="8" xfId="0" applyNumberFormat="1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166" fontId="16" fillId="0" borderId="0" xfId="16" applyNumberFormat="1" applyFont="1" applyAlignment="1">
      <alignment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17" fillId="0" borderId="6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343"/>
  <sheetViews>
    <sheetView tabSelected="1" view="pageBreakPreview" zoomScale="80" zoomScaleNormal="110" zoomScaleSheetLayoutView="80" workbookViewId="0">
      <pane xSplit="5" ySplit="15" topLeftCell="CQ291" activePane="bottomRight" state="frozenSplit"/>
      <selection pane="topRight" activeCell="N1" sqref="N1"/>
      <selection pane="bottomLeft" activeCell="A12" sqref="A12"/>
      <selection pane="bottomRight" activeCell="CV13" sqref="CV13:CV14"/>
    </sheetView>
  </sheetViews>
  <sheetFormatPr defaultColWidth="9.109375" defaultRowHeight="14.4" x14ac:dyDescent="0.3"/>
  <cols>
    <col min="1" max="1" width="6.109375" style="61" customWidth="1"/>
    <col min="2" max="2" width="6.33203125" style="61" customWidth="1"/>
    <col min="3" max="3" width="4.33203125" style="61" customWidth="1"/>
    <col min="4" max="4" width="44.5546875" style="61" customWidth="1"/>
    <col min="5" max="5" width="12" style="61" customWidth="1"/>
    <col min="6" max="6" width="11.109375" style="61" customWidth="1"/>
    <col min="7" max="8" width="11" style="61" customWidth="1"/>
    <col min="9" max="9" width="9.6640625" style="61" customWidth="1"/>
    <col min="10" max="10" width="12.5546875" style="61" customWidth="1"/>
    <col min="11" max="11" width="11" style="61" customWidth="1"/>
    <col min="12" max="12" width="9.109375" style="61" customWidth="1"/>
    <col min="13" max="13" width="10.88671875" style="61" customWidth="1"/>
    <col min="14" max="21" width="9.109375" style="61" customWidth="1"/>
    <col min="22" max="22" width="10" style="61" customWidth="1"/>
    <col min="23" max="23" width="9.5546875" style="61" customWidth="1"/>
    <col min="24" max="25" width="8.6640625" style="61" customWidth="1"/>
    <col min="26" max="26" width="9.109375" style="61" customWidth="1"/>
    <col min="27" max="27" width="7.88671875" style="61" customWidth="1"/>
    <col min="28" max="28" width="8.5546875" style="61" customWidth="1"/>
    <col min="29" max="29" width="9.5546875" style="61" customWidth="1"/>
    <col min="30" max="30" width="7.88671875" style="61" customWidth="1"/>
    <col min="31" max="31" width="8.33203125" style="61" customWidth="1"/>
    <col min="32" max="32" width="11.33203125" style="61" customWidth="1"/>
    <col min="33" max="33" width="9.109375" style="61" customWidth="1"/>
    <col min="34" max="34" width="14.5546875" style="61" customWidth="1"/>
    <col min="35" max="35" width="7.88671875" style="61" customWidth="1"/>
    <col min="36" max="36" width="8.6640625" style="61" customWidth="1"/>
    <col min="37" max="38" width="7.88671875" style="61" customWidth="1"/>
    <col min="39" max="40" width="9" style="61" customWidth="1"/>
    <col min="41" max="41" width="7.88671875" style="61" customWidth="1"/>
    <col min="42" max="42" width="9.5546875" style="61" customWidth="1"/>
    <col min="43" max="43" width="8.33203125" style="61" customWidth="1"/>
    <col min="44" max="44" width="8.6640625" style="61" customWidth="1"/>
    <col min="45" max="45" width="7.88671875" style="61" customWidth="1"/>
    <col min="46" max="46" width="8.109375" style="61" customWidth="1"/>
    <col min="47" max="47" width="8.6640625" style="61" customWidth="1"/>
    <col min="48" max="48" width="8.44140625" style="61" customWidth="1"/>
    <col min="49" max="49" width="8.6640625" style="61" customWidth="1"/>
    <col min="50" max="50" width="8.88671875" style="61" customWidth="1"/>
    <col min="51" max="51" width="8.109375" style="61" customWidth="1"/>
    <col min="52" max="52" width="8.88671875" style="61" customWidth="1"/>
    <col min="53" max="53" width="11.33203125" style="61" customWidth="1"/>
    <col min="54" max="54" width="9.5546875" style="61" customWidth="1"/>
    <col min="55" max="55" width="9.6640625" style="61" customWidth="1"/>
    <col min="56" max="56" width="10.77734375" style="61" customWidth="1"/>
    <col min="57" max="57" width="9.5546875" style="61" customWidth="1"/>
    <col min="58" max="58" width="9.6640625" style="61" customWidth="1"/>
    <col min="59" max="59" width="8.6640625" style="61" customWidth="1"/>
    <col min="60" max="60" width="8.88671875" style="61" customWidth="1"/>
    <col min="61" max="61" width="9.109375" style="61" customWidth="1"/>
    <col min="62" max="63" width="8.88671875" style="61" customWidth="1"/>
    <col min="64" max="64" width="9.5546875" style="61" customWidth="1"/>
    <col min="65" max="65" width="11.44140625" style="61" customWidth="1"/>
    <col min="66" max="66" width="9.109375" style="61" customWidth="1"/>
    <col min="67" max="67" width="10.33203125" style="61" customWidth="1"/>
    <col min="68" max="68" width="8.5546875" style="61" customWidth="1"/>
    <col min="69" max="69" width="9.5546875" style="61" customWidth="1"/>
    <col min="70" max="70" width="10.109375" style="61" customWidth="1"/>
    <col min="71" max="75" width="9.109375" style="61" customWidth="1"/>
    <col min="76" max="76" width="10.109375" style="61" customWidth="1"/>
    <col min="77" max="78" width="9.109375" style="61" customWidth="1"/>
    <col min="79" max="82" width="10" style="61" customWidth="1"/>
    <col min="83" max="83" width="10.5546875" style="61" customWidth="1"/>
    <col min="84" max="84" width="9.109375" style="61" customWidth="1"/>
    <col min="85" max="86" width="9.5546875" style="61" customWidth="1"/>
    <col min="87" max="87" width="8.88671875" style="61" customWidth="1"/>
    <col min="88" max="88" width="10.88671875" style="61" customWidth="1"/>
    <col min="89" max="89" width="8.6640625" style="61" customWidth="1"/>
    <col min="90" max="90" width="8" style="61" customWidth="1"/>
    <col min="91" max="91" width="9.5546875" style="61" customWidth="1"/>
    <col min="92" max="92" width="10" style="61" customWidth="1"/>
    <col min="93" max="93" width="9.5546875" style="61" customWidth="1"/>
    <col min="94" max="94" width="8.6640625" style="61" customWidth="1"/>
    <col min="95" max="95" width="8.5546875" style="61" customWidth="1"/>
    <col min="96" max="96" width="8" style="61" customWidth="1"/>
    <col min="97" max="97" width="8.109375" style="61" customWidth="1"/>
    <col min="98" max="98" width="9" style="61" customWidth="1"/>
    <col min="99" max="101" width="9.5546875" style="61" customWidth="1"/>
    <col min="102" max="102" width="8.88671875" style="61" customWidth="1"/>
    <col min="103" max="104" width="9.5546875" style="61" customWidth="1"/>
    <col min="105" max="105" width="3.88671875" style="61" bestFit="1" customWidth="1"/>
    <col min="106" max="106" width="4.44140625" style="61" bestFit="1" customWidth="1"/>
    <col min="107" max="107" width="54.88671875" style="61" customWidth="1"/>
    <col min="108" max="213" width="9.33203125" style="61" customWidth="1"/>
    <col min="214" max="214" width="9.109375" style="61" customWidth="1"/>
    <col min="215" max="16384" width="9.109375" style="61"/>
  </cols>
  <sheetData>
    <row r="1" spans="1:218" ht="15.6" x14ac:dyDescent="0.3">
      <c r="K1" s="76"/>
      <c r="L1" s="76"/>
      <c r="N1" s="75" t="s">
        <v>599</v>
      </c>
    </row>
    <row r="2" spans="1:218" ht="15.6" x14ac:dyDescent="0.3">
      <c r="H2" s="77" t="s">
        <v>635</v>
      </c>
      <c r="I2" s="77"/>
      <c r="J2" s="77"/>
      <c r="K2" s="77"/>
      <c r="L2" s="77"/>
      <c r="M2" s="77"/>
      <c r="N2" s="77"/>
    </row>
    <row r="3" spans="1:218" ht="15.6" x14ac:dyDescent="0.3">
      <c r="I3" s="77" t="s">
        <v>652</v>
      </c>
      <c r="J3" s="77"/>
      <c r="K3" s="77"/>
      <c r="L3" s="77"/>
      <c r="M3" s="77"/>
      <c r="N3" s="77"/>
    </row>
    <row r="4" spans="1:218" ht="15.6" x14ac:dyDescent="0.3">
      <c r="I4" s="77" t="s">
        <v>636</v>
      </c>
      <c r="J4" s="77"/>
      <c r="K4" s="77"/>
      <c r="L4" s="77"/>
      <c r="M4" s="77"/>
      <c r="N4" s="77"/>
    </row>
    <row r="5" spans="1:218" ht="15.6" x14ac:dyDescent="0.3">
      <c r="I5" s="77" t="s">
        <v>627</v>
      </c>
      <c r="J5" s="77"/>
      <c r="K5" s="77"/>
      <c r="L5" s="77"/>
      <c r="M5" s="77"/>
      <c r="N5" s="77"/>
    </row>
    <row r="7" spans="1:218" s="7" customFormat="1" ht="15.6" x14ac:dyDescent="0.3">
      <c r="A7" s="4"/>
      <c r="B7" s="4"/>
      <c r="C7" s="4"/>
      <c r="D7" s="5"/>
      <c r="E7" s="6"/>
      <c r="F7" s="6"/>
      <c r="H7" s="8"/>
      <c r="I7" s="8"/>
      <c r="N7" s="8" t="s">
        <v>599</v>
      </c>
      <c r="O7" s="6"/>
      <c r="P7" s="6"/>
      <c r="Q7" s="6"/>
      <c r="R7" s="6"/>
      <c r="S7" s="6"/>
      <c r="T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</row>
    <row r="8" spans="1:218" s="7" customFormat="1" ht="15.6" x14ac:dyDescent="0.3">
      <c r="A8" s="4"/>
      <c r="B8" s="4"/>
      <c r="C8" s="4"/>
      <c r="D8" s="5"/>
      <c r="E8" s="6"/>
      <c r="F8" s="6"/>
      <c r="H8" s="8"/>
      <c r="I8" s="8"/>
      <c r="N8" s="8" t="s">
        <v>541</v>
      </c>
      <c r="O8" s="6"/>
      <c r="P8" s="6"/>
      <c r="Q8" s="6"/>
      <c r="R8" s="6"/>
      <c r="S8" s="6"/>
      <c r="T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</row>
    <row r="9" spans="1:218" s="7" customFormat="1" ht="15.6" x14ac:dyDescent="0.3">
      <c r="A9" s="4"/>
      <c r="B9" s="4"/>
      <c r="C9" s="4"/>
      <c r="D9" s="5"/>
      <c r="E9" s="6"/>
      <c r="F9" s="6"/>
      <c r="H9" s="8"/>
      <c r="I9" s="8"/>
      <c r="N9" s="8" t="s">
        <v>627</v>
      </c>
      <c r="O9" s="6"/>
      <c r="P9" s="6"/>
      <c r="Q9" s="6"/>
      <c r="R9" s="6"/>
      <c r="S9" s="6"/>
      <c r="T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</row>
    <row r="10" spans="1:218" s="7" customFormat="1" ht="15.6" x14ac:dyDescent="0.3">
      <c r="A10" s="4"/>
      <c r="B10" s="4"/>
      <c r="C10" s="4"/>
      <c r="D10" s="5"/>
      <c r="E10" s="6"/>
      <c r="F10" s="6"/>
      <c r="H10" s="8"/>
      <c r="I10" s="8"/>
      <c r="M10" s="6"/>
      <c r="N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</row>
    <row r="11" spans="1:218" s="7" customFormat="1" ht="15.6" x14ac:dyDescent="0.3">
      <c r="A11" s="9"/>
      <c r="B11" s="9"/>
      <c r="C11" s="9"/>
      <c r="D11" s="5"/>
      <c r="E11" s="10" t="s">
        <v>566</v>
      </c>
      <c r="F11" s="10"/>
      <c r="G11" s="10"/>
      <c r="H11" s="10"/>
      <c r="I11" s="10"/>
      <c r="J11" s="10"/>
      <c r="K11" s="10"/>
      <c r="L11" s="10"/>
    </row>
    <row r="12" spans="1:218" s="3" customFormat="1" ht="16.2" thickBot="1" x14ac:dyDescent="0.35">
      <c r="A12" s="11"/>
      <c r="B12" s="11"/>
      <c r="C12" s="11"/>
      <c r="F12" s="12"/>
      <c r="G12" s="12"/>
      <c r="N12" s="13" t="s">
        <v>542</v>
      </c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</row>
    <row r="13" spans="1:218" s="3" customFormat="1" ht="18.600000000000001" customHeight="1" x14ac:dyDescent="0.3">
      <c r="A13" s="90" t="s">
        <v>17</v>
      </c>
      <c r="B13" s="91"/>
      <c r="C13" s="91" t="s">
        <v>66</v>
      </c>
      <c r="D13" s="92" t="s">
        <v>0</v>
      </c>
      <c r="E13" s="95" t="s">
        <v>18</v>
      </c>
      <c r="F13" s="78" t="s">
        <v>2</v>
      </c>
      <c r="G13" s="78" t="s">
        <v>3</v>
      </c>
      <c r="H13" s="78" t="s">
        <v>4</v>
      </c>
      <c r="I13" s="78" t="s">
        <v>604</v>
      </c>
      <c r="J13" s="78" t="s">
        <v>19</v>
      </c>
      <c r="K13" s="78" t="s">
        <v>20</v>
      </c>
      <c r="L13" s="78" t="s">
        <v>21</v>
      </c>
      <c r="M13" s="78" t="s">
        <v>5</v>
      </c>
      <c r="N13" s="78" t="s">
        <v>6</v>
      </c>
      <c r="O13" s="78" t="s">
        <v>22</v>
      </c>
      <c r="P13" s="78" t="s">
        <v>23</v>
      </c>
      <c r="Q13" s="78" t="s">
        <v>638</v>
      </c>
      <c r="R13" s="78" t="s">
        <v>24</v>
      </c>
      <c r="S13" s="78" t="s">
        <v>25</v>
      </c>
      <c r="T13" s="78" t="s">
        <v>26</v>
      </c>
      <c r="U13" s="78" t="s">
        <v>7</v>
      </c>
      <c r="V13" s="78" t="s">
        <v>27</v>
      </c>
      <c r="W13" s="78" t="s">
        <v>28</v>
      </c>
      <c r="X13" s="78" t="s">
        <v>8</v>
      </c>
      <c r="Y13" s="78" t="s">
        <v>29</v>
      </c>
      <c r="Z13" s="78" t="s">
        <v>30</v>
      </c>
      <c r="AA13" s="78" t="s">
        <v>9</v>
      </c>
      <c r="AB13" s="78" t="s">
        <v>10</v>
      </c>
      <c r="AC13" s="78" t="s">
        <v>31</v>
      </c>
      <c r="AD13" s="78" t="s">
        <v>11</v>
      </c>
      <c r="AE13" s="78" t="s">
        <v>614</v>
      </c>
      <c r="AF13" s="78" t="s">
        <v>32</v>
      </c>
      <c r="AG13" s="78" t="s">
        <v>612</v>
      </c>
      <c r="AH13" s="78" t="s">
        <v>613</v>
      </c>
      <c r="AI13" s="78" t="s">
        <v>33</v>
      </c>
      <c r="AJ13" s="78" t="s">
        <v>34</v>
      </c>
      <c r="AK13" s="78" t="s">
        <v>35</v>
      </c>
      <c r="AL13" s="78" t="s">
        <v>12</v>
      </c>
      <c r="AM13" s="78" t="s">
        <v>36</v>
      </c>
      <c r="AN13" s="78" t="s">
        <v>557</v>
      </c>
      <c r="AO13" s="78" t="s">
        <v>37</v>
      </c>
      <c r="AP13" s="78" t="s">
        <v>38</v>
      </c>
      <c r="AQ13" s="78" t="s">
        <v>39</v>
      </c>
      <c r="AR13" s="78" t="s">
        <v>633</v>
      </c>
      <c r="AS13" s="78" t="s">
        <v>40</v>
      </c>
      <c r="AT13" s="78" t="s">
        <v>41</v>
      </c>
      <c r="AU13" s="78" t="s">
        <v>42</v>
      </c>
      <c r="AV13" s="78" t="s">
        <v>43</v>
      </c>
      <c r="AW13" s="78" t="s">
        <v>44</v>
      </c>
      <c r="AX13" s="78" t="s">
        <v>543</v>
      </c>
      <c r="AY13" s="78" t="s">
        <v>660</v>
      </c>
      <c r="AZ13" s="78" t="s">
        <v>544</v>
      </c>
      <c r="BA13" s="78" t="s">
        <v>558</v>
      </c>
      <c r="BB13" s="88" t="s">
        <v>567</v>
      </c>
      <c r="BC13" s="78" t="s">
        <v>45</v>
      </c>
      <c r="BD13" s="78" t="s">
        <v>559</v>
      </c>
      <c r="BE13" s="78" t="s">
        <v>46</v>
      </c>
      <c r="BF13" s="78" t="s">
        <v>13</v>
      </c>
      <c r="BG13" s="78" t="s">
        <v>47</v>
      </c>
      <c r="BH13" s="78" t="s">
        <v>48</v>
      </c>
      <c r="BI13" s="78" t="s">
        <v>49</v>
      </c>
      <c r="BJ13" s="78" t="s">
        <v>545</v>
      </c>
      <c r="BK13" s="78" t="s">
        <v>661</v>
      </c>
      <c r="BL13" s="78" t="s">
        <v>560</v>
      </c>
      <c r="BM13" s="78" t="s">
        <v>546</v>
      </c>
      <c r="BN13" s="78" t="s">
        <v>639</v>
      </c>
      <c r="BO13" s="78" t="s">
        <v>50</v>
      </c>
      <c r="BP13" s="78" t="s">
        <v>51</v>
      </c>
      <c r="BQ13" s="78" t="s">
        <v>601</v>
      </c>
      <c r="BR13" s="78" t="s">
        <v>561</v>
      </c>
      <c r="BS13" s="78" t="s">
        <v>52</v>
      </c>
      <c r="BT13" s="78" t="s">
        <v>53</v>
      </c>
      <c r="BU13" s="78" t="s">
        <v>14</v>
      </c>
      <c r="BV13" s="78" t="s">
        <v>54</v>
      </c>
      <c r="BW13" s="78" t="s">
        <v>55</v>
      </c>
      <c r="BX13" s="78" t="s">
        <v>56</v>
      </c>
      <c r="BY13" s="78" t="s">
        <v>640</v>
      </c>
      <c r="BZ13" s="78" t="s">
        <v>562</v>
      </c>
      <c r="CA13" s="78" t="s">
        <v>563</v>
      </c>
      <c r="CB13" s="78" t="s">
        <v>16</v>
      </c>
      <c r="CC13" s="78" t="s">
        <v>57</v>
      </c>
      <c r="CD13" s="78" t="s">
        <v>547</v>
      </c>
      <c r="CE13" s="78" t="s">
        <v>641</v>
      </c>
      <c r="CF13" s="78" t="s">
        <v>58</v>
      </c>
      <c r="CG13" s="78" t="s">
        <v>59</v>
      </c>
      <c r="CH13" s="78" t="s">
        <v>60</v>
      </c>
      <c r="CI13" s="78" t="s">
        <v>653</v>
      </c>
      <c r="CJ13" s="78" t="s">
        <v>615</v>
      </c>
      <c r="CK13" s="78" t="s">
        <v>642</v>
      </c>
      <c r="CL13" s="78" t="s">
        <v>616</v>
      </c>
      <c r="CM13" s="78" t="s">
        <v>617</v>
      </c>
      <c r="CN13" s="78" t="s">
        <v>548</v>
      </c>
      <c r="CO13" s="78" t="s">
        <v>595</v>
      </c>
      <c r="CP13" s="78" t="s">
        <v>549</v>
      </c>
      <c r="CQ13" s="78" t="s">
        <v>550</v>
      </c>
      <c r="CR13" s="78" t="s">
        <v>643</v>
      </c>
      <c r="CS13" s="78" t="s">
        <v>597</v>
      </c>
      <c r="CT13" s="78" t="s">
        <v>564</v>
      </c>
      <c r="CU13" s="78" t="s">
        <v>551</v>
      </c>
      <c r="CV13" s="78" t="s">
        <v>565</v>
      </c>
      <c r="CW13" s="86" t="s">
        <v>662</v>
      </c>
      <c r="CX13" s="78" t="s">
        <v>61</v>
      </c>
      <c r="CY13" s="78" t="s">
        <v>62</v>
      </c>
      <c r="CZ13" s="80" t="s">
        <v>63</v>
      </c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</row>
    <row r="14" spans="1:218" s="3" customFormat="1" ht="68.400000000000006" customHeight="1" x14ac:dyDescent="0.3">
      <c r="A14" s="82" t="s">
        <v>64</v>
      </c>
      <c r="B14" s="84" t="s">
        <v>65</v>
      </c>
      <c r="C14" s="84"/>
      <c r="D14" s="93"/>
      <c r="E14" s="9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8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87"/>
      <c r="CX14" s="79"/>
      <c r="CY14" s="79"/>
      <c r="CZ14" s="81"/>
    </row>
    <row r="15" spans="1:218" s="3" customFormat="1" ht="13.8" thickBot="1" x14ac:dyDescent="0.35">
      <c r="A15" s="83"/>
      <c r="B15" s="85"/>
      <c r="C15" s="85"/>
      <c r="D15" s="94"/>
      <c r="E15" s="97"/>
      <c r="F15" s="1" t="s">
        <v>451</v>
      </c>
      <c r="G15" s="1" t="s">
        <v>452</v>
      </c>
      <c r="H15" s="1" t="s">
        <v>453</v>
      </c>
      <c r="I15" s="1" t="s">
        <v>454</v>
      </c>
      <c r="J15" s="1" t="s">
        <v>455</v>
      </c>
      <c r="K15" s="1" t="s">
        <v>456</v>
      </c>
      <c r="L15" s="1" t="s">
        <v>457</v>
      </c>
      <c r="M15" s="1" t="s">
        <v>458</v>
      </c>
      <c r="N15" s="1" t="s">
        <v>459</v>
      </c>
      <c r="O15" s="1" t="s">
        <v>460</v>
      </c>
      <c r="P15" s="1" t="s">
        <v>461</v>
      </c>
      <c r="Q15" s="1" t="s">
        <v>462</v>
      </c>
      <c r="R15" s="1" t="s">
        <v>463</v>
      </c>
      <c r="S15" s="1" t="s">
        <v>464</v>
      </c>
      <c r="T15" s="1" t="s">
        <v>465</v>
      </c>
      <c r="U15" s="1" t="s">
        <v>466</v>
      </c>
      <c r="V15" s="1" t="s">
        <v>467</v>
      </c>
      <c r="W15" s="1" t="s">
        <v>468</v>
      </c>
      <c r="X15" s="1" t="s">
        <v>469</v>
      </c>
      <c r="Y15" s="1" t="s">
        <v>470</v>
      </c>
      <c r="Z15" s="1" t="s">
        <v>471</v>
      </c>
      <c r="AA15" s="1" t="s">
        <v>472</v>
      </c>
      <c r="AB15" s="1" t="s">
        <v>473</v>
      </c>
      <c r="AC15" s="1" t="s">
        <v>474</v>
      </c>
      <c r="AD15" s="1" t="s">
        <v>475</v>
      </c>
      <c r="AE15" s="1">
        <v>110900</v>
      </c>
      <c r="AF15" s="1" t="s">
        <v>476</v>
      </c>
      <c r="AG15" s="1" t="s">
        <v>477</v>
      </c>
      <c r="AH15" s="1" t="s">
        <v>478</v>
      </c>
      <c r="AI15" s="1" t="s">
        <v>479</v>
      </c>
      <c r="AJ15" s="1" t="s">
        <v>480</v>
      </c>
      <c r="AK15" s="1" t="s">
        <v>481</v>
      </c>
      <c r="AL15" s="1" t="s">
        <v>482</v>
      </c>
      <c r="AM15" s="1" t="s">
        <v>483</v>
      </c>
      <c r="AN15" s="1" t="s">
        <v>484</v>
      </c>
      <c r="AO15" s="1" t="s">
        <v>485</v>
      </c>
      <c r="AP15" s="1" t="s">
        <v>486</v>
      </c>
      <c r="AQ15" s="1" t="s">
        <v>487</v>
      </c>
      <c r="AR15" s="1" t="s">
        <v>634</v>
      </c>
      <c r="AS15" s="1" t="s">
        <v>488</v>
      </c>
      <c r="AT15" s="1" t="s">
        <v>489</v>
      </c>
      <c r="AU15" s="1" t="s">
        <v>490</v>
      </c>
      <c r="AV15" s="1" t="s">
        <v>491</v>
      </c>
      <c r="AW15" s="1" t="s">
        <v>492</v>
      </c>
      <c r="AX15" s="1" t="s">
        <v>493</v>
      </c>
      <c r="AY15" s="1" t="s">
        <v>494</v>
      </c>
      <c r="AZ15" s="1" t="s">
        <v>495</v>
      </c>
      <c r="BA15" s="1" t="s">
        <v>496</v>
      </c>
      <c r="BB15" s="67" t="s">
        <v>568</v>
      </c>
      <c r="BC15" s="1" t="s">
        <v>497</v>
      </c>
      <c r="BD15" s="1" t="s">
        <v>498</v>
      </c>
      <c r="BE15" s="1" t="s">
        <v>499</v>
      </c>
      <c r="BF15" s="1" t="s">
        <v>500</v>
      </c>
      <c r="BG15" s="1" t="s">
        <v>501</v>
      </c>
      <c r="BH15" s="1" t="s">
        <v>502</v>
      </c>
      <c r="BI15" s="1" t="s">
        <v>503</v>
      </c>
      <c r="BJ15" s="1" t="s">
        <v>504</v>
      </c>
      <c r="BK15" s="1" t="s">
        <v>619</v>
      </c>
      <c r="BL15" s="1" t="s">
        <v>505</v>
      </c>
      <c r="BM15" s="1" t="s">
        <v>506</v>
      </c>
      <c r="BN15" s="1" t="s">
        <v>507</v>
      </c>
      <c r="BO15" s="1" t="s">
        <v>508</v>
      </c>
      <c r="BP15" s="1" t="s">
        <v>509</v>
      </c>
      <c r="BQ15" s="1" t="s">
        <v>553</v>
      </c>
      <c r="BR15" s="1" t="s">
        <v>510</v>
      </c>
      <c r="BS15" s="1" t="s">
        <v>511</v>
      </c>
      <c r="BT15" s="1" t="s">
        <v>512</v>
      </c>
      <c r="BU15" s="1" t="s">
        <v>513</v>
      </c>
      <c r="BV15" s="1" t="s">
        <v>514</v>
      </c>
      <c r="BW15" s="1" t="s">
        <v>515</v>
      </c>
      <c r="BX15" s="1" t="s">
        <v>516</v>
      </c>
      <c r="BY15" s="1" t="s">
        <v>517</v>
      </c>
      <c r="BZ15" s="1" t="s">
        <v>518</v>
      </c>
      <c r="CA15" s="1" t="s">
        <v>519</v>
      </c>
      <c r="CB15" s="1" t="s">
        <v>520</v>
      </c>
      <c r="CC15" s="1" t="s">
        <v>521</v>
      </c>
      <c r="CD15" s="1" t="s">
        <v>522</v>
      </c>
      <c r="CE15" s="1" t="s">
        <v>523</v>
      </c>
      <c r="CF15" s="1" t="s">
        <v>524</v>
      </c>
      <c r="CG15" s="1" t="s">
        <v>525</v>
      </c>
      <c r="CH15" s="1" t="s">
        <v>526</v>
      </c>
      <c r="CI15" s="1" t="s">
        <v>527</v>
      </c>
      <c r="CJ15" s="1" t="s">
        <v>528</v>
      </c>
      <c r="CK15" s="1" t="s">
        <v>592</v>
      </c>
      <c r="CL15" s="1" t="s">
        <v>529</v>
      </c>
      <c r="CM15" s="1" t="s">
        <v>593</v>
      </c>
      <c r="CN15" s="1" t="s">
        <v>530</v>
      </c>
      <c r="CO15" s="1" t="s">
        <v>594</v>
      </c>
      <c r="CP15" s="1" t="s">
        <v>531</v>
      </c>
      <c r="CQ15" s="1" t="s">
        <v>532</v>
      </c>
      <c r="CR15" s="1" t="s">
        <v>533</v>
      </c>
      <c r="CS15" s="1" t="s">
        <v>596</v>
      </c>
      <c r="CT15" s="1" t="s">
        <v>534</v>
      </c>
      <c r="CU15" s="1" t="s">
        <v>535</v>
      </c>
      <c r="CV15" s="1" t="s">
        <v>536</v>
      </c>
      <c r="CW15" s="1" t="s">
        <v>537</v>
      </c>
      <c r="CX15" s="1" t="s">
        <v>538</v>
      </c>
      <c r="CY15" s="1" t="s">
        <v>539</v>
      </c>
      <c r="CZ15" s="2" t="s">
        <v>540</v>
      </c>
    </row>
    <row r="16" spans="1:218" ht="31.2" x14ac:dyDescent="0.3">
      <c r="A16" s="14" t="s">
        <v>67</v>
      </c>
      <c r="B16" s="15" t="s">
        <v>1</v>
      </c>
      <c r="C16" s="15" t="s">
        <v>1</v>
      </c>
      <c r="D16" s="16" t="s">
        <v>68</v>
      </c>
      <c r="E16" s="17">
        <f t="shared" ref="E16:AO16" si="0">SUM(E17+E19+E23+E37+E39+E45+E47)</f>
        <v>242293335</v>
      </c>
      <c r="F16" s="18">
        <f t="shared" si="0"/>
        <v>233962061</v>
      </c>
      <c r="G16" s="18">
        <f t="shared" si="0"/>
        <v>229304017</v>
      </c>
      <c r="H16" s="18">
        <f t="shared" si="0"/>
        <v>154296152</v>
      </c>
      <c r="I16" s="18">
        <f t="shared" si="0"/>
        <v>33138169</v>
      </c>
      <c r="J16" s="18">
        <f t="shared" si="0"/>
        <v>10886185</v>
      </c>
      <c r="K16" s="18">
        <f t="shared" si="0"/>
        <v>97030</v>
      </c>
      <c r="L16" s="18">
        <f t="shared" si="0"/>
        <v>116072</v>
      </c>
      <c r="M16" s="18">
        <f t="shared" si="0"/>
        <v>0</v>
      </c>
      <c r="N16" s="18">
        <f t="shared" si="0"/>
        <v>0</v>
      </c>
      <c r="O16" s="18">
        <f t="shared" si="0"/>
        <v>6735567</v>
      </c>
      <c r="P16" s="18">
        <f t="shared" si="0"/>
        <v>3937516</v>
      </c>
      <c r="Q16" s="18">
        <f t="shared" si="0"/>
        <v>2368608</v>
      </c>
      <c r="R16" s="18">
        <f t="shared" si="0"/>
        <v>4520</v>
      </c>
      <c r="S16" s="18">
        <f t="shared" si="0"/>
        <v>2364088</v>
      </c>
      <c r="T16" s="18">
        <f t="shared" si="0"/>
        <v>3200</v>
      </c>
      <c r="U16" s="18">
        <f t="shared" si="0"/>
        <v>5150333</v>
      </c>
      <c r="V16" s="18">
        <f t="shared" si="0"/>
        <v>4831319</v>
      </c>
      <c r="W16" s="18">
        <f t="shared" si="0"/>
        <v>872215</v>
      </c>
      <c r="X16" s="18">
        <f t="shared" si="0"/>
        <v>1450630</v>
      </c>
      <c r="Y16" s="18">
        <f t="shared" si="0"/>
        <v>1366385</v>
      </c>
      <c r="Z16" s="18">
        <f t="shared" si="0"/>
        <v>251638</v>
      </c>
      <c r="AA16" s="18">
        <f t="shared" si="0"/>
        <v>127859</v>
      </c>
      <c r="AB16" s="18">
        <f t="shared" si="0"/>
        <v>625826</v>
      </c>
      <c r="AC16" s="18">
        <f t="shared" si="0"/>
        <v>0</v>
      </c>
      <c r="AD16" s="18">
        <f t="shared" si="0"/>
        <v>136766</v>
      </c>
      <c r="AE16" s="18">
        <f t="shared" si="0"/>
        <v>0</v>
      </c>
      <c r="AF16" s="18">
        <f t="shared" si="0"/>
        <v>18630051</v>
      </c>
      <c r="AG16" s="18">
        <f t="shared" si="0"/>
        <v>0</v>
      </c>
      <c r="AH16" s="18">
        <f t="shared" si="0"/>
        <v>0</v>
      </c>
      <c r="AI16" s="18">
        <f t="shared" si="0"/>
        <v>464708</v>
      </c>
      <c r="AJ16" s="18">
        <f t="shared" si="0"/>
        <v>3502500</v>
      </c>
      <c r="AK16" s="18">
        <f t="shared" si="0"/>
        <v>0</v>
      </c>
      <c r="AL16" s="18">
        <f t="shared" si="0"/>
        <v>136951</v>
      </c>
      <c r="AM16" s="18">
        <f t="shared" si="0"/>
        <v>1045410</v>
      </c>
      <c r="AN16" s="18">
        <f t="shared" si="0"/>
        <v>289368</v>
      </c>
      <c r="AO16" s="18">
        <f t="shared" si="0"/>
        <v>567796</v>
      </c>
      <c r="AP16" s="18">
        <f t="shared" ref="AP16:BC16" si="1">SUM(AP17+AP19+AP23+AP37+AP39+AP45+AP47)</f>
        <v>5048543</v>
      </c>
      <c r="AQ16" s="18">
        <f t="shared" si="1"/>
        <v>8041</v>
      </c>
      <c r="AR16" s="18">
        <f t="shared" ref="AR16" si="2">SUM(AR17+AR19+AR23+AR37+AR39+AR45+AR47)</f>
        <v>0</v>
      </c>
      <c r="AS16" s="18">
        <f t="shared" si="1"/>
        <v>0</v>
      </c>
      <c r="AT16" s="18">
        <f t="shared" si="1"/>
        <v>968808</v>
      </c>
      <c r="AU16" s="18">
        <f t="shared" si="1"/>
        <v>155746</v>
      </c>
      <c r="AV16" s="18">
        <f t="shared" si="1"/>
        <v>0</v>
      </c>
      <c r="AW16" s="18">
        <f t="shared" si="1"/>
        <v>0</v>
      </c>
      <c r="AX16" s="18">
        <f t="shared" si="1"/>
        <v>0</v>
      </c>
      <c r="AY16" s="18">
        <f t="shared" si="1"/>
        <v>962312</v>
      </c>
      <c r="AZ16" s="18">
        <f t="shared" si="1"/>
        <v>0</v>
      </c>
      <c r="BA16" s="18">
        <f t="shared" si="1"/>
        <v>550366</v>
      </c>
      <c r="BB16" s="18">
        <f t="shared" si="1"/>
        <v>317220</v>
      </c>
      <c r="BC16" s="18">
        <f t="shared" si="1"/>
        <v>4612282</v>
      </c>
      <c r="BD16" s="18">
        <f t="shared" ref="BD16:CQ16" si="3">SUM(BD17+BD19+BD23+BD37+BD39+BD45+BD47)</f>
        <v>4658044</v>
      </c>
      <c r="BE16" s="18">
        <f t="shared" si="3"/>
        <v>0</v>
      </c>
      <c r="BF16" s="18">
        <f t="shared" si="3"/>
        <v>0</v>
      </c>
      <c r="BG16" s="18">
        <f t="shared" si="3"/>
        <v>0</v>
      </c>
      <c r="BH16" s="18">
        <f t="shared" si="3"/>
        <v>0</v>
      </c>
      <c r="BI16" s="18">
        <f t="shared" si="3"/>
        <v>0</v>
      </c>
      <c r="BJ16" s="18">
        <f t="shared" si="3"/>
        <v>0</v>
      </c>
      <c r="BK16" s="18">
        <f t="shared" ref="BK16" si="4">SUM(BK17+BK19+BK23+BK37+BK39+BK45+BK47)</f>
        <v>0</v>
      </c>
      <c r="BL16" s="18">
        <f t="shared" si="3"/>
        <v>0</v>
      </c>
      <c r="BM16" s="18">
        <f t="shared" si="3"/>
        <v>0</v>
      </c>
      <c r="BN16" s="18">
        <f t="shared" si="3"/>
        <v>0</v>
      </c>
      <c r="BO16" s="18">
        <f t="shared" si="3"/>
        <v>0</v>
      </c>
      <c r="BP16" s="18">
        <f t="shared" si="3"/>
        <v>0</v>
      </c>
      <c r="BQ16" s="18">
        <f t="shared" si="3"/>
        <v>0</v>
      </c>
      <c r="BR16" s="18">
        <f t="shared" si="3"/>
        <v>4658044</v>
      </c>
      <c r="BS16" s="18">
        <f t="shared" si="3"/>
        <v>0</v>
      </c>
      <c r="BT16" s="18">
        <f t="shared" si="3"/>
        <v>0</v>
      </c>
      <c r="BU16" s="18">
        <f t="shared" si="3"/>
        <v>0</v>
      </c>
      <c r="BV16" s="18">
        <f t="shared" si="3"/>
        <v>0</v>
      </c>
      <c r="BW16" s="18">
        <f t="shared" si="3"/>
        <v>0</v>
      </c>
      <c r="BX16" s="18">
        <f t="shared" si="3"/>
        <v>0</v>
      </c>
      <c r="BY16" s="18">
        <f t="shared" si="3"/>
        <v>0</v>
      </c>
      <c r="BZ16" s="18">
        <f t="shared" si="3"/>
        <v>0</v>
      </c>
      <c r="CA16" s="18">
        <f t="shared" si="3"/>
        <v>0</v>
      </c>
      <c r="CB16" s="18">
        <f t="shared" si="3"/>
        <v>4497044</v>
      </c>
      <c r="CC16" s="18">
        <f t="shared" si="3"/>
        <v>161000</v>
      </c>
      <c r="CD16" s="18">
        <f t="shared" si="3"/>
        <v>8331274</v>
      </c>
      <c r="CE16" s="18">
        <f t="shared" si="3"/>
        <v>8331274</v>
      </c>
      <c r="CF16" s="18">
        <f t="shared" si="3"/>
        <v>6270281</v>
      </c>
      <c r="CG16" s="18">
        <f t="shared" si="3"/>
        <v>0</v>
      </c>
      <c r="CH16" s="18">
        <f t="shared" si="3"/>
        <v>6270281</v>
      </c>
      <c r="CI16" s="18">
        <f t="shared" si="3"/>
        <v>966000</v>
      </c>
      <c r="CJ16" s="18">
        <f t="shared" si="3"/>
        <v>966000</v>
      </c>
      <c r="CK16" s="18">
        <f t="shared" si="3"/>
        <v>0</v>
      </c>
      <c r="CL16" s="18">
        <f t="shared" si="3"/>
        <v>0</v>
      </c>
      <c r="CM16" s="18">
        <f t="shared" si="3"/>
        <v>0</v>
      </c>
      <c r="CN16" s="18">
        <f t="shared" si="3"/>
        <v>1094993</v>
      </c>
      <c r="CO16" s="18">
        <f t="shared" si="3"/>
        <v>0</v>
      </c>
      <c r="CP16" s="18">
        <f t="shared" si="3"/>
        <v>0</v>
      </c>
      <c r="CQ16" s="18">
        <f t="shared" si="3"/>
        <v>1094993</v>
      </c>
      <c r="CR16" s="18"/>
      <c r="CS16" s="18"/>
      <c r="CT16" s="18">
        <f t="shared" ref="CT16:CZ16" si="5">SUM(CT17+CT19+CT23+CT37+CT39+CT45+CT47)</f>
        <v>0</v>
      </c>
      <c r="CU16" s="18">
        <f t="shared" si="5"/>
        <v>0</v>
      </c>
      <c r="CV16" s="18">
        <f t="shared" si="5"/>
        <v>0</v>
      </c>
      <c r="CW16" s="18">
        <f t="shared" si="5"/>
        <v>0</v>
      </c>
      <c r="CX16" s="18">
        <f t="shared" si="5"/>
        <v>0</v>
      </c>
      <c r="CY16" s="18">
        <f t="shared" si="5"/>
        <v>0</v>
      </c>
      <c r="CZ16" s="19">
        <f t="shared" si="5"/>
        <v>0</v>
      </c>
      <c r="HJ16" s="3"/>
    </row>
    <row r="17" spans="1:104" ht="31.2" x14ac:dyDescent="0.3">
      <c r="A17" s="20"/>
      <c r="B17" s="21" t="s">
        <v>69</v>
      </c>
      <c r="C17" s="21" t="s">
        <v>1</v>
      </c>
      <c r="D17" s="22" t="s">
        <v>70</v>
      </c>
      <c r="E17" s="23">
        <f>SUM(E18)</f>
        <v>29932477</v>
      </c>
      <c r="F17" s="24">
        <f t="shared" ref="F17:BX17" si="6">SUM(F18)</f>
        <v>28847638</v>
      </c>
      <c r="G17" s="24">
        <f t="shared" si="6"/>
        <v>28815816</v>
      </c>
      <c r="H17" s="24">
        <f t="shared" si="6"/>
        <v>13799081</v>
      </c>
      <c r="I17" s="24">
        <f t="shared" si="6"/>
        <v>3351620</v>
      </c>
      <c r="J17" s="24">
        <f t="shared" si="6"/>
        <v>2215243</v>
      </c>
      <c r="K17" s="24">
        <f t="shared" si="6"/>
        <v>0</v>
      </c>
      <c r="L17" s="24">
        <f t="shared" si="6"/>
        <v>19272</v>
      </c>
      <c r="M17" s="24">
        <f t="shared" si="6"/>
        <v>0</v>
      </c>
      <c r="N17" s="24">
        <f t="shared" si="6"/>
        <v>0</v>
      </c>
      <c r="O17" s="24">
        <f t="shared" si="6"/>
        <v>1523641</v>
      </c>
      <c r="P17" s="24">
        <f t="shared" si="6"/>
        <v>672330</v>
      </c>
      <c r="Q17" s="24">
        <f t="shared" si="6"/>
        <v>435133</v>
      </c>
      <c r="R17" s="24">
        <f t="shared" si="6"/>
        <v>856</v>
      </c>
      <c r="S17" s="24">
        <f t="shared" si="6"/>
        <v>434277</v>
      </c>
      <c r="T17" s="24">
        <f t="shared" si="6"/>
        <v>0</v>
      </c>
      <c r="U17" s="24">
        <f t="shared" si="6"/>
        <v>652181</v>
      </c>
      <c r="V17" s="24">
        <f t="shared" si="6"/>
        <v>614101</v>
      </c>
      <c r="W17" s="24">
        <f t="shared" si="6"/>
        <v>183250</v>
      </c>
      <c r="X17" s="24">
        <f t="shared" si="6"/>
        <v>93928</v>
      </c>
      <c r="Y17" s="24">
        <f t="shared" si="6"/>
        <v>225660</v>
      </c>
      <c r="Z17" s="24">
        <f t="shared" si="6"/>
        <v>37500</v>
      </c>
      <c r="AA17" s="24">
        <f t="shared" si="6"/>
        <v>30451</v>
      </c>
      <c r="AB17" s="24">
        <f t="shared" si="6"/>
        <v>0</v>
      </c>
      <c r="AC17" s="24">
        <f t="shared" si="6"/>
        <v>0</v>
      </c>
      <c r="AD17" s="24">
        <f t="shared" si="6"/>
        <v>43312</v>
      </c>
      <c r="AE17" s="24">
        <f t="shared" si="6"/>
        <v>0</v>
      </c>
      <c r="AF17" s="24">
        <f t="shared" si="6"/>
        <v>7748457</v>
      </c>
      <c r="AG17" s="24">
        <f t="shared" si="6"/>
        <v>0</v>
      </c>
      <c r="AH17" s="24">
        <f t="shared" si="6"/>
        <v>0</v>
      </c>
      <c r="AI17" s="24">
        <f t="shared" si="6"/>
        <v>41883</v>
      </c>
      <c r="AJ17" s="24">
        <f t="shared" si="6"/>
        <v>185925</v>
      </c>
      <c r="AK17" s="24">
        <f t="shared" si="6"/>
        <v>0</v>
      </c>
      <c r="AL17" s="24">
        <f t="shared" si="6"/>
        <v>21455</v>
      </c>
      <c r="AM17" s="24">
        <f t="shared" si="6"/>
        <v>1000574</v>
      </c>
      <c r="AN17" s="24">
        <f t="shared" si="6"/>
        <v>15000</v>
      </c>
      <c r="AO17" s="24">
        <f t="shared" si="6"/>
        <v>172000</v>
      </c>
      <c r="AP17" s="24">
        <f t="shared" si="6"/>
        <v>2577670</v>
      </c>
      <c r="AQ17" s="24">
        <f t="shared" si="6"/>
        <v>7326</v>
      </c>
      <c r="AR17" s="24"/>
      <c r="AS17" s="24">
        <f t="shared" si="6"/>
        <v>0</v>
      </c>
      <c r="AT17" s="24">
        <f t="shared" si="6"/>
        <v>0</v>
      </c>
      <c r="AU17" s="24">
        <f t="shared" si="6"/>
        <v>13574</v>
      </c>
      <c r="AV17" s="24"/>
      <c r="AW17" s="24"/>
      <c r="AX17" s="24">
        <f t="shared" si="6"/>
        <v>0</v>
      </c>
      <c r="AY17" s="24">
        <f t="shared" si="6"/>
        <v>0</v>
      </c>
      <c r="AZ17" s="24">
        <f t="shared" si="6"/>
        <v>0</v>
      </c>
      <c r="BA17" s="24">
        <f t="shared" si="6"/>
        <v>0</v>
      </c>
      <c r="BB17" s="24"/>
      <c r="BC17" s="24">
        <f t="shared" si="6"/>
        <v>3713050</v>
      </c>
      <c r="BD17" s="24">
        <f t="shared" si="6"/>
        <v>31822</v>
      </c>
      <c r="BE17" s="24">
        <f t="shared" si="6"/>
        <v>0</v>
      </c>
      <c r="BF17" s="24">
        <f t="shared" si="6"/>
        <v>0</v>
      </c>
      <c r="BG17" s="24">
        <f t="shared" si="6"/>
        <v>0</v>
      </c>
      <c r="BH17" s="24">
        <f t="shared" si="6"/>
        <v>0</v>
      </c>
      <c r="BI17" s="24">
        <f t="shared" si="6"/>
        <v>0</v>
      </c>
      <c r="BJ17" s="24">
        <f t="shared" si="6"/>
        <v>0</v>
      </c>
      <c r="BK17" s="24">
        <f t="shared" si="6"/>
        <v>0</v>
      </c>
      <c r="BL17" s="24">
        <f t="shared" si="6"/>
        <v>0</v>
      </c>
      <c r="BM17" s="24">
        <f t="shared" si="6"/>
        <v>0</v>
      </c>
      <c r="BN17" s="24">
        <f t="shared" si="6"/>
        <v>0</v>
      </c>
      <c r="BO17" s="24">
        <f t="shared" si="6"/>
        <v>0</v>
      </c>
      <c r="BP17" s="24">
        <f t="shared" si="6"/>
        <v>0</v>
      </c>
      <c r="BQ17" s="24">
        <f t="shared" si="6"/>
        <v>0</v>
      </c>
      <c r="BR17" s="24">
        <f t="shared" si="6"/>
        <v>31822</v>
      </c>
      <c r="BS17" s="24">
        <f t="shared" si="6"/>
        <v>0</v>
      </c>
      <c r="BT17" s="24">
        <f t="shared" si="6"/>
        <v>0</v>
      </c>
      <c r="BU17" s="24">
        <f t="shared" si="6"/>
        <v>0</v>
      </c>
      <c r="BV17" s="24">
        <f t="shared" si="6"/>
        <v>0</v>
      </c>
      <c r="BW17" s="24">
        <f t="shared" si="6"/>
        <v>0</v>
      </c>
      <c r="BX17" s="24">
        <f t="shared" si="6"/>
        <v>0</v>
      </c>
      <c r="BY17" s="24">
        <f t="shared" ref="BY17:CZ17" si="7">SUM(BY18)</f>
        <v>0</v>
      </c>
      <c r="BZ17" s="24">
        <f t="shared" si="7"/>
        <v>0</v>
      </c>
      <c r="CA17" s="24">
        <f t="shared" si="7"/>
        <v>0</v>
      </c>
      <c r="CB17" s="24">
        <f t="shared" si="7"/>
        <v>31822</v>
      </c>
      <c r="CC17" s="24">
        <f t="shared" si="7"/>
        <v>0</v>
      </c>
      <c r="CD17" s="24">
        <f t="shared" si="7"/>
        <v>1084839</v>
      </c>
      <c r="CE17" s="24">
        <f t="shared" si="7"/>
        <v>1084839</v>
      </c>
      <c r="CF17" s="24">
        <f t="shared" si="7"/>
        <v>932170</v>
      </c>
      <c r="CG17" s="24">
        <f t="shared" si="7"/>
        <v>0</v>
      </c>
      <c r="CH17" s="24">
        <f t="shared" si="7"/>
        <v>932170</v>
      </c>
      <c r="CI17" s="24">
        <f t="shared" si="7"/>
        <v>0</v>
      </c>
      <c r="CJ17" s="24">
        <f t="shared" si="7"/>
        <v>0</v>
      </c>
      <c r="CK17" s="24">
        <f t="shared" si="7"/>
        <v>0</v>
      </c>
      <c r="CL17" s="24">
        <f t="shared" si="7"/>
        <v>0</v>
      </c>
      <c r="CM17" s="24">
        <f t="shared" si="7"/>
        <v>0</v>
      </c>
      <c r="CN17" s="24">
        <f t="shared" si="7"/>
        <v>152669</v>
      </c>
      <c r="CO17" s="24">
        <f t="shared" si="7"/>
        <v>0</v>
      </c>
      <c r="CP17" s="24">
        <f t="shared" si="7"/>
        <v>0</v>
      </c>
      <c r="CQ17" s="24">
        <f t="shared" si="7"/>
        <v>152669</v>
      </c>
      <c r="CR17" s="24"/>
      <c r="CS17" s="24"/>
      <c r="CT17" s="24">
        <f t="shared" si="7"/>
        <v>0</v>
      </c>
      <c r="CU17" s="24">
        <f t="shared" si="7"/>
        <v>0</v>
      </c>
      <c r="CV17" s="24">
        <f t="shared" si="7"/>
        <v>0</v>
      </c>
      <c r="CW17" s="24">
        <f t="shared" si="7"/>
        <v>0</v>
      </c>
      <c r="CX17" s="24">
        <f t="shared" si="7"/>
        <v>0</v>
      </c>
      <c r="CY17" s="24">
        <f t="shared" si="7"/>
        <v>0</v>
      </c>
      <c r="CZ17" s="25">
        <f t="shared" si="7"/>
        <v>0</v>
      </c>
    </row>
    <row r="18" spans="1:104" ht="15.6" x14ac:dyDescent="0.3">
      <c r="A18" s="26" t="s">
        <v>1</v>
      </c>
      <c r="B18" s="27" t="s">
        <v>1</v>
      </c>
      <c r="C18" s="27" t="s">
        <v>71</v>
      </c>
      <c r="D18" s="28" t="s">
        <v>72</v>
      </c>
      <c r="E18" s="23">
        <f>SUM(F18+CD18+CW18)</f>
        <v>29932477</v>
      </c>
      <c r="F18" s="24">
        <f>SUM(G18+BD18)</f>
        <v>28847638</v>
      </c>
      <c r="G18" s="24">
        <f>SUM(H18+I18+J18+Q18+T18+U18+V18+AF18+AE18)</f>
        <v>28815816</v>
      </c>
      <c r="H18" s="29">
        <v>13799081</v>
      </c>
      <c r="I18" s="29">
        <v>3351620</v>
      </c>
      <c r="J18" s="24">
        <f t="shared" ref="J18:J77" si="8">SUM(K18:P18)</f>
        <v>2215243</v>
      </c>
      <c r="K18" s="24">
        <v>0</v>
      </c>
      <c r="L18" s="29">
        <v>19272</v>
      </c>
      <c r="M18" s="29">
        <v>0</v>
      </c>
      <c r="N18" s="29">
        <v>0</v>
      </c>
      <c r="O18" s="29">
        <f>1526650-3009</f>
        <v>1523641</v>
      </c>
      <c r="P18" s="29">
        <v>672330</v>
      </c>
      <c r="Q18" s="24">
        <f t="shared" ref="Q18:Q77" si="9">SUM(R18:S18)</f>
        <v>435133</v>
      </c>
      <c r="R18" s="24">
        <v>856</v>
      </c>
      <c r="S18" s="24">
        <v>434277</v>
      </c>
      <c r="T18" s="24">
        <v>0</v>
      </c>
      <c r="U18" s="24">
        <f>1252181-600000</f>
        <v>652181</v>
      </c>
      <c r="V18" s="24">
        <f>SUM(W18:AD18)</f>
        <v>614101</v>
      </c>
      <c r="W18" s="29">
        <v>183250</v>
      </c>
      <c r="X18" s="29">
        <f>93445+483</f>
        <v>93928</v>
      </c>
      <c r="Y18" s="29">
        <v>225660</v>
      </c>
      <c r="Z18" s="29">
        <v>37500</v>
      </c>
      <c r="AA18" s="29">
        <v>30451</v>
      </c>
      <c r="AB18" s="29">
        <v>0</v>
      </c>
      <c r="AC18" s="29">
        <v>0</v>
      </c>
      <c r="AD18" s="29">
        <f>40287+3025</f>
        <v>43312</v>
      </c>
      <c r="AE18" s="24"/>
      <c r="AF18" s="24">
        <f>SUM(AG18:BC18)</f>
        <v>7748457</v>
      </c>
      <c r="AG18" s="24">
        <v>0</v>
      </c>
      <c r="AH18" s="24"/>
      <c r="AI18" s="29">
        <v>41883</v>
      </c>
      <c r="AJ18" s="29">
        <v>185925</v>
      </c>
      <c r="AK18" s="29">
        <v>0</v>
      </c>
      <c r="AL18" s="29">
        <v>21455</v>
      </c>
      <c r="AM18" s="29">
        <v>1000574</v>
      </c>
      <c r="AN18" s="29">
        <v>15000</v>
      </c>
      <c r="AO18" s="29">
        <v>172000</v>
      </c>
      <c r="AP18" s="29">
        <v>2577670</v>
      </c>
      <c r="AQ18" s="29">
        <v>7326</v>
      </c>
      <c r="AR18" s="29">
        <v>0</v>
      </c>
      <c r="AS18" s="29">
        <v>0</v>
      </c>
      <c r="AT18" s="29"/>
      <c r="AU18" s="29">
        <v>13574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/>
      <c r="BC18" s="29">
        <v>3713050</v>
      </c>
      <c r="BD18" s="24">
        <f>SUM(BE18+BI18+BM18+BO18+BR18)</f>
        <v>31822</v>
      </c>
      <c r="BE18" s="24">
        <f>SUM(BF18:BH18)</f>
        <v>0</v>
      </c>
      <c r="BF18" s="24">
        <v>0</v>
      </c>
      <c r="BG18" s="24">
        <v>0</v>
      </c>
      <c r="BH18" s="24">
        <v>0</v>
      </c>
      <c r="BI18" s="24">
        <f>SUM(BL18:BL18)</f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f t="shared" ref="BO18:BO77" si="10">SUM(BP18)</f>
        <v>0</v>
      </c>
      <c r="BP18" s="24">
        <v>0</v>
      </c>
      <c r="BQ18" s="24">
        <v>0</v>
      </c>
      <c r="BR18" s="24">
        <f>SUM(BS18:CC18)</f>
        <v>31822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31822</v>
      </c>
      <c r="CC18" s="24">
        <v>0</v>
      </c>
      <c r="CD18" s="24">
        <f>SUM(CE18+CV18)</f>
        <v>1084839</v>
      </c>
      <c r="CE18" s="24">
        <f>SUM(CF18+CI18+CN18)</f>
        <v>1084839</v>
      </c>
      <c r="CF18" s="24">
        <f t="shared" ref="CF18:CF77" si="11">SUM(CG18:CH18)</f>
        <v>932170</v>
      </c>
      <c r="CG18" s="24">
        <v>0</v>
      </c>
      <c r="CH18" s="24">
        <v>932170</v>
      </c>
      <c r="CI18" s="24">
        <f>SUM(CJ18:CM18)</f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f>SUM(CO18:CS18)</f>
        <v>152669</v>
      </c>
      <c r="CO18" s="24"/>
      <c r="CP18" s="24"/>
      <c r="CQ18" s="24">
        <v>152669</v>
      </c>
      <c r="CR18" s="24"/>
      <c r="CS18" s="24"/>
      <c r="CT18" s="24">
        <f>SUM(CU18)</f>
        <v>0</v>
      </c>
      <c r="CU18" s="24"/>
      <c r="CV18" s="24">
        <v>0</v>
      </c>
      <c r="CW18" s="24">
        <f t="shared" ref="CW18:CW77" si="12">SUM(CX18)</f>
        <v>0</v>
      </c>
      <c r="CX18" s="24">
        <f t="shared" ref="CX18:CX77" si="13">SUM(CY18:CZ18)</f>
        <v>0</v>
      </c>
      <c r="CY18" s="24">
        <v>0</v>
      </c>
      <c r="CZ18" s="25">
        <v>0</v>
      </c>
    </row>
    <row r="19" spans="1:104" ht="31.2" x14ac:dyDescent="0.3">
      <c r="A19" s="20"/>
      <c r="B19" s="21" t="s">
        <v>73</v>
      </c>
      <c r="C19" s="21" t="s">
        <v>1</v>
      </c>
      <c r="D19" s="22" t="s">
        <v>74</v>
      </c>
      <c r="E19" s="23">
        <f>SUM(E20:E22)</f>
        <v>44825590</v>
      </c>
      <c r="F19" s="24">
        <f t="shared" ref="F19:BX19" si="14">SUM(F20:F22)</f>
        <v>42114631</v>
      </c>
      <c r="G19" s="24">
        <f t="shared" si="14"/>
        <v>40069410</v>
      </c>
      <c r="H19" s="24">
        <f t="shared" si="14"/>
        <v>25170258</v>
      </c>
      <c r="I19" s="24">
        <f t="shared" si="14"/>
        <v>6087375</v>
      </c>
      <c r="J19" s="24">
        <f t="shared" si="14"/>
        <v>3051699</v>
      </c>
      <c r="K19" s="24">
        <f t="shared" si="14"/>
        <v>0</v>
      </c>
      <c r="L19" s="24">
        <f t="shared" si="14"/>
        <v>0</v>
      </c>
      <c r="M19" s="24">
        <f t="shared" si="14"/>
        <v>0</v>
      </c>
      <c r="N19" s="24">
        <f t="shared" si="14"/>
        <v>0</v>
      </c>
      <c r="O19" s="24">
        <f t="shared" si="14"/>
        <v>2164593</v>
      </c>
      <c r="P19" s="24">
        <f t="shared" si="14"/>
        <v>887106</v>
      </c>
      <c r="Q19" s="24">
        <f t="shared" si="14"/>
        <v>694589</v>
      </c>
      <c r="R19" s="24">
        <f t="shared" si="14"/>
        <v>0</v>
      </c>
      <c r="S19" s="24">
        <f t="shared" si="14"/>
        <v>694589</v>
      </c>
      <c r="T19" s="24">
        <f t="shared" si="14"/>
        <v>0</v>
      </c>
      <c r="U19" s="24">
        <f t="shared" si="14"/>
        <v>717855</v>
      </c>
      <c r="V19" s="24">
        <f t="shared" si="14"/>
        <v>165504</v>
      </c>
      <c r="W19" s="24">
        <f t="shared" si="14"/>
        <v>57517</v>
      </c>
      <c r="X19" s="24">
        <f t="shared" si="14"/>
        <v>32215</v>
      </c>
      <c r="Y19" s="24">
        <f t="shared" si="14"/>
        <v>45326</v>
      </c>
      <c r="Z19" s="24">
        <f t="shared" si="14"/>
        <v>13231</v>
      </c>
      <c r="AA19" s="24">
        <f t="shared" si="14"/>
        <v>4593</v>
      </c>
      <c r="AB19" s="24">
        <f t="shared" si="14"/>
        <v>0</v>
      </c>
      <c r="AC19" s="24">
        <f t="shared" si="14"/>
        <v>0</v>
      </c>
      <c r="AD19" s="24">
        <f t="shared" si="14"/>
        <v>12622</v>
      </c>
      <c r="AE19" s="24">
        <f t="shared" si="14"/>
        <v>0</v>
      </c>
      <c r="AF19" s="24">
        <f t="shared" si="14"/>
        <v>4182130</v>
      </c>
      <c r="AG19" s="24">
        <f t="shared" si="14"/>
        <v>0</v>
      </c>
      <c r="AH19" s="24">
        <f t="shared" si="14"/>
        <v>0</v>
      </c>
      <c r="AI19" s="24">
        <f t="shared" si="14"/>
        <v>93612</v>
      </c>
      <c r="AJ19" s="24">
        <f t="shared" si="14"/>
        <v>654226</v>
      </c>
      <c r="AK19" s="24">
        <f t="shared" si="14"/>
        <v>0</v>
      </c>
      <c r="AL19" s="24">
        <f t="shared" si="14"/>
        <v>29622</v>
      </c>
      <c r="AM19" s="24">
        <f t="shared" si="14"/>
        <v>14070</v>
      </c>
      <c r="AN19" s="24">
        <f t="shared" si="14"/>
        <v>232541</v>
      </c>
      <c r="AO19" s="24">
        <f t="shared" si="14"/>
        <v>46476</v>
      </c>
      <c r="AP19" s="24">
        <f t="shared" si="14"/>
        <v>1817706</v>
      </c>
      <c r="AQ19" s="24">
        <f t="shared" si="14"/>
        <v>0</v>
      </c>
      <c r="AR19" s="24"/>
      <c r="AS19" s="24">
        <f t="shared" si="14"/>
        <v>0</v>
      </c>
      <c r="AT19" s="24">
        <f t="shared" si="14"/>
        <v>563567</v>
      </c>
      <c r="AU19" s="24">
        <f t="shared" si="14"/>
        <v>29492</v>
      </c>
      <c r="AV19" s="24"/>
      <c r="AW19" s="24"/>
      <c r="AX19" s="24">
        <f t="shared" si="14"/>
        <v>0</v>
      </c>
      <c r="AY19" s="24">
        <f t="shared" si="14"/>
        <v>0</v>
      </c>
      <c r="AZ19" s="24">
        <f t="shared" si="14"/>
        <v>0</v>
      </c>
      <c r="BA19" s="24">
        <f t="shared" si="14"/>
        <v>111444</v>
      </c>
      <c r="BB19" s="24"/>
      <c r="BC19" s="24">
        <f t="shared" si="14"/>
        <v>589374</v>
      </c>
      <c r="BD19" s="24">
        <f t="shared" si="14"/>
        <v>2045221</v>
      </c>
      <c r="BE19" s="24">
        <f t="shared" si="14"/>
        <v>0</v>
      </c>
      <c r="BF19" s="24">
        <f t="shared" si="14"/>
        <v>0</v>
      </c>
      <c r="BG19" s="24">
        <f t="shared" si="14"/>
        <v>0</v>
      </c>
      <c r="BH19" s="24">
        <f t="shared" si="14"/>
        <v>0</v>
      </c>
      <c r="BI19" s="24">
        <f t="shared" si="14"/>
        <v>0</v>
      </c>
      <c r="BJ19" s="24">
        <f t="shared" si="14"/>
        <v>0</v>
      </c>
      <c r="BK19" s="24">
        <f t="shared" ref="BK19" si="15">SUM(BK20:BK22)</f>
        <v>0</v>
      </c>
      <c r="BL19" s="24">
        <f t="shared" si="14"/>
        <v>0</v>
      </c>
      <c r="BM19" s="24">
        <f t="shared" si="14"/>
        <v>0</v>
      </c>
      <c r="BN19" s="24">
        <f t="shared" si="14"/>
        <v>0</v>
      </c>
      <c r="BO19" s="24">
        <f t="shared" si="14"/>
        <v>0</v>
      </c>
      <c r="BP19" s="24">
        <f t="shared" si="14"/>
        <v>0</v>
      </c>
      <c r="BQ19" s="24">
        <f t="shared" ref="BQ19" si="16">SUM(BQ20:BQ22)</f>
        <v>0</v>
      </c>
      <c r="BR19" s="24">
        <f t="shared" si="14"/>
        <v>2045221</v>
      </c>
      <c r="BS19" s="24">
        <f t="shared" si="14"/>
        <v>0</v>
      </c>
      <c r="BT19" s="24">
        <f t="shared" si="14"/>
        <v>0</v>
      </c>
      <c r="BU19" s="24">
        <f t="shared" si="14"/>
        <v>0</v>
      </c>
      <c r="BV19" s="24">
        <f t="shared" si="14"/>
        <v>0</v>
      </c>
      <c r="BW19" s="24">
        <f t="shared" si="14"/>
        <v>0</v>
      </c>
      <c r="BX19" s="24">
        <f t="shared" si="14"/>
        <v>0</v>
      </c>
      <c r="BY19" s="24">
        <f t="shared" ref="BY19:CZ19" si="17">SUM(BY20:BY22)</f>
        <v>0</v>
      </c>
      <c r="BZ19" s="24">
        <f t="shared" si="17"/>
        <v>0</v>
      </c>
      <c r="CA19" s="24">
        <f t="shared" si="17"/>
        <v>0</v>
      </c>
      <c r="CB19" s="24">
        <f t="shared" si="17"/>
        <v>1884221</v>
      </c>
      <c r="CC19" s="24">
        <f t="shared" si="17"/>
        <v>161000</v>
      </c>
      <c r="CD19" s="24">
        <f t="shared" si="17"/>
        <v>2710959</v>
      </c>
      <c r="CE19" s="24">
        <f t="shared" si="17"/>
        <v>2710959</v>
      </c>
      <c r="CF19" s="24">
        <f t="shared" si="17"/>
        <v>1744959</v>
      </c>
      <c r="CG19" s="24">
        <f t="shared" si="17"/>
        <v>0</v>
      </c>
      <c r="CH19" s="24">
        <f t="shared" si="17"/>
        <v>1744959</v>
      </c>
      <c r="CI19" s="24">
        <f t="shared" si="17"/>
        <v>966000</v>
      </c>
      <c r="CJ19" s="24">
        <f t="shared" si="17"/>
        <v>966000</v>
      </c>
      <c r="CK19" s="24">
        <f t="shared" ref="CK19:CL19" si="18">SUM(CK20:CK22)</f>
        <v>0</v>
      </c>
      <c r="CL19" s="24">
        <f t="shared" si="18"/>
        <v>0</v>
      </c>
      <c r="CM19" s="24">
        <f t="shared" si="17"/>
        <v>0</v>
      </c>
      <c r="CN19" s="24">
        <f t="shared" si="17"/>
        <v>0</v>
      </c>
      <c r="CO19" s="24">
        <f t="shared" si="17"/>
        <v>0</v>
      </c>
      <c r="CP19" s="24">
        <f t="shared" ref="CP19" si="19">SUM(CP20:CP22)</f>
        <v>0</v>
      </c>
      <c r="CQ19" s="24">
        <f t="shared" si="17"/>
        <v>0</v>
      </c>
      <c r="CR19" s="24"/>
      <c r="CS19" s="24"/>
      <c r="CT19" s="24">
        <f>SUM(CU19)</f>
        <v>0</v>
      </c>
      <c r="CU19" s="24"/>
      <c r="CV19" s="24">
        <f t="shared" si="17"/>
        <v>0</v>
      </c>
      <c r="CW19" s="24">
        <f t="shared" si="17"/>
        <v>0</v>
      </c>
      <c r="CX19" s="24">
        <f t="shared" si="17"/>
        <v>0</v>
      </c>
      <c r="CY19" s="24">
        <f t="shared" si="17"/>
        <v>0</v>
      </c>
      <c r="CZ19" s="25">
        <f t="shared" si="17"/>
        <v>0</v>
      </c>
    </row>
    <row r="20" spans="1:104" ht="15.6" x14ac:dyDescent="0.3">
      <c r="A20" s="26" t="s">
        <v>1</v>
      </c>
      <c r="B20" s="27" t="s">
        <v>1</v>
      </c>
      <c r="C20" s="27" t="s">
        <v>75</v>
      </c>
      <c r="D20" s="28" t="s">
        <v>76</v>
      </c>
      <c r="E20" s="23">
        <f>SUM(F20+CD20+CW20)</f>
        <v>30479122</v>
      </c>
      <c r="F20" s="24">
        <f>SUM(G20+BD20)</f>
        <v>28287406</v>
      </c>
      <c r="G20" s="24">
        <f>SUM(H20+I20+J20+Q20+T20+U20+V20+AF20+AE20)</f>
        <v>26417217</v>
      </c>
      <c r="H20" s="29">
        <v>16092310</v>
      </c>
      <c r="I20" s="29">
        <v>3886313</v>
      </c>
      <c r="J20" s="24">
        <f t="shared" si="8"/>
        <v>2129842</v>
      </c>
      <c r="K20" s="30"/>
      <c r="L20" s="30"/>
      <c r="M20" s="30"/>
      <c r="N20" s="30"/>
      <c r="O20" s="29">
        <v>1516984</v>
      </c>
      <c r="P20" s="29">
        <v>612858</v>
      </c>
      <c r="Q20" s="24">
        <f t="shared" si="9"/>
        <v>640000</v>
      </c>
      <c r="R20" s="30"/>
      <c r="S20" s="30">
        <v>640000</v>
      </c>
      <c r="T20" s="30"/>
      <c r="U20" s="29">
        <v>575025</v>
      </c>
      <c r="V20" s="24">
        <f>SUM(W20:AD20)</f>
        <v>23129</v>
      </c>
      <c r="W20" s="29">
        <f>1340+6718+750</f>
        <v>8808</v>
      </c>
      <c r="X20" s="29">
        <f>1852+4118+499</f>
        <v>6469</v>
      </c>
      <c r="Y20" s="29">
        <f>1575+115+510</f>
        <v>2200</v>
      </c>
      <c r="Z20" s="29">
        <f>857+3788</f>
        <v>4645</v>
      </c>
      <c r="AA20" s="29">
        <f>401+10</f>
        <v>411</v>
      </c>
      <c r="AB20" s="29">
        <v>0</v>
      </c>
      <c r="AC20" s="29">
        <v>0</v>
      </c>
      <c r="AD20" s="29">
        <f>0+236+360</f>
        <v>596</v>
      </c>
      <c r="AE20" s="30"/>
      <c r="AF20" s="24">
        <f>SUM(AG20:BC20)</f>
        <v>3070598</v>
      </c>
      <c r="AG20" s="30"/>
      <c r="AH20" s="30"/>
      <c r="AI20" s="29">
        <v>69750</v>
      </c>
      <c r="AJ20" s="29">
        <v>500000</v>
      </c>
      <c r="AK20" s="29">
        <v>0</v>
      </c>
      <c r="AL20" s="29">
        <v>12148</v>
      </c>
      <c r="AM20" s="29">
        <v>13570</v>
      </c>
      <c r="AN20" s="29">
        <v>162828</v>
      </c>
      <c r="AO20" s="29">
        <v>38520</v>
      </c>
      <c r="AP20" s="29">
        <v>1703733</v>
      </c>
      <c r="AQ20" s="29">
        <v>0</v>
      </c>
      <c r="AR20" s="29">
        <v>0</v>
      </c>
      <c r="AS20" s="29">
        <v>0</v>
      </c>
      <c r="AT20" s="29">
        <v>15373</v>
      </c>
      <c r="AU20" s="29">
        <v>16692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/>
      <c r="BC20" s="29">
        <f>22784+515200</f>
        <v>537984</v>
      </c>
      <c r="BD20" s="24">
        <f>SUM(BE20+BI20+BM20+BO20+BR20)</f>
        <v>1870189</v>
      </c>
      <c r="BE20" s="24">
        <f>SUM(BF20:BH20)</f>
        <v>0</v>
      </c>
      <c r="BF20" s="24">
        <v>0</v>
      </c>
      <c r="BG20" s="24">
        <v>0</v>
      </c>
      <c r="BH20" s="24">
        <v>0</v>
      </c>
      <c r="BI20" s="24">
        <f>SUM(BL20:BL20)</f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f t="shared" si="10"/>
        <v>0</v>
      </c>
      <c r="BP20" s="24">
        <v>0</v>
      </c>
      <c r="BQ20" s="24">
        <v>0</v>
      </c>
      <c r="BR20" s="24">
        <f>SUM(BS20:CC20)</f>
        <v>1870189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9">
        <f>1887284-14975-2120</f>
        <v>1870189</v>
      </c>
      <c r="CC20" s="24">
        <v>0</v>
      </c>
      <c r="CD20" s="24">
        <f>SUM(CE20+CV20)</f>
        <v>2191716</v>
      </c>
      <c r="CE20" s="24">
        <f>SUM(CF20+CI20+CN20)</f>
        <v>2191716</v>
      </c>
      <c r="CF20" s="24">
        <f t="shared" si="11"/>
        <v>1225716</v>
      </c>
      <c r="CG20" s="24">
        <v>0</v>
      </c>
      <c r="CH20" s="29">
        <v>1225716</v>
      </c>
      <c r="CI20" s="24">
        <f>SUM(CJ20:CM20)</f>
        <v>966000</v>
      </c>
      <c r="CJ20" s="29">
        <v>966000</v>
      </c>
      <c r="CK20" s="29"/>
      <c r="CL20" s="24">
        <v>0</v>
      </c>
      <c r="CM20" s="24">
        <v>0</v>
      </c>
      <c r="CN20" s="24">
        <f>SUM(CO20:CS20)</f>
        <v>0</v>
      </c>
      <c r="CO20" s="24">
        <v>0</v>
      </c>
      <c r="CP20" s="24">
        <v>0</v>
      </c>
      <c r="CQ20" s="24">
        <v>0</v>
      </c>
      <c r="CR20" s="24"/>
      <c r="CS20" s="24"/>
      <c r="CT20" s="24">
        <f>SUM(CU20)</f>
        <v>0</v>
      </c>
      <c r="CU20" s="24">
        <v>0</v>
      </c>
      <c r="CV20" s="24">
        <v>0</v>
      </c>
      <c r="CW20" s="24">
        <f t="shared" si="12"/>
        <v>0</v>
      </c>
      <c r="CX20" s="24">
        <f t="shared" si="13"/>
        <v>0</v>
      </c>
      <c r="CY20" s="24">
        <v>0</v>
      </c>
      <c r="CZ20" s="25">
        <v>0</v>
      </c>
    </row>
    <row r="21" spans="1:104" ht="15.6" x14ac:dyDescent="0.3">
      <c r="A21" s="26" t="s">
        <v>1</v>
      </c>
      <c r="B21" s="27" t="s">
        <v>1</v>
      </c>
      <c r="C21" s="27" t="s">
        <v>77</v>
      </c>
      <c r="D21" s="28" t="s">
        <v>603</v>
      </c>
      <c r="E21" s="23">
        <f>SUM(F21+CD21+CW21)</f>
        <v>12154393</v>
      </c>
      <c r="F21" s="24">
        <f>SUM(G21+BD21)</f>
        <v>11754393</v>
      </c>
      <c r="G21" s="24">
        <f>SUM(H21+I21+J21+Q21+T21+U21+V21+AF21+AE21)</f>
        <v>11586118</v>
      </c>
      <c r="H21" s="29">
        <v>7679491</v>
      </c>
      <c r="I21" s="29">
        <v>1864673</v>
      </c>
      <c r="J21" s="24">
        <f t="shared" si="8"/>
        <v>741741</v>
      </c>
      <c r="K21" s="30"/>
      <c r="L21" s="30"/>
      <c r="M21" s="30"/>
      <c r="N21" s="30"/>
      <c r="O21" s="29">
        <f>533254-2055</f>
        <v>531199</v>
      </c>
      <c r="P21" s="29">
        <v>210542</v>
      </c>
      <c r="Q21" s="24">
        <f t="shared" si="9"/>
        <v>41848</v>
      </c>
      <c r="R21" s="30"/>
      <c r="S21" s="30">
        <v>41848</v>
      </c>
      <c r="T21" s="30"/>
      <c r="U21" s="29">
        <v>80406</v>
      </c>
      <c r="V21" s="24">
        <f>SUM(W21:AD21)</f>
        <v>125619</v>
      </c>
      <c r="W21" s="29">
        <v>48709</v>
      </c>
      <c r="X21" s="29">
        <f>16606+2032</f>
        <v>18638</v>
      </c>
      <c r="Y21" s="29">
        <f>34808+105</f>
        <v>34913</v>
      </c>
      <c r="Z21" s="29">
        <v>7151</v>
      </c>
      <c r="AA21" s="29">
        <v>4182</v>
      </c>
      <c r="AB21" s="29"/>
      <c r="AC21" s="29">
        <v>0</v>
      </c>
      <c r="AD21" s="29">
        <f>12022+4</f>
        <v>12026</v>
      </c>
      <c r="AE21" s="30"/>
      <c r="AF21" s="24">
        <f>SUM(AG21:BC21)</f>
        <v>1052340</v>
      </c>
      <c r="AG21" s="30"/>
      <c r="AH21" s="30"/>
      <c r="AI21" s="29">
        <v>19947</v>
      </c>
      <c r="AJ21" s="29">
        <v>153000</v>
      </c>
      <c r="AK21" s="29">
        <v>0</v>
      </c>
      <c r="AL21" s="29">
        <v>17474</v>
      </c>
      <c r="AM21" s="29">
        <v>500</v>
      </c>
      <c r="AN21" s="29">
        <v>69713</v>
      </c>
      <c r="AO21" s="29">
        <v>0</v>
      </c>
      <c r="AP21" s="29">
        <v>96360</v>
      </c>
      <c r="AQ21" s="29">
        <v>0</v>
      </c>
      <c r="AR21" s="29">
        <v>0</v>
      </c>
      <c r="AS21" s="29">
        <v>0</v>
      </c>
      <c r="AT21" s="29">
        <v>519712</v>
      </c>
      <c r="AU21" s="29">
        <v>12800</v>
      </c>
      <c r="AV21" s="29">
        <v>0</v>
      </c>
      <c r="AW21" s="29">
        <v>0</v>
      </c>
      <c r="AX21" s="29">
        <v>0</v>
      </c>
      <c r="AY21" s="29">
        <v>0</v>
      </c>
      <c r="AZ21" s="29"/>
      <c r="BA21" s="29">
        <v>111444</v>
      </c>
      <c r="BB21" s="29"/>
      <c r="BC21" s="29">
        <v>51390</v>
      </c>
      <c r="BD21" s="24">
        <f>SUM(BE21+BI21+BM21+BO21+BR21)</f>
        <v>168275</v>
      </c>
      <c r="BE21" s="24">
        <f>SUM(BF21:BH21)</f>
        <v>0</v>
      </c>
      <c r="BF21" s="24">
        <v>0</v>
      </c>
      <c r="BG21" s="24">
        <v>0</v>
      </c>
      <c r="BH21" s="24">
        <v>0</v>
      </c>
      <c r="BI21" s="24">
        <f>SUM(BL21:BL21)</f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f t="shared" si="10"/>
        <v>0</v>
      </c>
      <c r="BP21" s="24">
        <v>0</v>
      </c>
      <c r="BQ21" s="24">
        <v>0</v>
      </c>
      <c r="BR21" s="24">
        <f>SUM(BS21:CC21)</f>
        <v>168275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9">
        <v>7275</v>
      </c>
      <c r="CC21" s="24">
        <v>161000</v>
      </c>
      <c r="CD21" s="24">
        <f>SUM(CE21+CV21)</f>
        <v>400000</v>
      </c>
      <c r="CE21" s="24">
        <f>SUM(CF21+CI21+CN21)</f>
        <v>400000</v>
      </c>
      <c r="CF21" s="24">
        <f t="shared" si="11"/>
        <v>400000</v>
      </c>
      <c r="CG21" s="24">
        <v>0</v>
      </c>
      <c r="CH21" s="29">
        <v>400000</v>
      </c>
      <c r="CI21" s="24">
        <f>SUM(CJ21:CM21)</f>
        <v>0</v>
      </c>
      <c r="CJ21" s="29"/>
      <c r="CK21" s="29"/>
      <c r="CL21" s="24">
        <v>0</v>
      </c>
      <c r="CM21" s="24">
        <v>0</v>
      </c>
      <c r="CN21" s="24">
        <f>SUM(CO21:CS21)</f>
        <v>0</v>
      </c>
      <c r="CO21" s="24">
        <v>0</v>
      </c>
      <c r="CP21" s="24">
        <v>0</v>
      </c>
      <c r="CQ21" s="24">
        <v>0</v>
      </c>
      <c r="CR21" s="24"/>
      <c r="CS21" s="24"/>
      <c r="CT21" s="24">
        <v>0</v>
      </c>
      <c r="CU21" s="24">
        <v>0</v>
      </c>
      <c r="CV21" s="24">
        <v>0</v>
      </c>
      <c r="CW21" s="24">
        <f t="shared" si="12"/>
        <v>0</v>
      </c>
      <c r="CX21" s="24">
        <f t="shared" si="13"/>
        <v>0</v>
      </c>
      <c r="CY21" s="24">
        <v>0</v>
      </c>
      <c r="CZ21" s="25">
        <v>0</v>
      </c>
    </row>
    <row r="22" spans="1:104" ht="31.2" x14ac:dyDescent="0.3">
      <c r="A22" s="26" t="s">
        <v>1</v>
      </c>
      <c r="B22" s="27" t="s">
        <v>1</v>
      </c>
      <c r="C22" s="27" t="s">
        <v>78</v>
      </c>
      <c r="D22" s="28" t="s">
        <v>79</v>
      </c>
      <c r="E22" s="23">
        <f>SUM(F22+CD22+CW22)</f>
        <v>2192075</v>
      </c>
      <c r="F22" s="24">
        <f>SUM(G22+BD22)</f>
        <v>2072832</v>
      </c>
      <c r="G22" s="24">
        <f>SUM(H22+I22+J22+Q22+T22+U22+V22+AF22+AE22)</f>
        <v>2066075</v>
      </c>
      <c r="H22" s="29">
        <v>1398457</v>
      </c>
      <c r="I22" s="29">
        <v>336389</v>
      </c>
      <c r="J22" s="24">
        <f t="shared" si="8"/>
        <v>180116</v>
      </c>
      <c r="K22" s="30"/>
      <c r="L22" s="30"/>
      <c r="M22" s="30"/>
      <c r="N22" s="30"/>
      <c r="O22" s="29">
        <v>116410</v>
      </c>
      <c r="P22" s="29">
        <v>63706</v>
      </c>
      <c r="Q22" s="24">
        <f t="shared" si="9"/>
        <v>12741</v>
      </c>
      <c r="R22" s="30"/>
      <c r="S22" s="30">
        <v>12741</v>
      </c>
      <c r="T22" s="30"/>
      <c r="U22" s="29">
        <v>62424</v>
      </c>
      <c r="V22" s="24">
        <f>SUM(W22:AD22)</f>
        <v>16756</v>
      </c>
      <c r="W22" s="29">
        <v>0</v>
      </c>
      <c r="X22" s="29">
        <f>7072+36</f>
        <v>7108</v>
      </c>
      <c r="Y22" s="29">
        <v>8213</v>
      </c>
      <c r="Z22" s="29">
        <v>1435</v>
      </c>
      <c r="AA22" s="29">
        <v>0</v>
      </c>
      <c r="AB22" s="29">
        <v>0</v>
      </c>
      <c r="AC22" s="29">
        <v>0</v>
      </c>
      <c r="AD22" s="29">
        <v>0</v>
      </c>
      <c r="AE22" s="30"/>
      <c r="AF22" s="24">
        <f>SUM(AG22:BC22)</f>
        <v>59192</v>
      </c>
      <c r="AG22" s="30"/>
      <c r="AH22" s="30"/>
      <c r="AI22" s="29">
        <v>3915</v>
      </c>
      <c r="AJ22" s="29">
        <v>1226</v>
      </c>
      <c r="AK22" s="29">
        <v>0</v>
      </c>
      <c r="AL22" s="29">
        <v>0</v>
      </c>
      <c r="AM22" s="29">
        <v>0</v>
      </c>
      <c r="AN22" s="29">
        <v>0</v>
      </c>
      <c r="AO22" s="29">
        <v>7956</v>
      </c>
      <c r="AP22" s="29">
        <v>17613</v>
      </c>
      <c r="AQ22" s="29">
        <v>0</v>
      </c>
      <c r="AR22" s="29">
        <v>0</v>
      </c>
      <c r="AS22" s="29">
        <v>0</v>
      </c>
      <c r="AT22" s="29">
        <f>28958-476</f>
        <v>28482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/>
      <c r="BC22" s="29">
        <v>0</v>
      </c>
      <c r="BD22" s="24">
        <f>SUM(BE22+BI22+BM22+BO22+BR22)</f>
        <v>6757</v>
      </c>
      <c r="BE22" s="24">
        <f>SUM(BF22:BH22)</f>
        <v>0</v>
      </c>
      <c r="BF22" s="24">
        <v>0</v>
      </c>
      <c r="BG22" s="24">
        <v>0</v>
      </c>
      <c r="BH22" s="24">
        <v>0</v>
      </c>
      <c r="BI22" s="24">
        <f>SUM(BL22:BL22)</f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f t="shared" si="10"/>
        <v>0</v>
      </c>
      <c r="BP22" s="24">
        <v>0</v>
      </c>
      <c r="BQ22" s="24">
        <v>0</v>
      </c>
      <c r="BR22" s="24">
        <f>SUM(BS22:CC22)</f>
        <v>6757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9">
        <v>6757</v>
      </c>
      <c r="CC22" s="24">
        <v>0</v>
      </c>
      <c r="CD22" s="24">
        <f>SUM(CE22+CV22)</f>
        <v>119243</v>
      </c>
      <c r="CE22" s="24">
        <f>SUM(CF22+CI22+CN22)</f>
        <v>119243</v>
      </c>
      <c r="CF22" s="24">
        <f t="shared" si="11"/>
        <v>119243</v>
      </c>
      <c r="CG22" s="24">
        <v>0</v>
      </c>
      <c r="CH22" s="29">
        <f>127412-8169</f>
        <v>119243</v>
      </c>
      <c r="CI22" s="24">
        <f>SUM(CJ22:CM22)</f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f>SUM(CO22:CS22)</f>
        <v>0</v>
      </c>
      <c r="CO22" s="24">
        <v>0</v>
      </c>
      <c r="CP22" s="24">
        <v>0</v>
      </c>
      <c r="CQ22" s="24">
        <v>0</v>
      </c>
      <c r="CR22" s="24"/>
      <c r="CS22" s="24"/>
      <c r="CT22" s="24">
        <v>0</v>
      </c>
      <c r="CU22" s="24">
        <v>0</v>
      </c>
      <c r="CV22" s="24">
        <v>0</v>
      </c>
      <c r="CW22" s="24">
        <f t="shared" si="12"/>
        <v>0</v>
      </c>
      <c r="CX22" s="24">
        <f t="shared" si="13"/>
        <v>0</v>
      </c>
      <c r="CY22" s="24">
        <v>0</v>
      </c>
      <c r="CZ22" s="25">
        <v>0</v>
      </c>
    </row>
    <row r="23" spans="1:104" ht="31.2" x14ac:dyDescent="0.3">
      <c r="A23" s="20"/>
      <c r="B23" s="21" t="s">
        <v>80</v>
      </c>
      <c r="C23" s="21" t="s">
        <v>1</v>
      </c>
      <c r="D23" s="22" t="s">
        <v>81</v>
      </c>
      <c r="E23" s="23">
        <f t="shared" ref="E23:AU23" si="20">SUM(E24:E36)</f>
        <v>84264948</v>
      </c>
      <c r="F23" s="24">
        <f t="shared" si="20"/>
        <v>82646153</v>
      </c>
      <c r="G23" s="24">
        <f t="shared" si="20"/>
        <v>82391490</v>
      </c>
      <c r="H23" s="24">
        <f t="shared" si="20"/>
        <v>58695125</v>
      </c>
      <c r="I23" s="24">
        <f t="shared" si="20"/>
        <v>14111419</v>
      </c>
      <c r="J23" s="24">
        <f t="shared" si="20"/>
        <v>3211788</v>
      </c>
      <c r="K23" s="24">
        <f t="shared" si="20"/>
        <v>96580</v>
      </c>
      <c r="L23" s="24">
        <f t="shared" si="20"/>
        <v>96800</v>
      </c>
      <c r="M23" s="24">
        <f t="shared" si="20"/>
        <v>0</v>
      </c>
      <c r="N23" s="24">
        <f t="shared" si="20"/>
        <v>0</v>
      </c>
      <c r="O23" s="24">
        <f t="shared" si="20"/>
        <v>1933399</v>
      </c>
      <c r="P23" s="24">
        <f t="shared" si="20"/>
        <v>1085009</v>
      </c>
      <c r="Q23" s="24">
        <f t="shared" si="20"/>
        <v>920573</v>
      </c>
      <c r="R23" s="24">
        <f t="shared" si="20"/>
        <v>0</v>
      </c>
      <c r="S23" s="24">
        <f t="shared" si="20"/>
        <v>920573</v>
      </c>
      <c r="T23" s="24">
        <f t="shared" si="20"/>
        <v>0</v>
      </c>
      <c r="U23" s="24">
        <f t="shared" si="20"/>
        <v>2003820</v>
      </c>
      <c r="V23" s="24">
        <f t="shared" si="20"/>
        <v>1639098</v>
      </c>
      <c r="W23" s="24">
        <f t="shared" si="20"/>
        <v>107543</v>
      </c>
      <c r="X23" s="24">
        <f t="shared" si="20"/>
        <v>863549</v>
      </c>
      <c r="Y23" s="24">
        <f t="shared" si="20"/>
        <v>509592</v>
      </c>
      <c r="Z23" s="24">
        <f t="shared" si="20"/>
        <v>80317</v>
      </c>
      <c r="AA23" s="24">
        <f t="shared" si="20"/>
        <v>51738</v>
      </c>
      <c r="AB23" s="24">
        <f t="shared" si="20"/>
        <v>1488</v>
      </c>
      <c r="AC23" s="24">
        <f t="shared" si="20"/>
        <v>0</v>
      </c>
      <c r="AD23" s="24">
        <f t="shared" si="20"/>
        <v>24871</v>
      </c>
      <c r="AE23" s="24">
        <f t="shared" si="20"/>
        <v>0</v>
      </c>
      <c r="AF23" s="24">
        <f t="shared" si="20"/>
        <v>1809667</v>
      </c>
      <c r="AG23" s="24">
        <f t="shared" si="20"/>
        <v>0</v>
      </c>
      <c r="AH23" s="24">
        <f t="shared" si="20"/>
        <v>0</v>
      </c>
      <c r="AI23" s="24">
        <f t="shared" si="20"/>
        <v>76679</v>
      </c>
      <c r="AJ23" s="24">
        <f t="shared" si="20"/>
        <v>311463</v>
      </c>
      <c r="AK23" s="24">
        <f t="shared" si="20"/>
        <v>0</v>
      </c>
      <c r="AL23" s="24">
        <f t="shared" si="20"/>
        <v>24718</v>
      </c>
      <c r="AM23" s="24">
        <f t="shared" si="20"/>
        <v>10360</v>
      </c>
      <c r="AN23" s="24">
        <f t="shared" si="20"/>
        <v>31660</v>
      </c>
      <c r="AO23" s="24">
        <f t="shared" si="20"/>
        <v>223643</v>
      </c>
      <c r="AP23" s="24">
        <f t="shared" si="20"/>
        <v>354107</v>
      </c>
      <c r="AQ23" s="24">
        <f t="shared" si="20"/>
        <v>500</v>
      </c>
      <c r="AR23" s="24"/>
      <c r="AS23" s="24">
        <f t="shared" si="20"/>
        <v>0</v>
      </c>
      <c r="AT23" s="24">
        <f t="shared" si="20"/>
        <v>276175</v>
      </c>
      <c r="AU23" s="24">
        <f t="shared" si="20"/>
        <v>96885</v>
      </c>
      <c r="AV23" s="24"/>
      <c r="AW23" s="24"/>
      <c r="AX23" s="24">
        <f t="shared" ref="AX23:CQ23" si="21">SUM(AX24:AX36)</f>
        <v>0</v>
      </c>
      <c r="AY23" s="24">
        <f t="shared" si="21"/>
        <v>0</v>
      </c>
      <c r="AZ23" s="24">
        <f t="shared" si="21"/>
        <v>0</v>
      </c>
      <c r="BA23" s="24">
        <f t="shared" si="21"/>
        <v>264588</v>
      </c>
      <c r="BB23" s="24">
        <f t="shared" si="21"/>
        <v>50400</v>
      </c>
      <c r="BC23" s="24">
        <f t="shared" si="21"/>
        <v>88489</v>
      </c>
      <c r="BD23" s="24">
        <f t="shared" si="21"/>
        <v>254663</v>
      </c>
      <c r="BE23" s="24">
        <f t="shared" si="21"/>
        <v>0</v>
      </c>
      <c r="BF23" s="24">
        <f t="shared" si="21"/>
        <v>0</v>
      </c>
      <c r="BG23" s="24">
        <f t="shared" si="21"/>
        <v>0</v>
      </c>
      <c r="BH23" s="24">
        <f t="shared" si="21"/>
        <v>0</v>
      </c>
      <c r="BI23" s="24">
        <f t="shared" si="21"/>
        <v>0</v>
      </c>
      <c r="BJ23" s="24">
        <f t="shared" si="21"/>
        <v>0</v>
      </c>
      <c r="BK23" s="24">
        <f t="shared" ref="BK23" si="22">SUM(BK24:BK36)</f>
        <v>0</v>
      </c>
      <c r="BL23" s="24">
        <f t="shared" si="21"/>
        <v>0</v>
      </c>
      <c r="BM23" s="24">
        <f t="shared" si="21"/>
        <v>0</v>
      </c>
      <c r="BN23" s="24">
        <f t="shared" si="21"/>
        <v>0</v>
      </c>
      <c r="BO23" s="24">
        <f t="shared" si="21"/>
        <v>0</v>
      </c>
      <c r="BP23" s="24">
        <f t="shared" si="21"/>
        <v>0</v>
      </c>
      <c r="BQ23" s="24">
        <f t="shared" si="21"/>
        <v>0</v>
      </c>
      <c r="BR23" s="24">
        <f t="shared" si="21"/>
        <v>254663</v>
      </c>
      <c r="BS23" s="24">
        <f t="shared" si="21"/>
        <v>0</v>
      </c>
      <c r="BT23" s="24">
        <f t="shared" si="21"/>
        <v>0</v>
      </c>
      <c r="BU23" s="24">
        <f t="shared" si="21"/>
        <v>0</v>
      </c>
      <c r="BV23" s="24">
        <f t="shared" si="21"/>
        <v>0</v>
      </c>
      <c r="BW23" s="24">
        <f t="shared" si="21"/>
        <v>0</v>
      </c>
      <c r="BX23" s="24">
        <f t="shared" si="21"/>
        <v>0</v>
      </c>
      <c r="BY23" s="24">
        <f t="shared" si="21"/>
        <v>0</v>
      </c>
      <c r="BZ23" s="24">
        <f t="shared" si="21"/>
        <v>0</v>
      </c>
      <c r="CA23" s="24">
        <f t="shared" si="21"/>
        <v>0</v>
      </c>
      <c r="CB23" s="24">
        <f t="shared" si="21"/>
        <v>254663</v>
      </c>
      <c r="CC23" s="24">
        <f t="shared" si="21"/>
        <v>0</v>
      </c>
      <c r="CD23" s="24">
        <f t="shared" si="21"/>
        <v>1618795</v>
      </c>
      <c r="CE23" s="24">
        <f t="shared" si="21"/>
        <v>1618795</v>
      </c>
      <c r="CF23" s="24">
        <f t="shared" si="21"/>
        <v>1618795</v>
      </c>
      <c r="CG23" s="24">
        <f t="shared" si="21"/>
        <v>0</v>
      </c>
      <c r="CH23" s="24">
        <f t="shared" si="21"/>
        <v>1618795</v>
      </c>
      <c r="CI23" s="24">
        <f t="shared" si="21"/>
        <v>0</v>
      </c>
      <c r="CJ23" s="24">
        <f t="shared" si="21"/>
        <v>0</v>
      </c>
      <c r="CK23" s="24">
        <f t="shared" si="21"/>
        <v>0</v>
      </c>
      <c r="CL23" s="24">
        <f t="shared" si="21"/>
        <v>0</v>
      </c>
      <c r="CM23" s="24">
        <f t="shared" si="21"/>
        <v>0</v>
      </c>
      <c r="CN23" s="24">
        <f t="shared" si="21"/>
        <v>0</v>
      </c>
      <c r="CO23" s="24">
        <f t="shared" si="21"/>
        <v>0</v>
      </c>
      <c r="CP23" s="24">
        <f t="shared" si="21"/>
        <v>0</v>
      </c>
      <c r="CQ23" s="24">
        <f t="shared" si="21"/>
        <v>0</v>
      </c>
      <c r="CR23" s="24"/>
      <c r="CS23" s="24"/>
      <c r="CT23" s="24">
        <f t="shared" ref="CT23:CZ23" si="23">SUM(CT24:CT36)</f>
        <v>0</v>
      </c>
      <c r="CU23" s="24">
        <f t="shared" si="23"/>
        <v>0</v>
      </c>
      <c r="CV23" s="24">
        <f t="shared" si="23"/>
        <v>0</v>
      </c>
      <c r="CW23" s="24">
        <f t="shared" si="23"/>
        <v>0</v>
      </c>
      <c r="CX23" s="24">
        <f t="shared" si="23"/>
        <v>0</v>
      </c>
      <c r="CY23" s="24">
        <f t="shared" si="23"/>
        <v>0</v>
      </c>
      <c r="CZ23" s="25">
        <f t="shared" si="23"/>
        <v>0</v>
      </c>
    </row>
    <row r="24" spans="1:104" ht="31.2" x14ac:dyDescent="0.3">
      <c r="A24" s="26" t="s">
        <v>1</v>
      </c>
      <c r="B24" s="27" t="s">
        <v>1</v>
      </c>
      <c r="C24" s="27" t="s">
        <v>82</v>
      </c>
      <c r="D24" s="28" t="s">
        <v>83</v>
      </c>
      <c r="E24" s="23">
        <f t="shared" ref="E24:E36" si="24">SUM(F24+CD24+CW24)</f>
        <v>22542949</v>
      </c>
      <c r="F24" s="24">
        <f t="shared" ref="F24:F36" si="25">SUM(G24+BD24)</f>
        <v>21934440</v>
      </c>
      <c r="G24" s="24">
        <f t="shared" ref="G24:G36" si="26">SUM(H24+I24+J24+Q24+T24+U24+V24+AF24+AE24)</f>
        <v>21934440</v>
      </c>
      <c r="H24" s="29">
        <f>14682754+1007091+295000</f>
        <v>15984845</v>
      </c>
      <c r="I24" s="29">
        <f>3480761+251773+73750</f>
        <v>3806284</v>
      </c>
      <c r="J24" s="24">
        <f t="shared" si="8"/>
        <v>808919</v>
      </c>
      <c r="K24" s="29">
        <v>0</v>
      </c>
      <c r="L24" s="29">
        <v>0</v>
      </c>
      <c r="M24" s="29">
        <v>0</v>
      </c>
      <c r="N24" s="29">
        <v>0</v>
      </c>
      <c r="O24" s="29">
        <f>603254+23600</f>
        <v>626854</v>
      </c>
      <c r="P24" s="29">
        <f>170065+12000</f>
        <v>182065</v>
      </c>
      <c r="Q24" s="24">
        <f t="shared" si="9"/>
        <v>115049</v>
      </c>
      <c r="R24" s="29">
        <v>0</v>
      </c>
      <c r="S24" s="29">
        <v>115049</v>
      </c>
      <c r="T24" s="29">
        <v>0</v>
      </c>
      <c r="U24" s="29">
        <f>300605-74000</f>
        <v>226605</v>
      </c>
      <c r="V24" s="24">
        <f t="shared" ref="V24:V36" si="27">SUM(W24:AD24)</f>
        <v>386920</v>
      </c>
      <c r="W24" s="29">
        <f>58688+13419-15000</f>
        <v>57107</v>
      </c>
      <c r="X24" s="29">
        <f>125129+2500+647</f>
        <v>128276</v>
      </c>
      <c r="Y24" s="29">
        <f>151656+5180</f>
        <v>156836</v>
      </c>
      <c r="Z24" s="29">
        <f>22455+200</f>
        <v>22655</v>
      </c>
      <c r="AA24" s="29">
        <f>12913+280</f>
        <v>13193</v>
      </c>
      <c r="AB24" s="29">
        <f>301-301</f>
        <v>0</v>
      </c>
      <c r="AC24" s="29">
        <v>0</v>
      </c>
      <c r="AD24" s="29">
        <f>8849+4</f>
        <v>8853</v>
      </c>
      <c r="AE24" s="24"/>
      <c r="AF24" s="24">
        <f t="shared" ref="AF24:AF36" si="28">SUM(AG24:BC24)</f>
        <v>605818</v>
      </c>
      <c r="AG24" s="24">
        <v>0</v>
      </c>
      <c r="AH24" s="30"/>
      <c r="AI24" s="29">
        <f>44914-9000</f>
        <v>35914</v>
      </c>
      <c r="AJ24" s="29">
        <f>8937+227500-46464</f>
        <v>189973</v>
      </c>
      <c r="AK24" s="29">
        <v>0</v>
      </c>
      <c r="AL24" s="29">
        <f>4231-3000</f>
        <v>1231</v>
      </c>
      <c r="AM24" s="29">
        <v>0</v>
      </c>
      <c r="AN24" s="29">
        <f>19682-19682</f>
        <v>0</v>
      </c>
      <c r="AO24" s="29">
        <v>68431</v>
      </c>
      <c r="AP24" s="29">
        <f>45674-13289</f>
        <v>32385</v>
      </c>
      <c r="AQ24" s="29">
        <v>0</v>
      </c>
      <c r="AR24" s="29">
        <v>0</v>
      </c>
      <c r="AS24" s="29"/>
      <c r="AT24" s="29">
        <v>33765</v>
      </c>
      <c r="AU24" s="29">
        <v>1852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f>202032+57600-26261</f>
        <v>233371</v>
      </c>
      <c r="BB24" s="29">
        <v>0</v>
      </c>
      <c r="BC24" s="29">
        <v>8896</v>
      </c>
      <c r="BD24" s="24">
        <f t="shared" ref="BD24:BD36" si="29">SUM(BE24+BI24+BM24+BO24+BR24)</f>
        <v>0</v>
      </c>
      <c r="BE24" s="24">
        <f t="shared" ref="BE24:BE36" si="30">SUM(BF24:BH24)</f>
        <v>0</v>
      </c>
      <c r="BF24" s="24">
        <v>0</v>
      </c>
      <c r="BG24" s="24">
        <v>0</v>
      </c>
      <c r="BH24" s="24">
        <v>0</v>
      </c>
      <c r="BI24" s="24">
        <f t="shared" ref="BI24:BI36" si="31">SUM(BL24:BL24)</f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f t="shared" si="10"/>
        <v>0</v>
      </c>
      <c r="BP24" s="24">
        <v>0</v>
      </c>
      <c r="BQ24" s="24">
        <v>0</v>
      </c>
      <c r="BR24" s="24">
        <f t="shared" ref="BR24:BR36" si="32">SUM(BS24:CC24)</f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9">
        <v>0</v>
      </c>
      <c r="CC24" s="29">
        <v>0</v>
      </c>
      <c r="CD24" s="24">
        <f t="shared" ref="CD24:CD36" si="33">SUM(CE24+CV24)</f>
        <v>608509</v>
      </c>
      <c r="CE24" s="24">
        <f t="shared" ref="CE24:CE36" si="34">SUM(CF24+CI24+CN24)</f>
        <v>608509</v>
      </c>
      <c r="CF24" s="24">
        <f t="shared" si="11"/>
        <v>608509</v>
      </c>
      <c r="CG24" s="24">
        <v>0</v>
      </c>
      <c r="CH24" s="29">
        <f>520368+188141-100000</f>
        <v>608509</v>
      </c>
      <c r="CI24" s="24">
        <f t="shared" ref="CI24:CI36" si="35">SUM(CJ24:CM24)</f>
        <v>0</v>
      </c>
      <c r="CJ24" s="24">
        <v>0</v>
      </c>
      <c r="CK24" s="24">
        <v>0</v>
      </c>
      <c r="CL24" s="24">
        <v>0</v>
      </c>
      <c r="CM24" s="24">
        <v>0</v>
      </c>
      <c r="CN24" s="24">
        <f t="shared" ref="CN24:CN36" si="36">SUM(CO24:CS24)</f>
        <v>0</v>
      </c>
      <c r="CO24" s="24">
        <v>0</v>
      </c>
      <c r="CP24" s="24">
        <v>0</v>
      </c>
      <c r="CQ24" s="24">
        <v>0</v>
      </c>
      <c r="CR24" s="24"/>
      <c r="CS24" s="24"/>
      <c r="CT24" s="24">
        <v>0</v>
      </c>
      <c r="CU24" s="24">
        <v>0</v>
      </c>
      <c r="CV24" s="24">
        <v>0</v>
      </c>
      <c r="CW24" s="24">
        <f t="shared" si="12"/>
        <v>0</v>
      </c>
      <c r="CX24" s="24">
        <f t="shared" si="13"/>
        <v>0</v>
      </c>
      <c r="CY24" s="24">
        <v>0</v>
      </c>
      <c r="CZ24" s="25">
        <v>0</v>
      </c>
    </row>
    <row r="25" spans="1:104" ht="31.2" x14ac:dyDescent="0.3">
      <c r="A25" s="26" t="s">
        <v>1</v>
      </c>
      <c r="B25" s="27" t="s">
        <v>1</v>
      </c>
      <c r="C25" s="27" t="s">
        <v>84</v>
      </c>
      <c r="D25" s="28" t="s">
        <v>85</v>
      </c>
      <c r="E25" s="23">
        <f t="shared" si="24"/>
        <v>6298694</v>
      </c>
      <c r="F25" s="24">
        <f t="shared" si="25"/>
        <v>6240378</v>
      </c>
      <c r="G25" s="24">
        <f t="shared" si="26"/>
        <v>6240378</v>
      </c>
      <c r="H25" s="29">
        <f>4306536+124968</f>
        <v>4431504</v>
      </c>
      <c r="I25" s="29">
        <f>1077065+31206</f>
        <v>1108271</v>
      </c>
      <c r="J25" s="24">
        <f t="shared" si="8"/>
        <v>290594</v>
      </c>
      <c r="K25" s="29">
        <f>7813+88767</f>
        <v>96580</v>
      </c>
      <c r="L25" s="29">
        <v>0</v>
      </c>
      <c r="M25" s="29">
        <v>0</v>
      </c>
      <c r="N25" s="29">
        <v>0</v>
      </c>
      <c r="O25" s="29">
        <v>109743</v>
      </c>
      <c r="P25" s="29">
        <v>84271</v>
      </c>
      <c r="Q25" s="24">
        <f t="shared" si="9"/>
        <v>0</v>
      </c>
      <c r="R25" s="29">
        <v>0</v>
      </c>
      <c r="S25" s="29">
        <f>76613-76613</f>
        <v>0</v>
      </c>
      <c r="T25" s="29">
        <v>0</v>
      </c>
      <c r="U25" s="29">
        <v>104668</v>
      </c>
      <c r="V25" s="24">
        <f t="shared" si="27"/>
        <v>167959</v>
      </c>
      <c r="W25" s="29">
        <v>0</v>
      </c>
      <c r="X25" s="29">
        <f>27106+50718+17000</f>
        <v>94824</v>
      </c>
      <c r="Y25" s="29">
        <f>21361+28956+4100</f>
        <v>54417</v>
      </c>
      <c r="Z25" s="29">
        <f>3595+3871+640</f>
        <v>8106</v>
      </c>
      <c r="AA25" s="29">
        <f>5321+3464</f>
        <v>8785</v>
      </c>
      <c r="AB25" s="29">
        <v>0</v>
      </c>
      <c r="AC25" s="29">
        <v>0</v>
      </c>
      <c r="AD25" s="29">
        <f>1826+1</f>
        <v>1827</v>
      </c>
      <c r="AE25" s="24"/>
      <c r="AF25" s="24">
        <f t="shared" si="28"/>
        <v>137382</v>
      </c>
      <c r="AG25" s="24">
        <v>0</v>
      </c>
      <c r="AH25" s="30"/>
      <c r="AI25" s="29">
        <v>13378</v>
      </c>
      <c r="AJ25" s="29">
        <f>47796-6719</f>
        <v>41077</v>
      </c>
      <c r="AK25" s="29">
        <v>0</v>
      </c>
      <c r="AL25" s="29">
        <v>979</v>
      </c>
      <c r="AM25" s="29">
        <v>0</v>
      </c>
      <c r="AN25" s="29">
        <v>0</v>
      </c>
      <c r="AO25" s="29">
        <v>0</v>
      </c>
      <c r="AP25" s="29">
        <v>13130</v>
      </c>
      <c r="AQ25" s="29">
        <v>0</v>
      </c>
      <c r="AR25" s="29">
        <v>0</v>
      </c>
      <c r="AS25" s="29"/>
      <c r="AT25" s="29">
        <v>34967</v>
      </c>
      <c r="AU25" s="29">
        <v>17550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f>26149-9848</f>
        <v>16301</v>
      </c>
      <c r="BD25" s="24">
        <f t="shared" si="29"/>
        <v>0</v>
      </c>
      <c r="BE25" s="24">
        <f t="shared" si="30"/>
        <v>0</v>
      </c>
      <c r="BF25" s="24">
        <v>0</v>
      </c>
      <c r="BG25" s="24">
        <v>0</v>
      </c>
      <c r="BH25" s="24">
        <v>0</v>
      </c>
      <c r="BI25" s="24">
        <f t="shared" si="31"/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f t="shared" si="10"/>
        <v>0</v>
      </c>
      <c r="BP25" s="24">
        <v>0</v>
      </c>
      <c r="BQ25" s="24">
        <v>0</v>
      </c>
      <c r="BR25" s="24">
        <f t="shared" si="32"/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9">
        <v>0</v>
      </c>
      <c r="CC25" s="29">
        <v>0</v>
      </c>
      <c r="CD25" s="24">
        <f t="shared" si="33"/>
        <v>58316</v>
      </c>
      <c r="CE25" s="24">
        <f t="shared" si="34"/>
        <v>58316</v>
      </c>
      <c r="CF25" s="24">
        <f t="shared" si="11"/>
        <v>58316</v>
      </c>
      <c r="CG25" s="24">
        <v>0</v>
      </c>
      <c r="CH25" s="29">
        <v>58316</v>
      </c>
      <c r="CI25" s="24">
        <f t="shared" si="35"/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f t="shared" si="36"/>
        <v>0</v>
      </c>
      <c r="CO25" s="24">
        <v>0</v>
      </c>
      <c r="CP25" s="24">
        <v>0</v>
      </c>
      <c r="CQ25" s="24">
        <v>0</v>
      </c>
      <c r="CR25" s="24"/>
      <c r="CS25" s="24"/>
      <c r="CT25" s="24"/>
      <c r="CU25" s="24"/>
      <c r="CV25" s="24">
        <v>0</v>
      </c>
      <c r="CW25" s="24">
        <f t="shared" si="12"/>
        <v>0</v>
      </c>
      <c r="CX25" s="24">
        <f t="shared" si="13"/>
        <v>0</v>
      </c>
      <c r="CY25" s="24">
        <v>0</v>
      </c>
      <c r="CZ25" s="25">
        <v>0</v>
      </c>
    </row>
    <row r="26" spans="1:104" ht="31.2" x14ac:dyDescent="0.3">
      <c r="A26" s="26" t="s">
        <v>1</v>
      </c>
      <c r="B26" s="27" t="s">
        <v>1</v>
      </c>
      <c r="C26" s="27" t="s">
        <v>86</v>
      </c>
      <c r="D26" s="28" t="s">
        <v>87</v>
      </c>
      <c r="E26" s="23">
        <f t="shared" si="24"/>
        <v>7888502</v>
      </c>
      <c r="F26" s="24">
        <f t="shared" si="25"/>
        <v>7662416</v>
      </c>
      <c r="G26" s="24">
        <f t="shared" si="26"/>
        <v>7662416</v>
      </c>
      <c r="H26" s="29">
        <f>5516172+312543</f>
        <v>5828715</v>
      </c>
      <c r="I26" s="29">
        <f>1306230+78136</f>
        <v>1384366</v>
      </c>
      <c r="J26" s="24">
        <f t="shared" si="8"/>
        <v>259122</v>
      </c>
      <c r="K26" s="29">
        <v>0</v>
      </c>
      <c r="L26" s="29">
        <v>0</v>
      </c>
      <c r="M26" s="29">
        <v>0</v>
      </c>
      <c r="N26" s="29">
        <v>0</v>
      </c>
      <c r="O26" s="29">
        <v>74664</v>
      </c>
      <c r="P26" s="29">
        <v>184458</v>
      </c>
      <c r="Q26" s="24">
        <f t="shared" si="9"/>
        <v>14498</v>
      </c>
      <c r="R26" s="29">
        <v>0</v>
      </c>
      <c r="S26" s="29">
        <v>14498</v>
      </c>
      <c r="T26" s="29">
        <v>0</v>
      </c>
      <c r="U26" s="29">
        <v>119042</v>
      </c>
      <c r="V26" s="24">
        <f t="shared" si="27"/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4"/>
      <c r="AF26" s="24">
        <f t="shared" si="28"/>
        <v>56673</v>
      </c>
      <c r="AG26" s="24">
        <v>0</v>
      </c>
      <c r="AH26" s="30"/>
      <c r="AI26" s="29">
        <v>291</v>
      </c>
      <c r="AJ26" s="29">
        <v>0</v>
      </c>
      <c r="AK26" s="29">
        <v>0</v>
      </c>
      <c r="AL26" s="29">
        <v>9231</v>
      </c>
      <c r="AM26" s="29">
        <v>0</v>
      </c>
      <c r="AN26" s="29">
        <v>31512</v>
      </c>
      <c r="AO26" s="29">
        <v>1050</v>
      </c>
      <c r="AP26" s="29">
        <v>10754</v>
      </c>
      <c r="AQ26" s="29">
        <v>0</v>
      </c>
      <c r="AR26" s="29">
        <v>0</v>
      </c>
      <c r="AS26" s="29"/>
      <c r="AT26" s="29">
        <v>0</v>
      </c>
      <c r="AU26" s="29">
        <v>1691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2144</v>
      </c>
      <c r="BD26" s="24">
        <f t="shared" si="29"/>
        <v>0</v>
      </c>
      <c r="BE26" s="24">
        <f t="shared" si="30"/>
        <v>0</v>
      </c>
      <c r="BF26" s="24">
        <v>0</v>
      </c>
      <c r="BG26" s="24">
        <v>0</v>
      </c>
      <c r="BH26" s="24">
        <v>0</v>
      </c>
      <c r="BI26" s="24">
        <f t="shared" si="31"/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f t="shared" si="10"/>
        <v>0</v>
      </c>
      <c r="BP26" s="24">
        <v>0</v>
      </c>
      <c r="BQ26" s="24">
        <v>0</v>
      </c>
      <c r="BR26" s="24">
        <f t="shared" si="32"/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9">
        <v>0</v>
      </c>
      <c r="CC26" s="29">
        <v>0</v>
      </c>
      <c r="CD26" s="24">
        <f t="shared" si="33"/>
        <v>226086</v>
      </c>
      <c r="CE26" s="24">
        <f t="shared" si="34"/>
        <v>226086</v>
      </c>
      <c r="CF26" s="24">
        <f t="shared" si="11"/>
        <v>226086</v>
      </c>
      <c r="CG26" s="24">
        <v>0</v>
      </c>
      <c r="CH26" s="29">
        <v>226086</v>
      </c>
      <c r="CI26" s="24">
        <f t="shared" si="35"/>
        <v>0</v>
      </c>
      <c r="CJ26" s="24">
        <v>0</v>
      </c>
      <c r="CK26" s="24">
        <v>0</v>
      </c>
      <c r="CL26" s="24">
        <v>0</v>
      </c>
      <c r="CM26" s="24">
        <v>0</v>
      </c>
      <c r="CN26" s="24">
        <f t="shared" si="36"/>
        <v>0</v>
      </c>
      <c r="CO26" s="24">
        <v>0</v>
      </c>
      <c r="CP26" s="24">
        <v>0</v>
      </c>
      <c r="CQ26" s="24">
        <v>0</v>
      </c>
      <c r="CR26" s="24"/>
      <c r="CS26" s="24"/>
      <c r="CT26" s="24">
        <v>0</v>
      </c>
      <c r="CU26" s="24">
        <v>0</v>
      </c>
      <c r="CV26" s="24">
        <v>0</v>
      </c>
      <c r="CW26" s="24">
        <f t="shared" si="12"/>
        <v>0</v>
      </c>
      <c r="CX26" s="24">
        <f t="shared" si="13"/>
        <v>0</v>
      </c>
      <c r="CY26" s="24">
        <v>0</v>
      </c>
      <c r="CZ26" s="25">
        <v>0</v>
      </c>
    </row>
    <row r="27" spans="1:104" ht="15.6" x14ac:dyDescent="0.3">
      <c r="A27" s="26" t="s">
        <v>1</v>
      </c>
      <c r="B27" s="27" t="s">
        <v>1</v>
      </c>
      <c r="C27" s="27" t="s">
        <v>88</v>
      </c>
      <c r="D27" s="28" t="s">
        <v>89</v>
      </c>
      <c r="E27" s="23">
        <f t="shared" si="24"/>
        <v>6123549</v>
      </c>
      <c r="F27" s="24">
        <f t="shared" si="25"/>
        <v>6103549</v>
      </c>
      <c r="G27" s="24">
        <f t="shared" si="26"/>
        <v>6103549</v>
      </c>
      <c r="H27" s="29">
        <v>3499641</v>
      </c>
      <c r="I27" s="29">
        <v>834664</v>
      </c>
      <c r="J27" s="24">
        <f t="shared" si="8"/>
        <v>170947</v>
      </c>
      <c r="K27" s="29">
        <v>0</v>
      </c>
      <c r="L27" s="29">
        <v>0</v>
      </c>
      <c r="M27" s="29">
        <v>0</v>
      </c>
      <c r="N27" s="29">
        <v>0</v>
      </c>
      <c r="O27" s="29">
        <v>127111</v>
      </c>
      <c r="P27" s="29">
        <v>43836</v>
      </c>
      <c r="Q27" s="24">
        <f t="shared" si="9"/>
        <v>16724</v>
      </c>
      <c r="R27" s="29">
        <v>0</v>
      </c>
      <c r="S27" s="29">
        <f>16825-101</f>
        <v>16724</v>
      </c>
      <c r="T27" s="29">
        <v>0</v>
      </c>
      <c r="U27" s="29">
        <f>1199719-46669</f>
        <v>1153050</v>
      </c>
      <c r="V27" s="24">
        <f t="shared" si="27"/>
        <v>328973</v>
      </c>
      <c r="W27" s="29">
        <v>1041</v>
      </c>
      <c r="X27" s="29">
        <f>277627+1313</f>
        <v>278940</v>
      </c>
      <c r="Y27" s="29">
        <v>35929</v>
      </c>
      <c r="Z27" s="29">
        <v>5795</v>
      </c>
      <c r="AA27" s="29">
        <v>7268</v>
      </c>
      <c r="AB27" s="29">
        <v>0</v>
      </c>
      <c r="AC27" s="29">
        <v>0</v>
      </c>
      <c r="AD27" s="29">
        <v>0</v>
      </c>
      <c r="AE27" s="24"/>
      <c r="AF27" s="24">
        <f t="shared" si="28"/>
        <v>99550</v>
      </c>
      <c r="AG27" s="24">
        <v>0</v>
      </c>
      <c r="AH27" s="30"/>
      <c r="AI27" s="29">
        <v>0</v>
      </c>
      <c r="AJ27" s="29">
        <v>233</v>
      </c>
      <c r="AK27" s="29">
        <v>0</v>
      </c>
      <c r="AL27" s="29">
        <v>355</v>
      </c>
      <c r="AM27" s="29">
        <v>0</v>
      </c>
      <c r="AN27" s="29">
        <v>0</v>
      </c>
      <c r="AO27" s="29">
        <v>6557</v>
      </c>
      <c r="AP27" s="29">
        <v>10476</v>
      </c>
      <c r="AQ27" s="29">
        <v>500</v>
      </c>
      <c r="AR27" s="29">
        <v>0</v>
      </c>
      <c r="AS27" s="29"/>
      <c r="AT27" s="29">
        <v>18617</v>
      </c>
      <c r="AU27" s="29">
        <v>61312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1500</v>
      </c>
      <c r="BD27" s="24">
        <f t="shared" si="29"/>
        <v>0</v>
      </c>
      <c r="BE27" s="24">
        <f t="shared" si="30"/>
        <v>0</v>
      </c>
      <c r="BF27" s="24">
        <v>0</v>
      </c>
      <c r="BG27" s="24">
        <v>0</v>
      </c>
      <c r="BH27" s="24">
        <v>0</v>
      </c>
      <c r="BI27" s="24">
        <f t="shared" si="31"/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f t="shared" si="10"/>
        <v>0</v>
      </c>
      <c r="BP27" s="24">
        <v>0</v>
      </c>
      <c r="BQ27" s="24">
        <v>0</v>
      </c>
      <c r="BR27" s="24">
        <f t="shared" si="32"/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9">
        <v>0</v>
      </c>
      <c r="CC27" s="29">
        <v>0</v>
      </c>
      <c r="CD27" s="24">
        <f t="shared" si="33"/>
        <v>20000</v>
      </c>
      <c r="CE27" s="24">
        <f t="shared" si="34"/>
        <v>20000</v>
      </c>
      <c r="CF27" s="24">
        <f t="shared" si="11"/>
        <v>20000</v>
      </c>
      <c r="CG27" s="24">
        <v>0</v>
      </c>
      <c r="CH27" s="29">
        <v>20000</v>
      </c>
      <c r="CI27" s="24">
        <f t="shared" si="35"/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f t="shared" si="36"/>
        <v>0</v>
      </c>
      <c r="CO27" s="24">
        <v>0</v>
      </c>
      <c r="CP27" s="24">
        <v>0</v>
      </c>
      <c r="CQ27" s="24">
        <v>0</v>
      </c>
      <c r="CR27" s="24"/>
      <c r="CS27" s="24"/>
      <c r="CT27" s="24">
        <v>0</v>
      </c>
      <c r="CU27" s="24">
        <v>0</v>
      </c>
      <c r="CV27" s="24">
        <v>0</v>
      </c>
      <c r="CW27" s="24">
        <f t="shared" si="12"/>
        <v>0</v>
      </c>
      <c r="CX27" s="24">
        <f t="shared" si="13"/>
        <v>0</v>
      </c>
      <c r="CY27" s="24">
        <v>0</v>
      </c>
      <c r="CZ27" s="25">
        <v>0</v>
      </c>
    </row>
    <row r="28" spans="1:104" ht="15.6" x14ac:dyDescent="0.3">
      <c r="A28" s="26" t="s">
        <v>1</v>
      </c>
      <c r="B28" s="27" t="s">
        <v>1</v>
      </c>
      <c r="C28" s="27" t="s">
        <v>90</v>
      </c>
      <c r="D28" s="28" t="s">
        <v>91</v>
      </c>
      <c r="E28" s="23">
        <f t="shared" si="24"/>
        <v>7842190</v>
      </c>
      <c r="F28" s="24">
        <f t="shared" si="25"/>
        <v>7763877</v>
      </c>
      <c r="G28" s="24">
        <f t="shared" si="26"/>
        <v>7757000</v>
      </c>
      <c r="H28" s="29">
        <v>5928844</v>
      </c>
      <c r="I28" s="29">
        <v>1428736</v>
      </c>
      <c r="J28" s="24">
        <f t="shared" si="8"/>
        <v>168643</v>
      </c>
      <c r="K28" s="29">
        <v>0</v>
      </c>
      <c r="L28" s="29">
        <f>380-380</f>
        <v>0</v>
      </c>
      <c r="M28" s="29">
        <v>0</v>
      </c>
      <c r="N28" s="29">
        <v>0</v>
      </c>
      <c r="O28" s="29">
        <f>149092-20863</f>
        <v>128229</v>
      </c>
      <c r="P28" s="29">
        <v>40414</v>
      </c>
      <c r="Q28" s="24">
        <f t="shared" si="9"/>
        <v>0</v>
      </c>
      <c r="R28" s="29">
        <v>0</v>
      </c>
      <c r="S28" s="29">
        <v>0</v>
      </c>
      <c r="T28" s="29">
        <v>0</v>
      </c>
      <c r="U28" s="29">
        <f>192398-115000</f>
        <v>77398</v>
      </c>
      <c r="V28" s="24">
        <f t="shared" si="27"/>
        <v>100315</v>
      </c>
      <c r="W28" s="29">
        <v>9018</v>
      </c>
      <c r="X28" s="29">
        <f>29359+152</f>
        <v>29511</v>
      </c>
      <c r="Y28" s="29">
        <v>44708</v>
      </c>
      <c r="Z28" s="29">
        <f>8942+408</f>
        <v>9350</v>
      </c>
      <c r="AA28" s="29">
        <v>2314</v>
      </c>
      <c r="AB28" s="29">
        <v>0</v>
      </c>
      <c r="AC28" s="29">
        <v>0</v>
      </c>
      <c r="AD28" s="29">
        <f>5412+2</f>
        <v>5414</v>
      </c>
      <c r="AE28" s="24"/>
      <c r="AF28" s="24">
        <f t="shared" si="28"/>
        <v>53064</v>
      </c>
      <c r="AG28" s="24">
        <v>0</v>
      </c>
      <c r="AH28" s="30"/>
      <c r="AI28" s="29">
        <v>5202</v>
      </c>
      <c r="AJ28" s="29">
        <v>6543</v>
      </c>
      <c r="AK28" s="29">
        <v>0</v>
      </c>
      <c r="AL28" s="29">
        <v>6229</v>
      </c>
      <c r="AM28" s="29">
        <v>0</v>
      </c>
      <c r="AN28" s="29">
        <v>0</v>
      </c>
      <c r="AO28" s="29">
        <v>2500</v>
      </c>
      <c r="AP28" s="29">
        <f>25026-5000</f>
        <v>20026</v>
      </c>
      <c r="AQ28" s="29">
        <v>0</v>
      </c>
      <c r="AR28" s="29">
        <v>0</v>
      </c>
      <c r="AS28" s="29"/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f>10184-1184</f>
        <v>9000</v>
      </c>
      <c r="BB28" s="29">
        <v>0</v>
      </c>
      <c r="BC28" s="29">
        <v>3564</v>
      </c>
      <c r="BD28" s="24">
        <f t="shared" si="29"/>
        <v>6877</v>
      </c>
      <c r="BE28" s="24">
        <f t="shared" si="30"/>
        <v>0</v>
      </c>
      <c r="BF28" s="24">
        <v>0</v>
      </c>
      <c r="BG28" s="24">
        <v>0</v>
      </c>
      <c r="BH28" s="24">
        <v>0</v>
      </c>
      <c r="BI28" s="24">
        <f t="shared" si="31"/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f t="shared" si="10"/>
        <v>0</v>
      </c>
      <c r="BP28" s="24">
        <v>0</v>
      </c>
      <c r="BQ28" s="24">
        <v>0</v>
      </c>
      <c r="BR28" s="24">
        <f t="shared" si="32"/>
        <v>6877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9">
        <f>7285-408</f>
        <v>6877</v>
      </c>
      <c r="CC28" s="29">
        <v>0</v>
      </c>
      <c r="CD28" s="24">
        <f t="shared" si="33"/>
        <v>78313</v>
      </c>
      <c r="CE28" s="24">
        <f t="shared" si="34"/>
        <v>78313</v>
      </c>
      <c r="CF28" s="24">
        <f t="shared" si="11"/>
        <v>78313</v>
      </c>
      <c r="CG28" s="24">
        <v>0</v>
      </c>
      <c r="CH28" s="29">
        <v>78313</v>
      </c>
      <c r="CI28" s="24">
        <f t="shared" si="35"/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f t="shared" si="36"/>
        <v>0</v>
      </c>
      <c r="CO28" s="24">
        <v>0</v>
      </c>
      <c r="CP28" s="24">
        <v>0</v>
      </c>
      <c r="CQ28" s="24">
        <v>0</v>
      </c>
      <c r="CR28" s="24"/>
      <c r="CS28" s="24"/>
      <c r="CT28" s="24">
        <v>0</v>
      </c>
      <c r="CU28" s="24">
        <v>0</v>
      </c>
      <c r="CV28" s="24">
        <v>0</v>
      </c>
      <c r="CW28" s="24">
        <f t="shared" si="12"/>
        <v>0</v>
      </c>
      <c r="CX28" s="24">
        <f t="shared" si="13"/>
        <v>0</v>
      </c>
      <c r="CY28" s="24">
        <v>0</v>
      </c>
      <c r="CZ28" s="25">
        <v>0</v>
      </c>
    </row>
    <row r="29" spans="1:104" ht="31.2" x14ac:dyDescent="0.3">
      <c r="A29" s="26" t="s">
        <v>1</v>
      </c>
      <c r="B29" s="27" t="s">
        <v>1</v>
      </c>
      <c r="C29" s="27" t="s">
        <v>92</v>
      </c>
      <c r="D29" s="28" t="s">
        <v>93</v>
      </c>
      <c r="E29" s="23">
        <f t="shared" si="24"/>
        <v>7216883</v>
      </c>
      <c r="F29" s="24">
        <f t="shared" si="25"/>
        <v>7163608</v>
      </c>
      <c r="G29" s="24">
        <f t="shared" si="26"/>
        <v>6921540</v>
      </c>
      <c r="H29" s="29">
        <f>4086202+128608</f>
        <v>4214810</v>
      </c>
      <c r="I29" s="29">
        <f>992538+32152</f>
        <v>1024690</v>
      </c>
      <c r="J29" s="24">
        <f t="shared" si="8"/>
        <v>365814</v>
      </c>
      <c r="K29" s="29">
        <v>0</v>
      </c>
      <c r="L29" s="29">
        <f>7940-7940</f>
        <v>0</v>
      </c>
      <c r="M29" s="29">
        <v>0</v>
      </c>
      <c r="N29" s="29">
        <v>0</v>
      </c>
      <c r="O29" s="29">
        <f>188513+70000</f>
        <v>258513</v>
      </c>
      <c r="P29" s="29">
        <f>137301-30000</f>
        <v>107301</v>
      </c>
      <c r="Q29" s="24">
        <f t="shared" si="9"/>
        <v>730188</v>
      </c>
      <c r="R29" s="29">
        <v>0</v>
      </c>
      <c r="S29" s="29">
        <v>730188</v>
      </c>
      <c r="T29" s="29">
        <v>0</v>
      </c>
      <c r="U29" s="29">
        <f>132369-81350</f>
        <v>51019</v>
      </c>
      <c r="V29" s="24">
        <f t="shared" si="27"/>
        <v>84289</v>
      </c>
      <c r="W29" s="29">
        <f>33896-5636</f>
        <v>28260</v>
      </c>
      <c r="X29" s="29">
        <v>0</v>
      </c>
      <c r="Y29" s="29">
        <v>33865</v>
      </c>
      <c r="Z29" s="29">
        <f>8991-18</f>
        <v>8973</v>
      </c>
      <c r="AA29" s="29">
        <v>4414</v>
      </c>
      <c r="AB29" s="29">
        <v>0</v>
      </c>
      <c r="AC29" s="29">
        <v>0</v>
      </c>
      <c r="AD29" s="29">
        <f>8138+639</f>
        <v>8777</v>
      </c>
      <c r="AE29" s="24"/>
      <c r="AF29" s="24">
        <f t="shared" si="28"/>
        <v>450730</v>
      </c>
      <c r="AG29" s="24">
        <v>0</v>
      </c>
      <c r="AH29" s="30"/>
      <c r="AI29" s="29">
        <v>2253</v>
      </c>
      <c r="AJ29" s="29">
        <f>60535-1103</f>
        <v>59432</v>
      </c>
      <c r="AK29" s="29">
        <v>0</v>
      </c>
      <c r="AL29" s="29">
        <f>2480-2480</f>
        <v>0</v>
      </c>
      <c r="AM29" s="29">
        <v>10360</v>
      </c>
      <c r="AN29" s="29">
        <v>0</v>
      </c>
      <c r="AO29" s="29">
        <v>144865</v>
      </c>
      <c r="AP29" s="29">
        <v>198752</v>
      </c>
      <c r="AQ29" s="29">
        <v>0</v>
      </c>
      <c r="AR29" s="29">
        <v>0</v>
      </c>
      <c r="AS29" s="29"/>
      <c r="AT29" s="29">
        <f>12351-2586</f>
        <v>9765</v>
      </c>
      <c r="AU29" s="29">
        <v>2000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22217</v>
      </c>
      <c r="BB29" s="29">
        <v>0</v>
      </c>
      <c r="BC29" s="29">
        <f>1287-201</f>
        <v>1086</v>
      </c>
      <c r="BD29" s="24">
        <f t="shared" si="29"/>
        <v>242068</v>
      </c>
      <c r="BE29" s="24">
        <f t="shared" si="30"/>
        <v>0</v>
      </c>
      <c r="BF29" s="24">
        <v>0</v>
      </c>
      <c r="BG29" s="24">
        <v>0</v>
      </c>
      <c r="BH29" s="24">
        <v>0</v>
      </c>
      <c r="BI29" s="24">
        <f t="shared" si="31"/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f t="shared" si="10"/>
        <v>0</v>
      </c>
      <c r="BP29" s="24">
        <v>0</v>
      </c>
      <c r="BQ29" s="24">
        <v>0</v>
      </c>
      <c r="BR29" s="24">
        <f t="shared" si="32"/>
        <v>242068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9">
        <v>242068</v>
      </c>
      <c r="CC29" s="29">
        <v>0</v>
      </c>
      <c r="CD29" s="24">
        <f t="shared" si="33"/>
        <v>53275</v>
      </c>
      <c r="CE29" s="24">
        <f t="shared" si="34"/>
        <v>53275</v>
      </c>
      <c r="CF29" s="24">
        <f t="shared" si="11"/>
        <v>53275</v>
      </c>
      <c r="CG29" s="24">
        <v>0</v>
      </c>
      <c r="CH29" s="29">
        <v>53275</v>
      </c>
      <c r="CI29" s="24">
        <f t="shared" si="35"/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f t="shared" si="36"/>
        <v>0</v>
      </c>
      <c r="CO29" s="24">
        <v>0</v>
      </c>
      <c r="CP29" s="24">
        <v>0</v>
      </c>
      <c r="CQ29" s="24">
        <v>0</v>
      </c>
      <c r="CR29" s="24"/>
      <c r="CS29" s="24"/>
      <c r="CT29" s="24">
        <v>0</v>
      </c>
      <c r="CU29" s="24">
        <v>0</v>
      </c>
      <c r="CV29" s="24">
        <v>0</v>
      </c>
      <c r="CW29" s="24">
        <f t="shared" si="12"/>
        <v>0</v>
      </c>
      <c r="CX29" s="24">
        <f t="shared" si="13"/>
        <v>0</v>
      </c>
      <c r="CY29" s="24">
        <v>0</v>
      </c>
      <c r="CZ29" s="25">
        <v>0</v>
      </c>
    </row>
    <row r="30" spans="1:104" ht="31.2" x14ac:dyDescent="0.3">
      <c r="A30" s="26" t="s">
        <v>1</v>
      </c>
      <c r="B30" s="27" t="s">
        <v>1</v>
      </c>
      <c r="C30" s="27" t="s">
        <v>94</v>
      </c>
      <c r="D30" s="28" t="s">
        <v>95</v>
      </c>
      <c r="E30" s="23">
        <f t="shared" si="24"/>
        <v>8803356</v>
      </c>
      <c r="F30" s="24">
        <f t="shared" si="25"/>
        <v>8803356</v>
      </c>
      <c r="G30" s="24">
        <f t="shared" si="26"/>
        <v>8803356</v>
      </c>
      <c r="H30" s="29">
        <f>6812228+51507-141947+67853</f>
        <v>6789641</v>
      </c>
      <c r="I30" s="29">
        <f>1626668+12877-32648+21000</f>
        <v>1627897</v>
      </c>
      <c r="J30" s="24">
        <f t="shared" si="8"/>
        <v>93486</v>
      </c>
      <c r="K30" s="29">
        <v>0</v>
      </c>
      <c r="L30" s="29">
        <v>0</v>
      </c>
      <c r="M30" s="29">
        <v>0</v>
      </c>
      <c r="N30" s="29">
        <v>0</v>
      </c>
      <c r="O30" s="29">
        <f>105870-67773</f>
        <v>38097</v>
      </c>
      <c r="P30" s="29">
        <f>126279-70890</f>
        <v>55389</v>
      </c>
      <c r="Q30" s="24">
        <f t="shared" si="9"/>
        <v>7594</v>
      </c>
      <c r="R30" s="29">
        <v>0</v>
      </c>
      <c r="S30" s="29">
        <f>28489-20895</f>
        <v>7594</v>
      </c>
      <c r="T30" s="29">
        <v>0</v>
      </c>
      <c r="U30" s="29">
        <v>50622</v>
      </c>
      <c r="V30" s="24">
        <f t="shared" si="27"/>
        <v>219544</v>
      </c>
      <c r="W30" s="29">
        <v>0</v>
      </c>
      <c r="X30" s="29">
        <f>152130+787</f>
        <v>152917</v>
      </c>
      <c r="Y30" s="29">
        <v>47604</v>
      </c>
      <c r="Z30" s="29">
        <v>10584</v>
      </c>
      <c r="AA30" s="29">
        <v>6951</v>
      </c>
      <c r="AB30" s="29">
        <v>1488</v>
      </c>
      <c r="AC30" s="29">
        <v>0</v>
      </c>
      <c r="AD30" s="29">
        <v>0</v>
      </c>
      <c r="AE30" s="24"/>
      <c r="AF30" s="24">
        <f t="shared" si="28"/>
        <v>14572</v>
      </c>
      <c r="AG30" s="24">
        <v>0</v>
      </c>
      <c r="AH30" s="30"/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f>71-71</f>
        <v>0</v>
      </c>
      <c r="AO30" s="29">
        <v>0</v>
      </c>
      <c r="AP30" s="29">
        <v>14550</v>
      </c>
      <c r="AQ30" s="29">
        <v>0</v>
      </c>
      <c r="AR30" s="29">
        <v>0</v>
      </c>
      <c r="AS30" s="29"/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f>3493-3493</f>
        <v>0</v>
      </c>
      <c r="BB30" s="29">
        <v>0</v>
      </c>
      <c r="BC30" s="29">
        <f>30-8</f>
        <v>22</v>
      </c>
      <c r="BD30" s="24">
        <f t="shared" si="29"/>
        <v>0</v>
      </c>
      <c r="BE30" s="24">
        <f t="shared" si="30"/>
        <v>0</v>
      </c>
      <c r="BF30" s="24">
        <v>0</v>
      </c>
      <c r="BG30" s="24">
        <v>0</v>
      </c>
      <c r="BH30" s="24">
        <v>0</v>
      </c>
      <c r="BI30" s="24">
        <f t="shared" si="31"/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f t="shared" si="10"/>
        <v>0</v>
      </c>
      <c r="BP30" s="24">
        <v>0</v>
      </c>
      <c r="BQ30" s="24">
        <v>0</v>
      </c>
      <c r="BR30" s="24">
        <f t="shared" si="32"/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9">
        <v>0</v>
      </c>
      <c r="CC30" s="29">
        <v>0</v>
      </c>
      <c r="CD30" s="24">
        <f t="shared" si="33"/>
        <v>0</v>
      </c>
      <c r="CE30" s="24">
        <f t="shared" si="34"/>
        <v>0</v>
      </c>
      <c r="CF30" s="24">
        <f t="shared" si="11"/>
        <v>0</v>
      </c>
      <c r="CG30" s="24">
        <v>0</v>
      </c>
      <c r="CH30" s="29">
        <v>0</v>
      </c>
      <c r="CI30" s="24">
        <f t="shared" si="35"/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f t="shared" si="36"/>
        <v>0</v>
      </c>
      <c r="CO30" s="24">
        <v>0</v>
      </c>
      <c r="CP30" s="24">
        <v>0</v>
      </c>
      <c r="CQ30" s="24">
        <v>0</v>
      </c>
      <c r="CR30" s="24"/>
      <c r="CS30" s="24"/>
      <c r="CT30" s="24">
        <v>0</v>
      </c>
      <c r="CU30" s="24">
        <v>0</v>
      </c>
      <c r="CV30" s="24">
        <v>0</v>
      </c>
      <c r="CW30" s="24">
        <f t="shared" si="12"/>
        <v>0</v>
      </c>
      <c r="CX30" s="24">
        <f t="shared" si="13"/>
        <v>0</v>
      </c>
      <c r="CY30" s="24">
        <v>0</v>
      </c>
      <c r="CZ30" s="25">
        <v>0</v>
      </c>
    </row>
    <row r="31" spans="1:104" ht="15.6" x14ac:dyDescent="0.3">
      <c r="A31" s="26" t="s">
        <v>1</v>
      </c>
      <c r="B31" s="27" t="s">
        <v>1</v>
      </c>
      <c r="C31" s="27" t="s">
        <v>96</v>
      </c>
      <c r="D31" s="28" t="s">
        <v>97</v>
      </c>
      <c r="E31" s="23">
        <f t="shared" si="24"/>
        <v>1250410</v>
      </c>
      <c r="F31" s="24">
        <f t="shared" si="25"/>
        <v>1237195</v>
      </c>
      <c r="G31" s="24">
        <f t="shared" si="26"/>
        <v>1237195</v>
      </c>
      <c r="H31" s="29">
        <v>931630</v>
      </c>
      <c r="I31" s="29">
        <v>219585</v>
      </c>
      <c r="J31" s="24">
        <f t="shared" si="8"/>
        <v>41138</v>
      </c>
      <c r="K31" s="29">
        <v>0</v>
      </c>
      <c r="L31" s="29">
        <v>0</v>
      </c>
      <c r="M31" s="29">
        <v>0</v>
      </c>
      <c r="N31" s="29">
        <v>0</v>
      </c>
      <c r="O31" s="29">
        <v>16138</v>
      </c>
      <c r="P31" s="29">
        <v>25000</v>
      </c>
      <c r="Q31" s="24">
        <f t="shared" si="9"/>
        <v>0</v>
      </c>
      <c r="R31" s="29">
        <v>0</v>
      </c>
      <c r="S31" s="29">
        <v>0</v>
      </c>
      <c r="T31" s="29">
        <v>0</v>
      </c>
      <c r="U31" s="29">
        <v>25686</v>
      </c>
      <c r="V31" s="24">
        <f t="shared" si="27"/>
        <v>12569</v>
      </c>
      <c r="W31" s="29">
        <v>2260</v>
      </c>
      <c r="X31" s="29">
        <f>4969+25</f>
        <v>4994</v>
      </c>
      <c r="Y31" s="29">
        <v>4235</v>
      </c>
      <c r="Z31" s="29">
        <v>1080</v>
      </c>
      <c r="AA31" s="29">
        <v>0</v>
      </c>
      <c r="AB31" s="29">
        <v>0</v>
      </c>
      <c r="AC31" s="29">
        <v>0</v>
      </c>
      <c r="AD31" s="29">
        <v>0</v>
      </c>
      <c r="AE31" s="24">
        <v>0</v>
      </c>
      <c r="AF31" s="24">
        <f t="shared" si="28"/>
        <v>6587</v>
      </c>
      <c r="AG31" s="24">
        <v>0</v>
      </c>
      <c r="AH31" s="30"/>
      <c r="AI31" s="29">
        <v>0</v>
      </c>
      <c r="AJ31" s="29">
        <v>0</v>
      </c>
      <c r="AK31" s="29">
        <v>0</v>
      </c>
      <c r="AL31" s="29">
        <v>142</v>
      </c>
      <c r="AM31" s="29">
        <v>0</v>
      </c>
      <c r="AN31" s="29">
        <v>0</v>
      </c>
      <c r="AO31" s="29">
        <v>0</v>
      </c>
      <c r="AP31" s="29">
        <v>5238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1207</v>
      </c>
      <c r="BD31" s="24">
        <f t="shared" si="29"/>
        <v>0</v>
      </c>
      <c r="BE31" s="24">
        <f t="shared" si="30"/>
        <v>0</v>
      </c>
      <c r="BF31" s="24">
        <v>0</v>
      </c>
      <c r="BG31" s="24">
        <v>0</v>
      </c>
      <c r="BH31" s="24">
        <v>0</v>
      </c>
      <c r="BI31" s="24">
        <f t="shared" si="31"/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f t="shared" si="10"/>
        <v>0</v>
      </c>
      <c r="BP31" s="24">
        <v>0</v>
      </c>
      <c r="BQ31" s="24">
        <v>0</v>
      </c>
      <c r="BR31" s="24">
        <f t="shared" si="32"/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9">
        <v>0</v>
      </c>
      <c r="CC31" s="29">
        <v>0</v>
      </c>
      <c r="CD31" s="24">
        <f t="shared" si="33"/>
        <v>13215</v>
      </c>
      <c r="CE31" s="24">
        <f t="shared" si="34"/>
        <v>13215</v>
      </c>
      <c r="CF31" s="24">
        <f t="shared" si="11"/>
        <v>13215</v>
      </c>
      <c r="CG31" s="24">
        <v>0</v>
      </c>
      <c r="CH31" s="29">
        <v>13215</v>
      </c>
      <c r="CI31" s="24">
        <f t="shared" si="35"/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f t="shared" si="36"/>
        <v>0</v>
      </c>
      <c r="CO31" s="24">
        <v>0</v>
      </c>
      <c r="CP31" s="24">
        <v>0</v>
      </c>
      <c r="CQ31" s="24">
        <v>0</v>
      </c>
      <c r="CR31" s="24"/>
      <c r="CS31" s="24"/>
      <c r="CT31" s="24">
        <v>0</v>
      </c>
      <c r="CU31" s="24">
        <v>0</v>
      </c>
      <c r="CV31" s="24">
        <v>0</v>
      </c>
      <c r="CW31" s="24">
        <f t="shared" si="12"/>
        <v>0</v>
      </c>
      <c r="CX31" s="24">
        <f t="shared" si="13"/>
        <v>0</v>
      </c>
      <c r="CY31" s="24">
        <v>0</v>
      </c>
      <c r="CZ31" s="25">
        <v>0</v>
      </c>
    </row>
    <row r="32" spans="1:104" ht="31.2" x14ac:dyDescent="0.3">
      <c r="A32" s="26" t="s">
        <v>1</v>
      </c>
      <c r="B32" s="27" t="s">
        <v>1</v>
      </c>
      <c r="C32" s="27" t="s">
        <v>98</v>
      </c>
      <c r="D32" s="28" t="s">
        <v>99</v>
      </c>
      <c r="E32" s="23">
        <f t="shared" si="24"/>
        <v>1589437</v>
      </c>
      <c r="F32" s="24">
        <f t="shared" si="25"/>
        <v>1563515</v>
      </c>
      <c r="G32" s="24">
        <f t="shared" si="26"/>
        <v>1563515</v>
      </c>
      <c r="H32" s="29">
        <f>1117907+86823</f>
        <v>1204730</v>
      </c>
      <c r="I32" s="29">
        <f>267537+21706</f>
        <v>289243</v>
      </c>
      <c r="J32" s="24">
        <f t="shared" si="8"/>
        <v>35778</v>
      </c>
      <c r="K32" s="29">
        <v>0</v>
      </c>
      <c r="L32" s="29">
        <v>0</v>
      </c>
      <c r="M32" s="29">
        <v>0</v>
      </c>
      <c r="N32" s="29">
        <v>0</v>
      </c>
      <c r="O32" s="29">
        <v>18174</v>
      </c>
      <c r="P32" s="29">
        <v>17604</v>
      </c>
      <c r="Q32" s="24">
        <f t="shared" si="9"/>
        <v>0</v>
      </c>
      <c r="R32" s="29">
        <v>0</v>
      </c>
      <c r="S32" s="29">
        <v>0</v>
      </c>
      <c r="T32" s="29">
        <v>0</v>
      </c>
      <c r="U32" s="29">
        <v>27319</v>
      </c>
      <c r="V32" s="24">
        <f t="shared" si="27"/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4">
        <v>0</v>
      </c>
      <c r="AF32" s="24">
        <f t="shared" si="28"/>
        <v>6445</v>
      </c>
      <c r="AG32" s="24">
        <v>0</v>
      </c>
      <c r="AH32" s="30"/>
      <c r="AI32" s="29">
        <v>0</v>
      </c>
      <c r="AJ32" s="29">
        <v>0</v>
      </c>
      <c r="AK32" s="29">
        <v>0</v>
      </c>
      <c r="AL32" s="29">
        <v>961</v>
      </c>
      <c r="AM32" s="29">
        <v>0</v>
      </c>
      <c r="AN32" s="29">
        <v>0</v>
      </c>
      <c r="AO32" s="29">
        <v>240</v>
      </c>
      <c r="AP32" s="29">
        <v>5244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4">
        <f t="shared" si="29"/>
        <v>0</v>
      </c>
      <c r="BE32" s="24">
        <f t="shared" si="30"/>
        <v>0</v>
      </c>
      <c r="BF32" s="24">
        <v>0</v>
      </c>
      <c r="BG32" s="24">
        <v>0</v>
      </c>
      <c r="BH32" s="24">
        <v>0</v>
      </c>
      <c r="BI32" s="24">
        <f t="shared" si="31"/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f t="shared" si="10"/>
        <v>0</v>
      </c>
      <c r="BP32" s="24">
        <v>0</v>
      </c>
      <c r="BQ32" s="24">
        <v>0</v>
      </c>
      <c r="BR32" s="24">
        <f t="shared" si="32"/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9">
        <v>0</v>
      </c>
      <c r="CC32" s="29">
        <v>0</v>
      </c>
      <c r="CD32" s="24">
        <f t="shared" si="33"/>
        <v>25922</v>
      </c>
      <c r="CE32" s="24">
        <f t="shared" si="34"/>
        <v>25922</v>
      </c>
      <c r="CF32" s="24">
        <f t="shared" si="11"/>
        <v>25922</v>
      </c>
      <c r="CG32" s="24">
        <v>0</v>
      </c>
      <c r="CH32" s="29">
        <v>25922</v>
      </c>
      <c r="CI32" s="24">
        <f t="shared" si="35"/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f t="shared" si="36"/>
        <v>0</v>
      </c>
      <c r="CO32" s="24">
        <v>0</v>
      </c>
      <c r="CP32" s="24">
        <v>0</v>
      </c>
      <c r="CQ32" s="24">
        <v>0</v>
      </c>
      <c r="CR32" s="24"/>
      <c r="CS32" s="24"/>
      <c r="CT32" s="24">
        <v>0</v>
      </c>
      <c r="CU32" s="24">
        <v>0</v>
      </c>
      <c r="CV32" s="24">
        <v>0</v>
      </c>
      <c r="CW32" s="24">
        <f t="shared" si="12"/>
        <v>0</v>
      </c>
      <c r="CX32" s="24">
        <f t="shared" si="13"/>
        <v>0</v>
      </c>
      <c r="CY32" s="24">
        <v>0</v>
      </c>
      <c r="CZ32" s="25">
        <v>0</v>
      </c>
    </row>
    <row r="33" spans="1:104" ht="31.2" x14ac:dyDescent="0.3">
      <c r="A33" s="26" t="s">
        <v>1</v>
      </c>
      <c r="B33" s="27" t="s">
        <v>1</v>
      </c>
      <c r="C33" s="27" t="s">
        <v>100</v>
      </c>
      <c r="D33" s="28" t="s">
        <v>101</v>
      </c>
      <c r="E33" s="23">
        <f t="shared" si="24"/>
        <v>2432407</v>
      </c>
      <c r="F33" s="24">
        <f t="shared" si="25"/>
        <v>2404072</v>
      </c>
      <c r="G33" s="24">
        <f t="shared" si="26"/>
        <v>2402955</v>
      </c>
      <c r="H33" s="29">
        <f>1732452</f>
        <v>1732452</v>
      </c>
      <c r="I33" s="29">
        <f>435909-809</f>
        <v>435100</v>
      </c>
      <c r="J33" s="24">
        <f t="shared" si="8"/>
        <v>37549</v>
      </c>
      <c r="K33" s="29">
        <v>0</v>
      </c>
      <c r="L33" s="29">
        <v>0</v>
      </c>
      <c r="M33" s="29">
        <v>0</v>
      </c>
      <c r="N33" s="29">
        <v>0</v>
      </c>
      <c r="O33" s="29">
        <v>25029</v>
      </c>
      <c r="P33" s="29">
        <v>12520</v>
      </c>
      <c r="Q33" s="24">
        <f t="shared" si="9"/>
        <v>0</v>
      </c>
      <c r="R33" s="29">
        <v>0</v>
      </c>
      <c r="S33" s="29">
        <v>0</v>
      </c>
      <c r="T33" s="29">
        <v>0</v>
      </c>
      <c r="U33" s="29">
        <f>33238-1238</f>
        <v>32000</v>
      </c>
      <c r="V33" s="24">
        <f t="shared" si="27"/>
        <v>56246</v>
      </c>
      <c r="W33" s="29">
        <f>1209-352</f>
        <v>857</v>
      </c>
      <c r="X33" s="29">
        <f>26885+13822</f>
        <v>40707</v>
      </c>
      <c r="Y33" s="29">
        <v>8487</v>
      </c>
      <c r="Z33" s="29">
        <v>2371</v>
      </c>
      <c r="AA33" s="29">
        <v>3824</v>
      </c>
      <c r="AB33" s="29">
        <v>0</v>
      </c>
      <c r="AC33" s="29">
        <v>0</v>
      </c>
      <c r="AD33" s="29">
        <v>0</v>
      </c>
      <c r="AE33" s="24">
        <v>0</v>
      </c>
      <c r="AF33" s="24">
        <f t="shared" si="28"/>
        <v>109608</v>
      </c>
      <c r="AG33" s="24">
        <v>0</v>
      </c>
      <c r="AH33" s="30"/>
      <c r="AI33" s="29">
        <v>2120</v>
      </c>
      <c r="AJ33" s="29">
        <v>292</v>
      </c>
      <c r="AK33" s="29">
        <v>0</v>
      </c>
      <c r="AL33" s="29">
        <v>693</v>
      </c>
      <c r="AM33" s="29">
        <v>0</v>
      </c>
      <c r="AN33" s="29">
        <v>71</v>
      </c>
      <c r="AO33" s="29">
        <v>0</v>
      </c>
      <c r="AP33" s="29">
        <v>8730</v>
      </c>
      <c r="AQ33" s="29">
        <v>0</v>
      </c>
      <c r="AR33" s="29">
        <v>0</v>
      </c>
      <c r="AS33" s="29"/>
      <c r="AT33" s="29">
        <f>105169-7800</f>
        <v>97369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333</v>
      </c>
      <c r="BD33" s="24">
        <f t="shared" si="29"/>
        <v>1117</v>
      </c>
      <c r="BE33" s="24">
        <f t="shared" si="30"/>
        <v>0</v>
      </c>
      <c r="BF33" s="24">
        <v>0</v>
      </c>
      <c r="BG33" s="24">
        <v>0</v>
      </c>
      <c r="BH33" s="24">
        <v>0</v>
      </c>
      <c r="BI33" s="24">
        <f t="shared" si="31"/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f t="shared" si="10"/>
        <v>0</v>
      </c>
      <c r="BP33" s="24">
        <v>0</v>
      </c>
      <c r="BQ33" s="24">
        <v>0</v>
      </c>
      <c r="BR33" s="24">
        <f t="shared" si="32"/>
        <v>1117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9">
        <f>4601-3484</f>
        <v>1117</v>
      </c>
      <c r="CC33" s="24">
        <v>0</v>
      </c>
      <c r="CD33" s="24">
        <f t="shared" si="33"/>
        <v>28335</v>
      </c>
      <c r="CE33" s="24">
        <f t="shared" si="34"/>
        <v>28335</v>
      </c>
      <c r="CF33" s="24">
        <f t="shared" si="11"/>
        <v>28335</v>
      </c>
      <c r="CG33" s="24">
        <v>0</v>
      </c>
      <c r="CH33" s="29">
        <v>28335</v>
      </c>
      <c r="CI33" s="24">
        <f t="shared" si="35"/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f t="shared" si="36"/>
        <v>0</v>
      </c>
      <c r="CO33" s="24">
        <v>0</v>
      </c>
      <c r="CP33" s="24">
        <v>0</v>
      </c>
      <c r="CQ33" s="24">
        <v>0</v>
      </c>
      <c r="CR33" s="24"/>
      <c r="CS33" s="24"/>
      <c r="CT33" s="24">
        <v>0</v>
      </c>
      <c r="CU33" s="24">
        <v>0</v>
      </c>
      <c r="CV33" s="24">
        <v>0</v>
      </c>
      <c r="CW33" s="24">
        <f t="shared" si="12"/>
        <v>0</v>
      </c>
      <c r="CX33" s="24">
        <f t="shared" si="13"/>
        <v>0</v>
      </c>
      <c r="CY33" s="24">
        <v>0</v>
      </c>
      <c r="CZ33" s="25">
        <v>0</v>
      </c>
    </row>
    <row r="34" spans="1:104" ht="31.2" x14ac:dyDescent="0.3">
      <c r="A34" s="26" t="s">
        <v>1</v>
      </c>
      <c r="B34" s="27" t="s">
        <v>1</v>
      </c>
      <c r="C34" s="27" t="s">
        <v>102</v>
      </c>
      <c r="D34" s="28" t="s">
        <v>555</v>
      </c>
      <c r="E34" s="23">
        <f t="shared" si="24"/>
        <v>4451094</v>
      </c>
      <c r="F34" s="24">
        <f t="shared" si="25"/>
        <v>4382906</v>
      </c>
      <c r="G34" s="24">
        <f t="shared" si="26"/>
        <v>4382906</v>
      </c>
      <c r="H34" s="29">
        <f>2991984+141947</f>
        <v>3133931</v>
      </c>
      <c r="I34" s="29">
        <f>734532+32648</f>
        <v>767180</v>
      </c>
      <c r="J34" s="24">
        <f t="shared" si="8"/>
        <v>357401</v>
      </c>
      <c r="K34" s="29">
        <v>0</v>
      </c>
      <c r="L34" s="29">
        <f>99000-2200</f>
        <v>96800</v>
      </c>
      <c r="M34" s="29">
        <v>0</v>
      </c>
      <c r="N34" s="29">
        <v>0</v>
      </c>
      <c r="O34" s="29">
        <f>222997-12150</f>
        <v>210847</v>
      </c>
      <c r="P34" s="29">
        <f>57016-7262</f>
        <v>49754</v>
      </c>
      <c r="Q34" s="24">
        <f t="shared" si="9"/>
        <v>0</v>
      </c>
      <c r="R34" s="29">
        <v>0</v>
      </c>
      <c r="S34" s="29">
        <v>0</v>
      </c>
      <c r="T34" s="29">
        <v>0</v>
      </c>
      <c r="U34" s="29">
        <v>66551</v>
      </c>
      <c r="V34" s="24">
        <f t="shared" si="27"/>
        <v>46035</v>
      </c>
      <c r="W34" s="29">
        <v>0</v>
      </c>
      <c r="X34" s="29">
        <f>23040+119</f>
        <v>23159</v>
      </c>
      <c r="Y34" s="29">
        <f>15833+3125</f>
        <v>18958</v>
      </c>
      <c r="Z34" s="29">
        <v>1097</v>
      </c>
      <c r="AA34" s="29">
        <v>2821</v>
      </c>
      <c r="AB34" s="29">
        <v>0</v>
      </c>
      <c r="AC34" s="29">
        <v>0</v>
      </c>
      <c r="AD34" s="29">
        <v>0</v>
      </c>
      <c r="AE34" s="24">
        <v>0</v>
      </c>
      <c r="AF34" s="24">
        <f t="shared" si="28"/>
        <v>11808</v>
      </c>
      <c r="AG34" s="24">
        <v>0</v>
      </c>
      <c r="AH34" s="30"/>
      <c r="AI34" s="29">
        <v>1977</v>
      </c>
      <c r="AJ34" s="29">
        <f>6000-6000</f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8730</v>
      </c>
      <c r="AQ34" s="29">
        <v>0</v>
      </c>
      <c r="AR34" s="29">
        <v>0</v>
      </c>
      <c r="AS34" s="29"/>
      <c r="AT34" s="29">
        <v>485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f>826-210</f>
        <v>616</v>
      </c>
      <c r="BD34" s="24">
        <f t="shared" si="29"/>
        <v>0</v>
      </c>
      <c r="BE34" s="24">
        <f t="shared" si="30"/>
        <v>0</v>
      </c>
      <c r="BF34" s="24">
        <v>0</v>
      </c>
      <c r="BG34" s="24">
        <v>0</v>
      </c>
      <c r="BH34" s="24">
        <v>0</v>
      </c>
      <c r="BI34" s="24">
        <f t="shared" si="31"/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f t="shared" si="10"/>
        <v>0</v>
      </c>
      <c r="BP34" s="24">
        <v>0</v>
      </c>
      <c r="BQ34" s="24">
        <v>0</v>
      </c>
      <c r="BR34" s="24">
        <f t="shared" si="32"/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9">
        <v>0</v>
      </c>
      <c r="CC34" s="24">
        <v>0</v>
      </c>
      <c r="CD34" s="24">
        <f t="shared" si="33"/>
        <v>68188</v>
      </c>
      <c r="CE34" s="24">
        <f t="shared" si="34"/>
        <v>68188</v>
      </c>
      <c r="CF34" s="24">
        <f t="shared" si="11"/>
        <v>68188</v>
      </c>
      <c r="CG34" s="24">
        <v>0</v>
      </c>
      <c r="CH34" s="29">
        <f>73210-5022</f>
        <v>68188</v>
      </c>
      <c r="CI34" s="24">
        <f t="shared" si="35"/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f t="shared" si="36"/>
        <v>0</v>
      </c>
      <c r="CO34" s="24">
        <v>0</v>
      </c>
      <c r="CP34" s="24">
        <v>0</v>
      </c>
      <c r="CQ34" s="24">
        <v>0</v>
      </c>
      <c r="CR34" s="24"/>
      <c r="CS34" s="24"/>
      <c r="CT34" s="24">
        <v>0</v>
      </c>
      <c r="CU34" s="24">
        <v>0</v>
      </c>
      <c r="CV34" s="24">
        <v>0</v>
      </c>
      <c r="CW34" s="24">
        <f t="shared" si="12"/>
        <v>0</v>
      </c>
      <c r="CX34" s="24">
        <f t="shared" si="13"/>
        <v>0</v>
      </c>
      <c r="CY34" s="24">
        <v>0</v>
      </c>
      <c r="CZ34" s="25">
        <v>0</v>
      </c>
    </row>
    <row r="35" spans="1:104" ht="31.2" x14ac:dyDescent="0.3">
      <c r="A35" s="26" t="s">
        <v>1</v>
      </c>
      <c r="B35" s="27" t="s">
        <v>1</v>
      </c>
      <c r="C35" s="27" t="s">
        <v>103</v>
      </c>
      <c r="D35" s="28" t="s">
        <v>104</v>
      </c>
      <c r="E35" s="23">
        <f t="shared" si="24"/>
        <v>857539</v>
      </c>
      <c r="F35" s="24">
        <f t="shared" si="25"/>
        <v>821665</v>
      </c>
      <c r="G35" s="24">
        <f t="shared" si="26"/>
        <v>817064</v>
      </c>
      <c r="H35" s="29">
        <f>652147-60359</f>
        <v>591788</v>
      </c>
      <c r="I35" s="29">
        <f>147450-12723</f>
        <v>134727</v>
      </c>
      <c r="J35" s="24">
        <f t="shared" si="8"/>
        <v>10479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10479</v>
      </c>
      <c r="Q35" s="24">
        <f t="shared" si="9"/>
        <v>0</v>
      </c>
      <c r="R35" s="29">
        <v>0</v>
      </c>
      <c r="S35" s="29">
        <v>0</v>
      </c>
      <c r="T35" s="29">
        <v>0</v>
      </c>
      <c r="U35" s="29">
        <f>25143-15661</f>
        <v>9482</v>
      </c>
      <c r="V35" s="24">
        <f t="shared" si="27"/>
        <v>9962</v>
      </c>
      <c r="W35" s="29">
        <v>0</v>
      </c>
      <c r="X35" s="29">
        <f>5010+25</f>
        <v>5035</v>
      </c>
      <c r="Y35" s="29">
        <v>3723</v>
      </c>
      <c r="Z35" s="29">
        <v>632</v>
      </c>
      <c r="AA35" s="29">
        <v>572</v>
      </c>
      <c r="AB35" s="29">
        <v>0</v>
      </c>
      <c r="AC35" s="29">
        <v>0</v>
      </c>
      <c r="AD35" s="29">
        <v>0</v>
      </c>
      <c r="AE35" s="24">
        <v>0</v>
      </c>
      <c r="AF35" s="24">
        <f t="shared" si="28"/>
        <v>60626</v>
      </c>
      <c r="AG35" s="24">
        <v>0</v>
      </c>
      <c r="AH35" s="30"/>
      <c r="AI35" s="29">
        <v>480</v>
      </c>
      <c r="AJ35" s="29">
        <v>0</v>
      </c>
      <c r="AK35" s="29">
        <v>0</v>
      </c>
      <c r="AL35" s="29">
        <v>666</v>
      </c>
      <c r="AM35" s="29">
        <v>0</v>
      </c>
      <c r="AN35" s="29">
        <v>0</v>
      </c>
      <c r="AO35" s="29">
        <v>0</v>
      </c>
      <c r="AP35" s="29">
        <v>8730</v>
      </c>
      <c r="AQ35" s="29">
        <v>0</v>
      </c>
      <c r="AR35" s="29">
        <v>0</v>
      </c>
      <c r="AS35" s="29"/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50400</v>
      </c>
      <c r="BC35" s="29">
        <v>350</v>
      </c>
      <c r="BD35" s="24">
        <f t="shared" si="29"/>
        <v>4601</v>
      </c>
      <c r="BE35" s="24">
        <f t="shared" si="30"/>
        <v>0</v>
      </c>
      <c r="BF35" s="24">
        <v>0</v>
      </c>
      <c r="BG35" s="24">
        <v>0</v>
      </c>
      <c r="BH35" s="24">
        <v>0</v>
      </c>
      <c r="BI35" s="24">
        <f t="shared" si="31"/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f t="shared" si="10"/>
        <v>0</v>
      </c>
      <c r="BP35" s="24">
        <v>0</v>
      </c>
      <c r="BQ35" s="24">
        <v>0</v>
      </c>
      <c r="BR35" s="24">
        <f t="shared" si="32"/>
        <v>4601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9">
        <v>4601</v>
      </c>
      <c r="CC35" s="24">
        <v>0</v>
      </c>
      <c r="CD35" s="24">
        <f t="shared" si="33"/>
        <v>35874</v>
      </c>
      <c r="CE35" s="24">
        <f t="shared" si="34"/>
        <v>35874</v>
      </c>
      <c r="CF35" s="24">
        <f t="shared" si="11"/>
        <v>35874</v>
      </c>
      <c r="CG35" s="24">
        <v>0</v>
      </c>
      <c r="CH35" s="29">
        <f>43454-7580</f>
        <v>35874</v>
      </c>
      <c r="CI35" s="24">
        <f t="shared" si="35"/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f t="shared" si="36"/>
        <v>0</v>
      </c>
      <c r="CO35" s="24">
        <v>0</v>
      </c>
      <c r="CP35" s="24">
        <v>0</v>
      </c>
      <c r="CQ35" s="24">
        <v>0</v>
      </c>
      <c r="CR35" s="24"/>
      <c r="CS35" s="24"/>
      <c r="CT35" s="24">
        <v>0</v>
      </c>
      <c r="CU35" s="24">
        <v>0</v>
      </c>
      <c r="CV35" s="24">
        <v>0</v>
      </c>
      <c r="CW35" s="24">
        <f t="shared" si="12"/>
        <v>0</v>
      </c>
      <c r="CX35" s="24">
        <f t="shared" si="13"/>
        <v>0</v>
      </c>
      <c r="CY35" s="24">
        <v>0</v>
      </c>
      <c r="CZ35" s="25">
        <v>0</v>
      </c>
    </row>
    <row r="36" spans="1:104" ht="31.2" x14ac:dyDescent="0.3">
      <c r="A36" s="26" t="s">
        <v>1</v>
      </c>
      <c r="B36" s="27" t="s">
        <v>1</v>
      </c>
      <c r="C36" s="27" t="s">
        <v>106</v>
      </c>
      <c r="D36" s="28" t="s">
        <v>107</v>
      </c>
      <c r="E36" s="23">
        <f t="shared" si="24"/>
        <v>6967938</v>
      </c>
      <c r="F36" s="24">
        <f t="shared" si="25"/>
        <v>6565176</v>
      </c>
      <c r="G36" s="24">
        <f t="shared" si="26"/>
        <v>6565176</v>
      </c>
      <c r="H36" s="29">
        <f>3954874+117720+350000</f>
        <v>4422594</v>
      </c>
      <c r="I36" s="29">
        <f>933746+29430+87500</f>
        <v>1050676</v>
      </c>
      <c r="J36" s="24">
        <f t="shared" si="8"/>
        <v>571918</v>
      </c>
      <c r="K36" s="29">
        <v>0</v>
      </c>
      <c r="L36" s="29">
        <v>0</v>
      </c>
      <c r="M36" s="29">
        <v>0</v>
      </c>
      <c r="N36" s="29">
        <v>0</v>
      </c>
      <c r="O36" s="29">
        <v>300000</v>
      </c>
      <c r="P36" s="29">
        <f>247353+24565</f>
        <v>271918</v>
      </c>
      <c r="Q36" s="24">
        <f t="shared" si="9"/>
        <v>36520</v>
      </c>
      <c r="R36" s="29">
        <v>0</v>
      </c>
      <c r="S36" s="29">
        <v>36520</v>
      </c>
      <c r="T36" s="29">
        <v>0</v>
      </c>
      <c r="U36" s="29">
        <f>101338-40960</f>
        <v>60378</v>
      </c>
      <c r="V36" s="24">
        <f t="shared" si="27"/>
        <v>226286</v>
      </c>
      <c r="W36" s="29">
        <v>9000</v>
      </c>
      <c r="X36" s="29">
        <f>104645+541</f>
        <v>105186</v>
      </c>
      <c r="Y36" s="29">
        <v>100830</v>
      </c>
      <c r="Z36" s="29">
        <v>9674</v>
      </c>
      <c r="AA36" s="29">
        <v>1596</v>
      </c>
      <c r="AB36" s="29">
        <v>0</v>
      </c>
      <c r="AC36" s="29">
        <v>0</v>
      </c>
      <c r="AD36" s="29">
        <v>0</v>
      </c>
      <c r="AE36" s="24">
        <v>0</v>
      </c>
      <c r="AF36" s="24">
        <f t="shared" si="28"/>
        <v>196804</v>
      </c>
      <c r="AG36" s="24">
        <v>0</v>
      </c>
      <c r="AH36" s="30"/>
      <c r="AI36" s="29">
        <v>15064</v>
      </c>
      <c r="AJ36" s="29">
        <v>13913</v>
      </c>
      <c r="AK36" s="29">
        <v>0</v>
      </c>
      <c r="AL36" s="29">
        <v>4231</v>
      </c>
      <c r="AM36" s="29">
        <v>0</v>
      </c>
      <c r="AN36" s="29">
        <f>36520-36443</f>
        <v>77</v>
      </c>
      <c r="AO36" s="29">
        <v>0</v>
      </c>
      <c r="AP36" s="29">
        <f>21534-4172</f>
        <v>17362</v>
      </c>
      <c r="AQ36" s="29">
        <v>0</v>
      </c>
      <c r="AR36" s="29">
        <v>0</v>
      </c>
      <c r="AS36" s="29"/>
      <c r="AT36" s="29">
        <f>114301-33094</f>
        <v>81207</v>
      </c>
      <c r="AU36" s="29">
        <v>12480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52470</v>
      </c>
      <c r="BD36" s="24">
        <f t="shared" si="29"/>
        <v>0</v>
      </c>
      <c r="BE36" s="24">
        <f t="shared" si="30"/>
        <v>0</v>
      </c>
      <c r="BF36" s="24">
        <v>0</v>
      </c>
      <c r="BG36" s="24">
        <v>0</v>
      </c>
      <c r="BH36" s="24">
        <v>0</v>
      </c>
      <c r="BI36" s="24">
        <f t="shared" si="31"/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f t="shared" si="10"/>
        <v>0</v>
      </c>
      <c r="BP36" s="24">
        <v>0</v>
      </c>
      <c r="BQ36" s="24">
        <v>0</v>
      </c>
      <c r="BR36" s="24">
        <f t="shared" si="32"/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9">
        <v>0</v>
      </c>
      <c r="CC36" s="24">
        <v>0</v>
      </c>
      <c r="CD36" s="24">
        <f t="shared" si="33"/>
        <v>402762</v>
      </c>
      <c r="CE36" s="24">
        <f t="shared" si="34"/>
        <v>402762</v>
      </c>
      <c r="CF36" s="24">
        <f t="shared" si="11"/>
        <v>402762</v>
      </c>
      <c r="CG36" s="24">
        <v>0</v>
      </c>
      <c r="CH36" s="29">
        <f>934957-532195</f>
        <v>402762</v>
      </c>
      <c r="CI36" s="24">
        <f t="shared" si="35"/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f t="shared" si="36"/>
        <v>0</v>
      </c>
      <c r="CO36" s="24">
        <v>0</v>
      </c>
      <c r="CP36" s="24">
        <v>0</v>
      </c>
      <c r="CQ36" s="24">
        <v>0</v>
      </c>
      <c r="CR36" s="24"/>
      <c r="CS36" s="24"/>
      <c r="CT36" s="24">
        <v>0</v>
      </c>
      <c r="CU36" s="24">
        <v>0</v>
      </c>
      <c r="CV36" s="24">
        <v>0</v>
      </c>
      <c r="CW36" s="24">
        <f t="shared" si="12"/>
        <v>0</v>
      </c>
      <c r="CX36" s="24">
        <f t="shared" si="13"/>
        <v>0</v>
      </c>
      <c r="CY36" s="24">
        <v>0</v>
      </c>
      <c r="CZ36" s="25">
        <v>0</v>
      </c>
    </row>
    <row r="37" spans="1:104" ht="31.2" x14ac:dyDescent="0.3">
      <c r="A37" s="20"/>
      <c r="B37" s="21" t="s">
        <v>108</v>
      </c>
      <c r="C37" s="21" t="s">
        <v>1</v>
      </c>
      <c r="D37" s="22" t="s">
        <v>109</v>
      </c>
      <c r="E37" s="23">
        <f>SUM(E38)</f>
        <v>44988598</v>
      </c>
      <c r="F37" s="24">
        <f t="shared" ref="F37:BX37" si="37">SUM(F38)</f>
        <v>42788864</v>
      </c>
      <c r="G37" s="24">
        <f t="shared" si="37"/>
        <v>40480162</v>
      </c>
      <c r="H37" s="24">
        <f t="shared" si="37"/>
        <v>30915853</v>
      </c>
      <c r="I37" s="24">
        <f t="shared" si="37"/>
        <v>3541522</v>
      </c>
      <c r="J37" s="24">
        <f t="shared" si="37"/>
        <v>1304272</v>
      </c>
      <c r="K37" s="24">
        <f t="shared" si="37"/>
        <v>0</v>
      </c>
      <c r="L37" s="24">
        <f t="shared" si="37"/>
        <v>0</v>
      </c>
      <c r="M37" s="24">
        <f t="shared" si="37"/>
        <v>0</v>
      </c>
      <c r="N37" s="24">
        <f t="shared" si="37"/>
        <v>0</v>
      </c>
      <c r="O37" s="24">
        <f t="shared" si="37"/>
        <v>590958</v>
      </c>
      <c r="P37" s="24">
        <f t="shared" si="37"/>
        <v>713314</v>
      </c>
      <c r="Q37" s="24">
        <f t="shared" si="37"/>
        <v>0</v>
      </c>
      <c r="R37" s="24">
        <f t="shared" si="37"/>
        <v>0</v>
      </c>
      <c r="S37" s="24">
        <f t="shared" si="37"/>
        <v>0</v>
      </c>
      <c r="T37" s="24">
        <f t="shared" si="37"/>
        <v>3200</v>
      </c>
      <c r="U37" s="24">
        <f t="shared" si="37"/>
        <v>1049624</v>
      </c>
      <c r="V37" s="24">
        <f t="shared" si="37"/>
        <v>883663</v>
      </c>
      <c r="W37" s="24">
        <f t="shared" si="37"/>
        <v>339538</v>
      </c>
      <c r="X37" s="24">
        <f t="shared" si="37"/>
        <v>105212</v>
      </c>
      <c r="Y37" s="24">
        <f t="shared" si="37"/>
        <v>334271</v>
      </c>
      <c r="Z37" s="24">
        <f t="shared" si="37"/>
        <v>46490</v>
      </c>
      <c r="AA37" s="24">
        <f t="shared" si="37"/>
        <v>15581</v>
      </c>
      <c r="AB37" s="24">
        <f t="shared" si="37"/>
        <v>0</v>
      </c>
      <c r="AC37" s="24">
        <f t="shared" si="37"/>
        <v>0</v>
      </c>
      <c r="AD37" s="24">
        <f t="shared" si="37"/>
        <v>42571</v>
      </c>
      <c r="AE37" s="24">
        <f t="shared" si="37"/>
        <v>0</v>
      </c>
      <c r="AF37" s="24">
        <f t="shared" si="37"/>
        <v>2782028</v>
      </c>
      <c r="AG37" s="24">
        <f t="shared" si="37"/>
        <v>0</v>
      </c>
      <c r="AH37" s="24">
        <f t="shared" si="37"/>
        <v>0</v>
      </c>
      <c r="AI37" s="24">
        <f t="shared" si="37"/>
        <v>170218</v>
      </c>
      <c r="AJ37" s="24">
        <f t="shared" si="37"/>
        <v>1351919</v>
      </c>
      <c r="AK37" s="24">
        <f t="shared" si="37"/>
        <v>0</v>
      </c>
      <c r="AL37" s="24">
        <f t="shared" si="37"/>
        <v>49920</v>
      </c>
      <c r="AM37" s="24">
        <f t="shared" si="37"/>
        <v>0</v>
      </c>
      <c r="AN37" s="24">
        <f t="shared" si="37"/>
        <v>167</v>
      </c>
      <c r="AO37" s="24">
        <f t="shared" si="37"/>
        <v>38847</v>
      </c>
      <c r="AP37" s="24">
        <f t="shared" si="37"/>
        <v>14281</v>
      </c>
      <c r="AQ37" s="24">
        <f t="shared" si="37"/>
        <v>215</v>
      </c>
      <c r="AR37" s="24"/>
      <c r="AS37" s="24">
        <f t="shared" si="37"/>
        <v>0</v>
      </c>
      <c r="AT37" s="24">
        <f t="shared" si="37"/>
        <v>67068</v>
      </c>
      <c r="AU37" s="24">
        <f t="shared" si="37"/>
        <v>0</v>
      </c>
      <c r="AV37" s="24"/>
      <c r="AW37" s="24"/>
      <c r="AX37" s="24">
        <f t="shared" si="37"/>
        <v>0</v>
      </c>
      <c r="AY37" s="24">
        <f t="shared" si="37"/>
        <v>962312</v>
      </c>
      <c r="AZ37" s="24">
        <f t="shared" si="37"/>
        <v>0</v>
      </c>
      <c r="BA37" s="24">
        <f t="shared" si="37"/>
        <v>0</v>
      </c>
      <c r="BB37" s="24"/>
      <c r="BC37" s="24">
        <f t="shared" si="37"/>
        <v>127081</v>
      </c>
      <c r="BD37" s="24">
        <f t="shared" si="37"/>
        <v>2308702</v>
      </c>
      <c r="BE37" s="24">
        <f t="shared" si="37"/>
        <v>0</v>
      </c>
      <c r="BF37" s="24">
        <f t="shared" si="37"/>
        <v>0</v>
      </c>
      <c r="BG37" s="24">
        <f t="shared" si="37"/>
        <v>0</v>
      </c>
      <c r="BH37" s="24">
        <f t="shared" si="37"/>
        <v>0</v>
      </c>
      <c r="BI37" s="24">
        <f t="shared" si="37"/>
        <v>0</v>
      </c>
      <c r="BJ37" s="24">
        <f t="shared" si="37"/>
        <v>0</v>
      </c>
      <c r="BK37" s="24">
        <f t="shared" si="37"/>
        <v>0</v>
      </c>
      <c r="BL37" s="24">
        <f t="shared" si="37"/>
        <v>0</v>
      </c>
      <c r="BM37" s="24">
        <f t="shared" si="37"/>
        <v>0</v>
      </c>
      <c r="BN37" s="24">
        <f t="shared" si="37"/>
        <v>0</v>
      </c>
      <c r="BO37" s="24">
        <f t="shared" si="37"/>
        <v>0</v>
      </c>
      <c r="BP37" s="24">
        <f t="shared" si="37"/>
        <v>0</v>
      </c>
      <c r="BQ37" s="24">
        <f t="shared" si="37"/>
        <v>0</v>
      </c>
      <c r="BR37" s="24">
        <f t="shared" si="37"/>
        <v>2308702</v>
      </c>
      <c r="BS37" s="24">
        <f t="shared" si="37"/>
        <v>0</v>
      </c>
      <c r="BT37" s="24">
        <f t="shared" si="37"/>
        <v>0</v>
      </c>
      <c r="BU37" s="24">
        <f t="shared" si="37"/>
        <v>0</v>
      </c>
      <c r="BV37" s="24">
        <f t="shared" si="37"/>
        <v>0</v>
      </c>
      <c r="BW37" s="24">
        <f t="shared" si="37"/>
        <v>0</v>
      </c>
      <c r="BX37" s="24">
        <f t="shared" si="37"/>
        <v>0</v>
      </c>
      <c r="BY37" s="24">
        <f t="shared" ref="BY37:CZ37" si="38">SUM(BY38)</f>
        <v>0</v>
      </c>
      <c r="BZ37" s="24">
        <f t="shared" si="38"/>
        <v>0</v>
      </c>
      <c r="CA37" s="24">
        <f t="shared" si="38"/>
        <v>0</v>
      </c>
      <c r="CB37" s="24">
        <f t="shared" si="38"/>
        <v>2308702</v>
      </c>
      <c r="CC37" s="24">
        <f t="shared" si="38"/>
        <v>0</v>
      </c>
      <c r="CD37" s="24">
        <f t="shared" si="38"/>
        <v>2199734</v>
      </c>
      <c r="CE37" s="24">
        <f t="shared" si="38"/>
        <v>2199734</v>
      </c>
      <c r="CF37" s="24">
        <f t="shared" si="38"/>
        <v>1357410</v>
      </c>
      <c r="CG37" s="24">
        <f t="shared" si="38"/>
        <v>0</v>
      </c>
      <c r="CH37" s="24">
        <f t="shared" si="38"/>
        <v>1357410</v>
      </c>
      <c r="CI37" s="24">
        <f t="shared" si="38"/>
        <v>0</v>
      </c>
      <c r="CJ37" s="24">
        <f t="shared" si="38"/>
        <v>0</v>
      </c>
      <c r="CK37" s="24">
        <f t="shared" si="38"/>
        <v>0</v>
      </c>
      <c r="CL37" s="24">
        <f t="shared" si="38"/>
        <v>0</v>
      </c>
      <c r="CM37" s="24">
        <f t="shared" si="38"/>
        <v>0</v>
      </c>
      <c r="CN37" s="24">
        <f t="shared" si="38"/>
        <v>842324</v>
      </c>
      <c r="CO37" s="24">
        <f t="shared" si="38"/>
        <v>0</v>
      </c>
      <c r="CP37" s="24">
        <f t="shared" si="38"/>
        <v>0</v>
      </c>
      <c r="CQ37" s="24">
        <f t="shared" si="38"/>
        <v>842324</v>
      </c>
      <c r="CR37" s="24"/>
      <c r="CS37" s="24"/>
      <c r="CT37" s="24">
        <f t="shared" si="38"/>
        <v>0</v>
      </c>
      <c r="CU37" s="24">
        <f t="shared" si="38"/>
        <v>0</v>
      </c>
      <c r="CV37" s="24">
        <f t="shared" si="38"/>
        <v>0</v>
      </c>
      <c r="CW37" s="24">
        <f t="shared" si="38"/>
        <v>0</v>
      </c>
      <c r="CX37" s="24">
        <f t="shared" si="38"/>
        <v>0</v>
      </c>
      <c r="CY37" s="24">
        <f t="shared" si="38"/>
        <v>0</v>
      </c>
      <c r="CZ37" s="25">
        <f t="shared" si="38"/>
        <v>0</v>
      </c>
    </row>
    <row r="38" spans="1:104" ht="15.6" x14ac:dyDescent="0.3">
      <c r="A38" s="26" t="s">
        <v>1</v>
      </c>
      <c r="B38" s="27" t="s">
        <v>1</v>
      </c>
      <c r="C38" s="27" t="s">
        <v>105</v>
      </c>
      <c r="D38" s="28" t="s">
        <v>602</v>
      </c>
      <c r="E38" s="23">
        <f>SUM(F38+CD38+CW38)</f>
        <v>44988598</v>
      </c>
      <c r="F38" s="24">
        <f>SUM(G38+BD38)</f>
        <v>42788864</v>
      </c>
      <c r="G38" s="24">
        <f>SUM(H38+I38+J38+Q38+T38+U38+V38+AF38+AE38)</f>
        <v>40480162</v>
      </c>
      <c r="H38" s="29">
        <v>30915853</v>
      </c>
      <c r="I38" s="29">
        <v>3541522</v>
      </c>
      <c r="J38" s="24">
        <f t="shared" si="8"/>
        <v>1304272</v>
      </c>
      <c r="K38" s="24">
        <v>0</v>
      </c>
      <c r="L38" s="29">
        <v>0</v>
      </c>
      <c r="M38" s="29">
        <v>0</v>
      </c>
      <c r="N38" s="29">
        <v>0</v>
      </c>
      <c r="O38" s="29">
        <f>665616-74658</f>
        <v>590958</v>
      </c>
      <c r="P38" s="29">
        <v>713314</v>
      </c>
      <c r="Q38" s="24">
        <f t="shared" si="9"/>
        <v>0</v>
      </c>
      <c r="R38" s="29">
        <v>0</v>
      </c>
      <c r="S38" s="29">
        <v>0</v>
      </c>
      <c r="T38" s="29">
        <v>3200</v>
      </c>
      <c r="U38" s="29">
        <f>1702300-652676</f>
        <v>1049624</v>
      </c>
      <c r="V38" s="24">
        <f>SUM(W38:AD38)</f>
        <v>883663</v>
      </c>
      <c r="W38" s="29">
        <v>339538</v>
      </c>
      <c r="X38" s="29">
        <f>104278+515+419</f>
        <v>105212</v>
      </c>
      <c r="Y38" s="29">
        <f>334260+11</f>
        <v>334271</v>
      </c>
      <c r="Z38" s="29">
        <v>46490</v>
      </c>
      <c r="AA38" s="29">
        <f>16000-419</f>
        <v>15581</v>
      </c>
      <c r="AB38" s="29">
        <v>0</v>
      </c>
      <c r="AC38" s="29">
        <v>0</v>
      </c>
      <c r="AD38" s="29">
        <f>42554+17</f>
        <v>42571</v>
      </c>
      <c r="AE38" s="24"/>
      <c r="AF38" s="24">
        <f>SUM(AG38:BC38)</f>
        <v>2782028</v>
      </c>
      <c r="AG38" s="24">
        <v>0</v>
      </c>
      <c r="AH38" s="24"/>
      <c r="AI38" s="29">
        <v>170218</v>
      </c>
      <c r="AJ38" s="29">
        <f>1495628-143709</f>
        <v>1351919</v>
      </c>
      <c r="AK38" s="29">
        <v>0</v>
      </c>
      <c r="AL38" s="29">
        <v>49920</v>
      </c>
      <c r="AM38" s="29">
        <v>0</v>
      </c>
      <c r="AN38" s="29">
        <f>100000-99833</f>
        <v>167</v>
      </c>
      <c r="AO38" s="29">
        <f>47414-8567</f>
        <v>38847</v>
      </c>
      <c r="AP38" s="29">
        <f>22407-8126</f>
        <v>14281</v>
      </c>
      <c r="AQ38" s="29">
        <v>215</v>
      </c>
      <c r="AR38" s="29">
        <v>0</v>
      </c>
      <c r="AS38" s="29"/>
      <c r="AT38" s="29">
        <f>77117-10049</f>
        <v>67068</v>
      </c>
      <c r="AU38" s="29">
        <v>0</v>
      </c>
      <c r="AV38" s="29">
        <v>0</v>
      </c>
      <c r="AW38" s="29">
        <v>0</v>
      </c>
      <c r="AX38" s="29"/>
      <c r="AY38" s="29">
        <f>1366988-404676</f>
        <v>962312</v>
      </c>
      <c r="AZ38" s="29">
        <v>0</v>
      </c>
      <c r="BA38" s="29">
        <v>0</v>
      </c>
      <c r="BB38" s="29"/>
      <c r="BC38" s="29">
        <v>127081</v>
      </c>
      <c r="BD38" s="24">
        <f>SUM(BE38+BI38+BM38+BO38+BR38)</f>
        <v>2308702</v>
      </c>
      <c r="BE38" s="24">
        <f>SUM(BF38:BH38)</f>
        <v>0</v>
      </c>
      <c r="BF38" s="24">
        <v>0</v>
      </c>
      <c r="BG38" s="24">
        <v>0</v>
      </c>
      <c r="BH38" s="24">
        <v>0</v>
      </c>
      <c r="BI38" s="24">
        <f>SUM(BL38:BL38)</f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f t="shared" si="10"/>
        <v>0</v>
      </c>
      <c r="BP38" s="24">
        <v>0</v>
      </c>
      <c r="BQ38" s="24">
        <v>0</v>
      </c>
      <c r="BR38" s="24">
        <f>SUM(BS38:CC38)</f>
        <v>2308702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9">
        <v>2308702</v>
      </c>
      <c r="CC38" s="24">
        <v>0</v>
      </c>
      <c r="CD38" s="24">
        <f>SUM(CE38+CV38)</f>
        <v>2199734</v>
      </c>
      <c r="CE38" s="24">
        <f>SUM(CF38+CI38+CN38)</f>
        <v>2199734</v>
      </c>
      <c r="CF38" s="24">
        <f t="shared" si="11"/>
        <v>1357410</v>
      </c>
      <c r="CG38" s="24">
        <v>0</v>
      </c>
      <c r="CH38" s="29">
        <v>1357410</v>
      </c>
      <c r="CI38" s="24">
        <f>SUM(CJ38:CM38)</f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f>SUM(CO38:CS38)</f>
        <v>842324</v>
      </c>
      <c r="CO38" s="24"/>
      <c r="CP38" s="24"/>
      <c r="CQ38" s="29">
        <f>871715-29391</f>
        <v>842324</v>
      </c>
      <c r="CR38" s="24"/>
      <c r="CS38" s="24"/>
      <c r="CT38" s="24">
        <v>0</v>
      </c>
      <c r="CU38" s="24">
        <v>0</v>
      </c>
      <c r="CV38" s="24">
        <v>0</v>
      </c>
      <c r="CW38" s="24">
        <f t="shared" si="12"/>
        <v>0</v>
      </c>
      <c r="CX38" s="24">
        <f t="shared" si="13"/>
        <v>0</v>
      </c>
      <c r="CY38" s="24">
        <v>0</v>
      </c>
      <c r="CZ38" s="25">
        <v>0</v>
      </c>
    </row>
    <row r="39" spans="1:104" ht="31.2" x14ac:dyDescent="0.3">
      <c r="A39" s="20"/>
      <c r="B39" s="21" t="s">
        <v>110</v>
      </c>
      <c r="C39" s="21" t="s">
        <v>1</v>
      </c>
      <c r="D39" s="22" t="s">
        <v>111</v>
      </c>
      <c r="E39" s="23">
        <f t="shared" ref="E39:BU39" si="39">SUM(E40:E44)</f>
        <v>19717572</v>
      </c>
      <c r="F39" s="24">
        <f t="shared" si="39"/>
        <v>19445673</v>
      </c>
      <c r="G39" s="24">
        <f t="shared" si="39"/>
        <v>19445673</v>
      </c>
      <c r="H39" s="24">
        <f t="shared" si="39"/>
        <v>13701835</v>
      </c>
      <c r="I39" s="24">
        <f t="shared" si="39"/>
        <v>3185974</v>
      </c>
      <c r="J39" s="24">
        <f t="shared" si="39"/>
        <v>566709</v>
      </c>
      <c r="K39" s="24">
        <f t="shared" si="39"/>
        <v>0</v>
      </c>
      <c r="L39" s="24">
        <f t="shared" si="39"/>
        <v>0</v>
      </c>
      <c r="M39" s="24">
        <f t="shared" si="39"/>
        <v>0</v>
      </c>
      <c r="N39" s="24">
        <f t="shared" si="39"/>
        <v>0</v>
      </c>
      <c r="O39" s="24">
        <f t="shared" si="39"/>
        <v>272976</v>
      </c>
      <c r="P39" s="24">
        <f t="shared" si="39"/>
        <v>293733</v>
      </c>
      <c r="Q39" s="24">
        <f t="shared" si="39"/>
        <v>166840</v>
      </c>
      <c r="R39" s="24">
        <f t="shared" si="39"/>
        <v>3664</v>
      </c>
      <c r="S39" s="24">
        <f t="shared" si="39"/>
        <v>163176</v>
      </c>
      <c r="T39" s="24">
        <f t="shared" si="39"/>
        <v>0</v>
      </c>
      <c r="U39" s="24">
        <f t="shared" si="39"/>
        <v>289577</v>
      </c>
      <c r="V39" s="24">
        <f t="shared" si="39"/>
        <v>890960</v>
      </c>
      <c r="W39" s="24">
        <f t="shared" si="39"/>
        <v>68672</v>
      </c>
      <c r="X39" s="24">
        <f t="shared" si="39"/>
        <v>89474</v>
      </c>
      <c r="Y39" s="24">
        <f t="shared" si="39"/>
        <v>88171</v>
      </c>
      <c r="Z39" s="24">
        <f t="shared" si="39"/>
        <v>17437</v>
      </c>
      <c r="AA39" s="24">
        <f t="shared" si="39"/>
        <v>12963</v>
      </c>
      <c r="AB39" s="24">
        <f t="shared" si="39"/>
        <v>600853</v>
      </c>
      <c r="AC39" s="24">
        <f t="shared" si="39"/>
        <v>0</v>
      </c>
      <c r="AD39" s="24">
        <f t="shared" si="39"/>
        <v>13390</v>
      </c>
      <c r="AE39" s="24">
        <f t="shared" si="39"/>
        <v>0</v>
      </c>
      <c r="AF39" s="24">
        <f t="shared" si="39"/>
        <v>643778</v>
      </c>
      <c r="AG39" s="24">
        <f t="shared" si="39"/>
        <v>0</v>
      </c>
      <c r="AH39" s="24">
        <f t="shared" si="39"/>
        <v>0</v>
      </c>
      <c r="AI39" s="24">
        <f t="shared" si="39"/>
        <v>50759</v>
      </c>
      <c r="AJ39" s="24">
        <f t="shared" si="39"/>
        <v>236635</v>
      </c>
      <c r="AK39" s="24">
        <f t="shared" si="39"/>
        <v>0</v>
      </c>
      <c r="AL39" s="24">
        <f t="shared" si="39"/>
        <v>8928</v>
      </c>
      <c r="AM39" s="24">
        <f t="shared" si="39"/>
        <v>240</v>
      </c>
      <c r="AN39" s="24">
        <f t="shared" si="39"/>
        <v>0</v>
      </c>
      <c r="AO39" s="24">
        <f t="shared" si="39"/>
        <v>86830</v>
      </c>
      <c r="AP39" s="24">
        <f t="shared" si="39"/>
        <v>7566</v>
      </c>
      <c r="AQ39" s="24">
        <f t="shared" si="39"/>
        <v>0</v>
      </c>
      <c r="AR39" s="24"/>
      <c r="AS39" s="24">
        <f t="shared" si="39"/>
        <v>0</v>
      </c>
      <c r="AT39" s="24">
        <f t="shared" si="39"/>
        <v>61998</v>
      </c>
      <c r="AU39" s="24">
        <f t="shared" si="39"/>
        <v>2200</v>
      </c>
      <c r="AV39" s="24"/>
      <c r="AW39" s="24"/>
      <c r="AX39" s="24">
        <f t="shared" si="39"/>
        <v>0</v>
      </c>
      <c r="AY39" s="24">
        <f t="shared" si="39"/>
        <v>0</v>
      </c>
      <c r="AZ39" s="24">
        <f t="shared" si="39"/>
        <v>0</v>
      </c>
      <c r="BA39" s="24">
        <f t="shared" si="39"/>
        <v>109334</v>
      </c>
      <c r="BB39" s="24"/>
      <c r="BC39" s="24">
        <f t="shared" si="39"/>
        <v>79288</v>
      </c>
      <c r="BD39" s="24">
        <f t="shared" si="39"/>
        <v>0</v>
      </c>
      <c r="BE39" s="24">
        <f t="shared" si="39"/>
        <v>0</v>
      </c>
      <c r="BF39" s="24">
        <f t="shared" si="39"/>
        <v>0</v>
      </c>
      <c r="BG39" s="24">
        <f t="shared" si="39"/>
        <v>0</v>
      </c>
      <c r="BH39" s="24">
        <f t="shared" si="39"/>
        <v>0</v>
      </c>
      <c r="BI39" s="24">
        <f t="shared" si="39"/>
        <v>0</v>
      </c>
      <c r="BJ39" s="24">
        <f t="shared" si="39"/>
        <v>0</v>
      </c>
      <c r="BK39" s="24">
        <f t="shared" ref="BK39" si="40">SUM(BK40:BK44)</f>
        <v>0</v>
      </c>
      <c r="BL39" s="24">
        <f t="shared" si="39"/>
        <v>0</v>
      </c>
      <c r="BM39" s="24">
        <f t="shared" si="39"/>
        <v>0</v>
      </c>
      <c r="BN39" s="24">
        <f t="shared" si="39"/>
        <v>0</v>
      </c>
      <c r="BO39" s="24">
        <f t="shared" si="39"/>
        <v>0</v>
      </c>
      <c r="BP39" s="24">
        <f t="shared" si="39"/>
        <v>0</v>
      </c>
      <c r="BQ39" s="24">
        <f t="shared" ref="BQ39" si="41">SUM(BQ40:BQ44)</f>
        <v>0</v>
      </c>
      <c r="BR39" s="24">
        <f t="shared" si="39"/>
        <v>0</v>
      </c>
      <c r="BS39" s="24">
        <f t="shared" si="39"/>
        <v>0</v>
      </c>
      <c r="BT39" s="24">
        <f t="shared" si="39"/>
        <v>0</v>
      </c>
      <c r="BU39" s="24">
        <f t="shared" si="39"/>
        <v>0</v>
      </c>
      <c r="BV39" s="24">
        <f t="shared" ref="BV39:CZ39" si="42">SUM(BV40:BV44)</f>
        <v>0</v>
      </c>
      <c r="BW39" s="24">
        <f t="shared" si="42"/>
        <v>0</v>
      </c>
      <c r="BX39" s="24">
        <f t="shared" si="42"/>
        <v>0</v>
      </c>
      <c r="BY39" s="24">
        <f t="shared" si="42"/>
        <v>0</v>
      </c>
      <c r="BZ39" s="24">
        <f t="shared" si="42"/>
        <v>0</v>
      </c>
      <c r="CA39" s="24">
        <f t="shared" si="42"/>
        <v>0</v>
      </c>
      <c r="CB39" s="24">
        <f t="shared" si="42"/>
        <v>0</v>
      </c>
      <c r="CC39" s="24">
        <f t="shared" si="42"/>
        <v>0</v>
      </c>
      <c r="CD39" s="24">
        <f t="shared" si="42"/>
        <v>271899</v>
      </c>
      <c r="CE39" s="24">
        <f t="shared" si="42"/>
        <v>271899</v>
      </c>
      <c r="CF39" s="24">
        <f t="shared" si="42"/>
        <v>271899</v>
      </c>
      <c r="CG39" s="24">
        <f t="shared" si="42"/>
        <v>0</v>
      </c>
      <c r="CH39" s="24">
        <f t="shared" si="42"/>
        <v>271899</v>
      </c>
      <c r="CI39" s="24">
        <f t="shared" si="42"/>
        <v>0</v>
      </c>
      <c r="CJ39" s="24">
        <f t="shared" si="42"/>
        <v>0</v>
      </c>
      <c r="CK39" s="24">
        <f t="shared" ref="CK39:CL39" si="43">SUM(CK40:CK44)</f>
        <v>0</v>
      </c>
      <c r="CL39" s="24">
        <f t="shared" si="43"/>
        <v>0</v>
      </c>
      <c r="CM39" s="24">
        <f t="shared" si="42"/>
        <v>0</v>
      </c>
      <c r="CN39" s="24">
        <f t="shared" si="42"/>
        <v>0</v>
      </c>
      <c r="CO39" s="24">
        <f t="shared" si="42"/>
        <v>0</v>
      </c>
      <c r="CP39" s="24">
        <f t="shared" ref="CP39" si="44">SUM(CP40:CP44)</f>
        <v>0</v>
      </c>
      <c r="CQ39" s="24">
        <f t="shared" si="42"/>
        <v>0</v>
      </c>
      <c r="CR39" s="24"/>
      <c r="CS39" s="24"/>
      <c r="CT39" s="24">
        <f t="shared" si="42"/>
        <v>0</v>
      </c>
      <c r="CU39" s="24">
        <f t="shared" si="42"/>
        <v>0</v>
      </c>
      <c r="CV39" s="24">
        <f t="shared" si="42"/>
        <v>0</v>
      </c>
      <c r="CW39" s="24">
        <f t="shared" si="42"/>
        <v>0</v>
      </c>
      <c r="CX39" s="24">
        <f t="shared" si="42"/>
        <v>0</v>
      </c>
      <c r="CY39" s="24">
        <f t="shared" si="42"/>
        <v>0</v>
      </c>
      <c r="CZ39" s="25">
        <f t="shared" si="42"/>
        <v>0</v>
      </c>
    </row>
    <row r="40" spans="1:104" ht="15.6" x14ac:dyDescent="0.3">
      <c r="A40" s="26" t="s">
        <v>1</v>
      </c>
      <c r="B40" s="27" t="s">
        <v>1</v>
      </c>
      <c r="C40" s="27" t="s">
        <v>82</v>
      </c>
      <c r="D40" s="28" t="s">
        <v>420</v>
      </c>
      <c r="E40" s="23">
        <f>SUM(F40+CD40+CW40)</f>
        <v>1731764</v>
      </c>
      <c r="F40" s="24">
        <f>SUM(G40+BD40)</f>
        <v>1708298</v>
      </c>
      <c r="G40" s="24">
        <f>SUM(H40+I40+J40+Q40+T40+U40+V40+AF40+AE40)</f>
        <v>1708298</v>
      </c>
      <c r="H40" s="29">
        <v>1015440</v>
      </c>
      <c r="I40" s="29">
        <v>253860</v>
      </c>
      <c r="J40" s="24">
        <f t="shared" si="8"/>
        <v>48841</v>
      </c>
      <c r="K40" s="24">
        <v>0</v>
      </c>
      <c r="L40" s="24">
        <v>0</v>
      </c>
      <c r="M40" s="24">
        <v>0</v>
      </c>
      <c r="N40" s="24">
        <v>0</v>
      </c>
      <c r="O40" s="29">
        <f>14841-680</f>
        <v>14161</v>
      </c>
      <c r="P40" s="29">
        <f>34782-102</f>
        <v>34680</v>
      </c>
      <c r="Q40" s="24">
        <f t="shared" si="9"/>
        <v>96651</v>
      </c>
      <c r="R40" s="29">
        <f>18508-14844</f>
        <v>3664</v>
      </c>
      <c r="S40" s="29">
        <f>192987-100000</f>
        <v>92987</v>
      </c>
      <c r="T40" s="29">
        <v>0</v>
      </c>
      <c r="U40" s="29">
        <f>46074-25394</f>
        <v>20680</v>
      </c>
      <c r="V40" s="24">
        <f t="shared" ref="V40:V44" si="45">SUM(W40:AD40)</f>
        <v>212521</v>
      </c>
      <c r="W40" s="29">
        <v>0</v>
      </c>
      <c r="X40" s="29">
        <f>368-367</f>
        <v>1</v>
      </c>
      <c r="Y40" s="29">
        <f>2253-2253</f>
        <v>0</v>
      </c>
      <c r="Z40" s="29">
        <v>0</v>
      </c>
      <c r="AA40" s="29">
        <v>0</v>
      </c>
      <c r="AB40" s="29">
        <f>215160-2640</f>
        <v>212520</v>
      </c>
      <c r="AC40" s="29">
        <v>0</v>
      </c>
      <c r="AD40" s="29">
        <v>0</v>
      </c>
      <c r="AE40" s="24">
        <v>0</v>
      </c>
      <c r="AF40" s="24">
        <f>SUM(AG40:BC40)</f>
        <v>60305</v>
      </c>
      <c r="AG40" s="24">
        <v>0</v>
      </c>
      <c r="AH40" s="24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50380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/>
      <c r="BC40" s="29">
        <f>91579-81654</f>
        <v>9925</v>
      </c>
      <c r="BD40" s="24">
        <f>SUM(BE40+BI40+BM40+BO40+BR40)</f>
        <v>0</v>
      </c>
      <c r="BE40" s="24">
        <f>SUM(BF40:BH40)</f>
        <v>0</v>
      </c>
      <c r="BF40" s="24">
        <v>0</v>
      </c>
      <c r="BG40" s="24">
        <v>0</v>
      </c>
      <c r="BH40" s="24">
        <v>0</v>
      </c>
      <c r="BI40" s="24">
        <f>SUM(BL40:BL40)</f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f t="shared" si="10"/>
        <v>0</v>
      </c>
      <c r="BP40" s="24">
        <v>0</v>
      </c>
      <c r="BQ40" s="24">
        <v>0</v>
      </c>
      <c r="BR40" s="24">
        <f>SUM(BS40:CC40)</f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9">
        <v>0</v>
      </c>
      <c r="CC40" s="24">
        <v>0</v>
      </c>
      <c r="CD40" s="24">
        <f>SUM(CE40+CV40)</f>
        <v>23466</v>
      </c>
      <c r="CE40" s="24">
        <f>SUM(CF40+CI40+CN40)</f>
        <v>23466</v>
      </c>
      <c r="CF40" s="24">
        <f t="shared" si="11"/>
        <v>23466</v>
      </c>
      <c r="CG40" s="24">
        <v>0</v>
      </c>
      <c r="CH40" s="29">
        <f>28967-5501</f>
        <v>23466</v>
      </c>
      <c r="CI40" s="24">
        <f>SUM(CJ40:CM40)</f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f>SUM(CO40:CS40)</f>
        <v>0</v>
      </c>
      <c r="CO40" s="24">
        <v>0</v>
      </c>
      <c r="CP40" s="24">
        <v>0</v>
      </c>
      <c r="CQ40" s="24">
        <v>0</v>
      </c>
      <c r="CR40" s="24"/>
      <c r="CS40" s="24"/>
      <c r="CT40" s="24">
        <v>0</v>
      </c>
      <c r="CU40" s="24">
        <v>0</v>
      </c>
      <c r="CV40" s="24">
        <v>0</v>
      </c>
      <c r="CW40" s="24">
        <f t="shared" si="12"/>
        <v>0</v>
      </c>
      <c r="CX40" s="24">
        <f t="shared" si="13"/>
        <v>0</v>
      </c>
      <c r="CY40" s="24">
        <v>0</v>
      </c>
      <c r="CZ40" s="25">
        <v>0</v>
      </c>
    </row>
    <row r="41" spans="1:104" ht="31.2" x14ac:dyDescent="0.3">
      <c r="A41" s="26" t="s">
        <v>1</v>
      </c>
      <c r="B41" s="27" t="s">
        <v>1</v>
      </c>
      <c r="C41" s="27" t="s">
        <v>82</v>
      </c>
      <c r="D41" s="28" t="s">
        <v>421</v>
      </c>
      <c r="E41" s="23">
        <f>SUM(F41+CD41+CW41)</f>
        <v>2067432</v>
      </c>
      <c r="F41" s="24">
        <f>SUM(G41+BD41)</f>
        <v>2067432</v>
      </c>
      <c r="G41" s="24">
        <f>SUM(H41+I41+J41+Q41+T41+U41+V41+AF41+AE41)</f>
        <v>2067432</v>
      </c>
      <c r="H41" s="29">
        <f>1301265+58860-84502+106807</f>
        <v>1382430</v>
      </c>
      <c r="I41" s="29">
        <f>325316+14715-32500+35600</f>
        <v>343131</v>
      </c>
      <c r="J41" s="24">
        <f>SUM(K41:P41)</f>
        <v>24465</v>
      </c>
      <c r="K41" s="24">
        <v>0</v>
      </c>
      <c r="L41" s="24">
        <v>0</v>
      </c>
      <c r="M41" s="24">
        <v>0</v>
      </c>
      <c r="N41" s="24">
        <v>0</v>
      </c>
      <c r="O41" s="29">
        <f>71301-47973</f>
        <v>23328</v>
      </c>
      <c r="P41" s="29">
        <f>4181-3044</f>
        <v>1137</v>
      </c>
      <c r="Q41" s="24">
        <f>SUM(R41:S41)</f>
        <v>70189</v>
      </c>
      <c r="R41" s="29">
        <v>0</v>
      </c>
      <c r="S41" s="29">
        <f>293210-80614-142407</f>
        <v>70189</v>
      </c>
      <c r="T41" s="29">
        <v>0</v>
      </c>
      <c r="U41" s="29">
        <f>34272-20946</f>
        <v>13326</v>
      </c>
      <c r="V41" s="24">
        <f t="shared" si="45"/>
        <v>229230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f>324726-95496</f>
        <v>229230</v>
      </c>
      <c r="AC41" s="29">
        <v>0</v>
      </c>
      <c r="AD41" s="29">
        <v>0</v>
      </c>
      <c r="AE41" s="24">
        <v>0</v>
      </c>
      <c r="AF41" s="24">
        <f>SUM(AG41:BC41)</f>
        <v>4661</v>
      </c>
      <c r="AG41" s="24">
        <v>0</v>
      </c>
      <c r="AH41" s="24"/>
      <c r="AI41" s="29">
        <f>6791-4330</f>
        <v>2461</v>
      </c>
      <c r="AJ41" s="29">
        <v>0</v>
      </c>
      <c r="AK41" s="29">
        <v>0</v>
      </c>
      <c r="AL41" s="29">
        <f>355-355</f>
        <v>0</v>
      </c>
      <c r="AM41" s="29">
        <v>0</v>
      </c>
      <c r="AN41" s="29">
        <v>0</v>
      </c>
      <c r="AO41" s="29">
        <f>5052-5052</f>
        <v>0</v>
      </c>
      <c r="AP41" s="29">
        <v>0</v>
      </c>
      <c r="AQ41" s="29">
        <v>0</v>
      </c>
      <c r="AR41" s="29">
        <v>0</v>
      </c>
      <c r="AS41" s="29">
        <v>0</v>
      </c>
      <c r="AT41" s="29"/>
      <c r="AU41" s="29">
        <f>7498-5298</f>
        <v>2200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/>
      <c r="BC41" s="29">
        <v>0</v>
      </c>
      <c r="BD41" s="24">
        <f>SUM(BE41+BI41+BM41+BO41+BR41)</f>
        <v>0</v>
      </c>
      <c r="BE41" s="24">
        <f>SUM(BF41:BH41)</f>
        <v>0</v>
      </c>
      <c r="BF41" s="24">
        <v>0</v>
      </c>
      <c r="BG41" s="24">
        <v>0</v>
      </c>
      <c r="BH41" s="24">
        <v>0</v>
      </c>
      <c r="BI41" s="24">
        <f>SUM(BL41:BL41)</f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f>SUM(BP41)</f>
        <v>0</v>
      </c>
      <c r="BP41" s="24">
        <v>0</v>
      </c>
      <c r="BQ41" s="24">
        <v>0</v>
      </c>
      <c r="BR41" s="24">
        <f>SUM(BS41:CC41)</f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9">
        <v>0</v>
      </c>
      <c r="CC41" s="24">
        <v>0</v>
      </c>
      <c r="CD41" s="24">
        <f>SUM(CE41+CV41)</f>
        <v>0</v>
      </c>
      <c r="CE41" s="24">
        <f>SUM(CF41+CI41+CN41)</f>
        <v>0</v>
      </c>
      <c r="CF41" s="24">
        <f>SUM(CG41:CH41)</f>
        <v>0</v>
      </c>
      <c r="CG41" s="24">
        <v>0</v>
      </c>
      <c r="CH41" s="29">
        <f>615-615</f>
        <v>0</v>
      </c>
      <c r="CI41" s="24">
        <f>SUM(CJ41:CM41)</f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f>SUM(CO41:CS41)</f>
        <v>0</v>
      </c>
      <c r="CO41" s="24">
        <v>0</v>
      </c>
      <c r="CP41" s="24">
        <v>0</v>
      </c>
      <c r="CQ41" s="24">
        <v>0</v>
      </c>
      <c r="CR41" s="24"/>
      <c r="CS41" s="24"/>
      <c r="CT41" s="24">
        <v>0</v>
      </c>
      <c r="CU41" s="24">
        <v>0</v>
      </c>
      <c r="CV41" s="24">
        <v>0</v>
      </c>
      <c r="CW41" s="24">
        <f>SUM(CX41)</f>
        <v>0</v>
      </c>
      <c r="CX41" s="24">
        <f>SUM(CY41:CZ41)</f>
        <v>0</v>
      </c>
      <c r="CY41" s="24">
        <v>0</v>
      </c>
      <c r="CZ41" s="25">
        <v>0</v>
      </c>
    </row>
    <row r="42" spans="1:104" ht="15.6" x14ac:dyDescent="0.3">
      <c r="A42" s="26" t="s">
        <v>1</v>
      </c>
      <c r="B42" s="27" t="s">
        <v>1</v>
      </c>
      <c r="C42" s="27" t="s">
        <v>82</v>
      </c>
      <c r="D42" s="28" t="s">
        <v>422</v>
      </c>
      <c r="E42" s="23">
        <f>SUM(F42+CD42+CW42)</f>
        <v>998053</v>
      </c>
      <c r="F42" s="24">
        <f>SUM(G42+BD42)</f>
        <v>877760</v>
      </c>
      <c r="G42" s="24">
        <f>SUM(H42+I42+J42+Q42+T42+U42+V42+AF42+AE42)</f>
        <v>877760</v>
      </c>
      <c r="H42" s="29">
        <v>624000</v>
      </c>
      <c r="I42" s="29">
        <v>156000</v>
      </c>
      <c r="J42" s="24">
        <f t="shared" si="8"/>
        <v>50670</v>
      </c>
      <c r="K42" s="24">
        <v>0</v>
      </c>
      <c r="L42" s="24">
        <v>0</v>
      </c>
      <c r="M42" s="24">
        <v>0</v>
      </c>
      <c r="N42" s="24">
        <v>0</v>
      </c>
      <c r="O42" s="29">
        <v>25670</v>
      </c>
      <c r="P42" s="29">
        <v>25000</v>
      </c>
      <c r="Q42" s="24">
        <f t="shared" si="9"/>
        <v>0</v>
      </c>
      <c r="R42" s="29">
        <v>0</v>
      </c>
      <c r="S42" s="29">
        <f>6240-6240</f>
        <v>0</v>
      </c>
      <c r="T42" s="29">
        <v>0</v>
      </c>
      <c r="U42" s="29">
        <f>17798-15761</f>
        <v>2037</v>
      </c>
      <c r="V42" s="24">
        <f t="shared" si="45"/>
        <v>2866</v>
      </c>
      <c r="W42" s="29">
        <v>0</v>
      </c>
      <c r="X42" s="29">
        <f>4084-3011</f>
        <v>1073</v>
      </c>
      <c r="Y42" s="29">
        <f>13874-12081</f>
        <v>1793</v>
      </c>
      <c r="Z42" s="29">
        <f>1054-1054</f>
        <v>0</v>
      </c>
      <c r="AA42" s="29">
        <v>0</v>
      </c>
      <c r="AB42" s="29">
        <v>0</v>
      </c>
      <c r="AC42" s="29">
        <v>0</v>
      </c>
      <c r="AD42" s="29">
        <v>0</v>
      </c>
      <c r="AE42" s="24">
        <v>0</v>
      </c>
      <c r="AF42" s="24">
        <f>SUM(AG42:BC42)</f>
        <v>42187</v>
      </c>
      <c r="AG42" s="24">
        <v>0</v>
      </c>
      <c r="AH42" s="24"/>
      <c r="AI42" s="29">
        <f>5000-1000</f>
        <v>4000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/>
      <c r="BA42" s="29">
        <f>88540-50353</f>
        <v>38187</v>
      </c>
      <c r="BB42" s="29"/>
      <c r="BC42" s="29">
        <v>0</v>
      </c>
      <c r="BD42" s="24">
        <f>SUM(BE42+BI42+BM42+BO42+BR42)</f>
        <v>0</v>
      </c>
      <c r="BE42" s="24">
        <f>SUM(BF42:BH42)</f>
        <v>0</v>
      </c>
      <c r="BF42" s="24">
        <v>0</v>
      </c>
      <c r="BG42" s="24">
        <v>0</v>
      </c>
      <c r="BH42" s="24">
        <v>0</v>
      </c>
      <c r="BI42" s="24">
        <f>SUM(BL42:BL42)</f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f t="shared" si="10"/>
        <v>0</v>
      </c>
      <c r="BP42" s="24">
        <v>0</v>
      </c>
      <c r="BQ42" s="24">
        <v>0</v>
      </c>
      <c r="BR42" s="24">
        <f>SUM(BS42:CC42)</f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9">
        <v>0</v>
      </c>
      <c r="CC42" s="24">
        <v>0</v>
      </c>
      <c r="CD42" s="24">
        <f>SUM(CE42+CV42)</f>
        <v>120293</v>
      </c>
      <c r="CE42" s="24">
        <f>SUM(CF42+CI42+CN42)</f>
        <v>120293</v>
      </c>
      <c r="CF42" s="24">
        <f t="shared" si="11"/>
        <v>120293</v>
      </c>
      <c r="CG42" s="24">
        <v>0</v>
      </c>
      <c r="CH42" s="29">
        <f>553088-432795</f>
        <v>120293</v>
      </c>
      <c r="CI42" s="24">
        <f>SUM(CJ42:CM42)</f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f>SUM(CO42:CS42)</f>
        <v>0</v>
      </c>
      <c r="CO42" s="24">
        <v>0</v>
      </c>
      <c r="CP42" s="24">
        <v>0</v>
      </c>
      <c r="CQ42" s="24">
        <v>0</v>
      </c>
      <c r="CR42" s="24"/>
      <c r="CS42" s="24"/>
      <c r="CT42" s="24">
        <v>0</v>
      </c>
      <c r="CU42" s="24">
        <v>0</v>
      </c>
      <c r="CV42" s="24">
        <v>0</v>
      </c>
      <c r="CW42" s="24">
        <f t="shared" si="12"/>
        <v>0</v>
      </c>
      <c r="CX42" s="24">
        <f t="shared" si="13"/>
        <v>0</v>
      </c>
      <c r="CY42" s="24">
        <v>0</v>
      </c>
      <c r="CZ42" s="25">
        <v>0</v>
      </c>
    </row>
    <row r="43" spans="1:104" ht="15.6" x14ac:dyDescent="0.3">
      <c r="A43" s="26" t="s">
        <v>1</v>
      </c>
      <c r="B43" s="27" t="s">
        <v>1</v>
      </c>
      <c r="C43" s="27" t="s">
        <v>90</v>
      </c>
      <c r="D43" s="28" t="s">
        <v>605</v>
      </c>
      <c r="E43" s="23">
        <f>SUM(F43+CD43+CW43)</f>
        <v>9296389</v>
      </c>
      <c r="F43" s="24">
        <f>SUM(G43+BD43)</f>
        <v>9239026</v>
      </c>
      <c r="G43" s="24">
        <f>SUM(H43+I43+J43+Q43+T43+U43+V43+AF43+AE43)</f>
        <v>9239026</v>
      </c>
      <c r="H43" s="29">
        <f>6196070+556684</f>
        <v>6752754</v>
      </c>
      <c r="I43" s="29">
        <v>1480241</v>
      </c>
      <c r="J43" s="24">
        <f t="shared" si="8"/>
        <v>214519</v>
      </c>
      <c r="K43" s="24">
        <v>0</v>
      </c>
      <c r="L43" s="24">
        <f>90519-90519</f>
        <v>0</v>
      </c>
      <c r="M43" s="24">
        <v>0</v>
      </c>
      <c r="N43" s="24">
        <v>0</v>
      </c>
      <c r="O43" s="29">
        <v>67191</v>
      </c>
      <c r="P43" s="29">
        <v>147328</v>
      </c>
      <c r="Q43" s="24">
        <f t="shared" si="9"/>
        <v>0</v>
      </c>
      <c r="R43" s="29">
        <v>0</v>
      </c>
      <c r="S43" s="29">
        <v>0</v>
      </c>
      <c r="T43" s="29">
        <v>0</v>
      </c>
      <c r="U43" s="29">
        <f>227607-100000</f>
        <v>127607</v>
      </c>
      <c r="V43" s="24">
        <f t="shared" si="45"/>
        <v>253035</v>
      </c>
      <c r="W43" s="29">
        <f>67715-1000</f>
        <v>66715</v>
      </c>
      <c r="X43" s="29">
        <f>49534+246</f>
        <v>49780</v>
      </c>
      <c r="Y43" s="29">
        <v>70095</v>
      </c>
      <c r="Z43" s="29">
        <f>12577+909</f>
        <v>13486</v>
      </c>
      <c r="AA43" s="29">
        <v>6664</v>
      </c>
      <c r="AB43" s="29">
        <f>35977-2000</f>
        <v>33977</v>
      </c>
      <c r="AC43" s="29">
        <v>0</v>
      </c>
      <c r="AD43" s="29">
        <f>12313+5</f>
        <v>12318</v>
      </c>
      <c r="AE43" s="24"/>
      <c r="AF43" s="24">
        <f>SUM(AG43:BC43)</f>
        <v>410870</v>
      </c>
      <c r="AG43" s="24">
        <v>0</v>
      </c>
      <c r="AH43" s="24"/>
      <c r="AI43" s="29">
        <v>33356</v>
      </c>
      <c r="AJ43" s="29">
        <f>227984-1909</f>
        <v>226075</v>
      </c>
      <c r="AK43" s="29">
        <v>0</v>
      </c>
      <c r="AL43" s="29">
        <v>8708</v>
      </c>
      <c r="AM43" s="29">
        <f>295-55</f>
        <v>240</v>
      </c>
      <c r="AN43" s="29">
        <v>0</v>
      </c>
      <c r="AO43" s="29">
        <v>36450</v>
      </c>
      <c r="AP43" s="29">
        <v>7566</v>
      </c>
      <c r="AQ43" s="29">
        <v>0</v>
      </c>
      <c r="AR43" s="29">
        <v>0</v>
      </c>
      <c r="AS43" s="29"/>
      <c r="AT43" s="29">
        <f>76475-38000</f>
        <v>38475</v>
      </c>
      <c r="AU43" s="29"/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/>
      <c r="BC43" s="29">
        <v>60000</v>
      </c>
      <c r="BD43" s="24">
        <f>SUM(BE43+BI43+BM43+BN43+BO43+BR43)</f>
        <v>0</v>
      </c>
      <c r="BE43" s="24">
        <f>SUM(BF43:BH43)</f>
        <v>0</v>
      </c>
      <c r="BF43" s="24">
        <v>0</v>
      </c>
      <c r="BG43" s="24">
        <v>0</v>
      </c>
      <c r="BH43" s="24">
        <v>0</v>
      </c>
      <c r="BI43" s="24">
        <f>SUM(BL43:BL43)</f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f t="shared" si="10"/>
        <v>0</v>
      </c>
      <c r="BP43" s="24">
        <v>0</v>
      </c>
      <c r="BQ43" s="24">
        <v>0</v>
      </c>
      <c r="BR43" s="24">
        <f>SUM(BS43:CC43)</f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9">
        <f>2684-2684</f>
        <v>0</v>
      </c>
      <c r="CC43" s="24">
        <v>0</v>
      </c>
      <c r="CD43" s="24">
        <f>SUM(CE43+CV43)</f>
        <v>57363</v>
      </c>
      <c r="CE43" s="24">
        <f>SUM(CF43+CI43+CN43)</f>
        <v>57363</v>
      </c>
      <c r="CF43" s="24">
        <f t="shared" si="11"/>
        <v>57363</v>
      </c>
      <c r="CG43" s="24">
        <v>0</v>
      </c>
      <c r="CH43" s="29">
        <f>94363-37000</f>
        <v>57363</v>
      </c>
      <c r="CI43" s="24">
        <f>SUM(CJ43:CM43)</f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f>SUM(CO43:CS43)</f>
        <v>0</v>
      </c>
      <c r="CO43" s="24">
        <v>0</v>
      </c>
      <c r="CP43" s="24">
        <v>0</v>
      </c>
      <c r="CQ43" s="24">
        <v>0</v>
      </c>
      <c r="CR43" s="24"/>
      <c r="CS43" s="24"/>
      <c r="CT43" s="24">
        <v>0</v>
      </c>
      <c r="CU43" s="24">
        <v>0</v>
      </c>
      <c r="CV43" s="24">
        <v>0</v>
      </c>
      <c r="CW43" s="24">
        <f t="shared" si="12"/>
        <v>0</v>
      </c>
      <c r="CX43" s="24">
        <f t="shared" si="13"/>
        <v>0</v>
      </c>
      <c r="CY43" s="24">
        <v>0</v>
      </c>
      <c r="CZ43" s="25">
        <v>0</v>
      </c>
    </row>
    <row r="44" spans="1:104" ht="31.2" x14ac:dyDescent="0.3">
      <c r="A44" s="26" t="s">
        <v>1</v>
      </c>
      <c r="B44" s="27" t="s">
        <v>1</v>
      </c>
      <c r="C44" s="27" t="s">
        <v>94</v>
      </c>
      <c r="D44" s="28" t="s">
        <v>112</v>
      </c>
      <c r="E44" s="23">
        <f>SUM(F44+CD44+CW44)</f>
        <v>5623934</v>
      </c>
      <c r="F44" s="24">
        <f>SUM(G44+BD44)</f>
        <v>5553157</v>
      </c>
      <c r="G44" s="24">
        <f>SUM(H44+I44+J44+Q44+T44+U44+V44+AF44+AE44)</f>
        <v>5553157</v>
      </c>
      <c r="H44" s="29">
        <f>3995064-67853</f>
        <v>3927211</v>
      </c>
      <c r="I44" s="29">
        <f>973742-21000</f>
        <v>952742</v>
      </c>
      <c r="J44" s="24">
        <f t="shared" si="8"/>
        <v>228214</v>
      </c>
      <c r="K44" s="24">
        <v>0</v>
      </c>
      <c r="L44" s="24">
        <v>0</v>
      </c>
      <c r="M44" s="24">
        <v>0</v>
      </c>
      <c r="N44" s="24">
        <v>0</v>
      </c>
      <c r="O44" s="29">
        <v>142626</v>
      </c>
      <c r="P44" s="29">
        <v>85588</v>
      </c>
      <c r="Q44" s="24">
        <f t="shared" si="9"/>
        <v>0</v>
      </c>
      <c r="R44" s="29">
        <v>0</v>
      </c>
      <c r="S44" s="29">
        <v>0</v>
      </c>
      <c r="T44" s="29">
        <v>0</v>
      </c>
      <c r="U44" s="29">
        <f>155927-30000</f>
        <v>125927</v>
      </c>
      <c r="V44" s="24">
        <f t="shared" si="45"/>
        <v>193308</v>
      </c>
      <c r="W44" s="29">
        <v>1957</v>
      </c>
      <c r="X44" s="29">
        <f>38426+194</f>
        <v>38620</v>
      </c>
      <c r="Y44" s="29">
        <v>16283</v>
      </c>
      <c r="Z44" s="29">
        <v>3951</v>
      </c>
      <c r="AA44" s="29">
        <v>6299</v>
      </c>
      <c r="AB44" s="29">
        <v>125126</v>
      </c>
      <c r="AC44" s="29">
        <v>0</v>
      </c>
      <c r="AD44" s="29">
        <v>1072</v>
      </c>
      <c r="AE44" s="24"/>
      <c r="AF44" s="24">
        <f>SUM(AG44:BC44)</f>
        <v>125755</v>
      </c>
      <c r="AG44" s="24">
        <v>0</v>
      </c>
      <c r="AH44" s="24"/>
      <c r="AI44" s="29">
        <v>10942</v>
      </c>
      <c r="AJ44" s="29">
        <v>10560</v>
      </c>
      <c r="AK44" s="29">
        <v>0</v>
      </c>
      <c r="AL44" s="29">
        <f>5137-4917</f>
        <v>220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/>
      <c r="AT44" s="29">
        <v>23523</v>
      </c>
      <c r="AU44" s="29"/>
      <c r="AV44" s="29">
        <v>0</v>
      </c>
      <c r="AW44" s="29">
        <v>0</v>
      </c>
      <c r="AX44" s="29">
        <v>0</v>
      </c>
      <c r="AY44" s="29">
        <v>0</v>
      </c>
      <c r="AZ44" s="29"/>
      <c r="BA44" s="29">
        <f>41147+30000</f>
        <v>71147</v>
      </c>
      <c r="BB44" s="29"/>
      <c r="BC44" s="29">
        <v>9363</v>
      </c>
      <c r="BD44" s="24">
        <f>SUM(BE44+BI44+BM44+BN44+BO44+BR44)</f>
        <v>0</v>
      </c>
      <c r="BE44" s="24">
        <f>SUM(BF44:BH44)</f>
        <v>0</v>
      </c>
      <c r="BF44" s="24">
        <v>0</v>
      </c>
      <c r="BG44" s="24">
        <v>0</v>
      </c>
      <c r="BH44" s="24">
        <v>0</v>
      </c>
      <c r="BI44" s="24">
        <f>SUM(BL44:BL44)</f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f t="shared" si="10"/>
        <v>0</v>
      </c>
      <c r="BP44" s="24">
        <v>0</v>
      </c>
      <c r="BQ44" s="24">
        <v>0</v>
      </c>
      <c r="BR44" s="24">
        <f>SUM(BS44:CC44)</f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9">
        <v>0</v>
      </c>
      <c r="CC44" s="24">
        <v>0</v>
      </c>
      <c r="CD44" s="24">
        <f>SUM(CE44+CV44)</f>
        <v>70777</v>
      </c>
      <c r="CE44" s="24">
        <f>SUM(CF44+CI44+CN44)</f>
        <v>70777</v>
      </c>
      <c r="CF44" s="24">
        <f t="shared" si="11"/>
        <v>70777</v>
      </c>
      <c r="CG44" s="24">
        <v>0</v>
      </c>
      <c r="CH44" s="29">
        <f>71778-1001</f>
        <v>70777</v>
      </c>
      <c r="CI44" s="24">
        <f>SUM(CJ44:CM44)</f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f>SUM(CO44:CS44)</f>
        <v>0</v>
      </c>
      <c r="CO44" s="24">
        <v>0</v>
      </c>
      <c r="CP44" s="24">
        <v>0</v>
      </c>
      <c r="CQ44" s="24">
        <v>0</v>
      </c>
      <c r="CR44" s="24"/>
      <c r="CS44" s="24"/>
      <c r="CT44" s="24">
        <v>0</v>
      </c>
      <c r="CU44" s="24">
        <v>0</v>
      </c>
      <c r="CV44" s="24">
        <v>0</v>
      </c>
      <c r="CW44" s="24">
        <f t="shared" si="12"/>
        <v>0</v>
      </c>
      <c r="CX44" s="24">
        <f t="shared" si="13"/>
        <v>0</v>
      </c>
      <c r="CY44" s="24">
        <v>0</v>
      </c>
      <c r="CZ44" s="25">
        <v>0</v>
      </c>
    </row>
    <row r="45" spans="1:104" ht="15.6" x14ac:dyDescent="0.3">
      <c r="A45" s="20"/>
      <c r="B45" s="21" t="s">
        <v>113</v>
      </c>
      <c r="C45" s="21" t="s">
        <v>1</v>
      </c>
      <c r="D45" s="22" t="s">
        <v>114</v>
      </c>
      <c r="E45" s="23">
        <f t="shared" ref="E45:BA45" si="46">SUM(E46:E46)</f>
        <v>4722831</v>
      </c>
      <c r="F45" s="24">
        <f t="shared" si="46"/>
        <v>4577783</v>
      </c>
      <c r="G45" s="24">
        <f t="shared" si="46"/>
        <v>4577783</v>
      </c>
      <c r="H45" s="24">
        <f t="shared" si="46"/>
        <v>3520240</v>
      </c>
      <c r="I45" s="24">
        <f t="shared" si="46"/>
        <v>843705</v>
      </c>
      <c r="J45" s="24">
        <f t="shared" si="46"/>
        <v>47865</v>
      </c>
      <c r="K45" s="24">
        <f t="shared" si="46"/>
        <v>0</v>
      </c>
      <c r="L45" s="24">
        <f t="shared" si="46"/>
        <v>0</v>
      </c>
      <c r="M45" s="24">
        <f t="shared" si="46"/>
        <v>0</v>
      </c>
      <c r="N45" s="24">
        <f t="shared" si="46"/>
        <v>0</v>
      </c>
      <c r="O45" s="24">
        <f t="shared" si="46"/>
        <v>0</v>
      </c>
      <c r="P45" s="24">
        <f t="shared" si="46"/>
        <v>47865</v>
      </c>
      <c r="Q45" s="24">
        <f t="shared" si="46"/>
        <v>0</v>
      </c>
      <c r="R45" s="24">
        <f t="shared" si="46"/>
        <v>0</v>
      </c>
      <c r="S45" s="24">
        <f t="shared" si="46"/>
        <v>0</v>
      </c>
      <c r="T45" s="24">
        <f t="shared" si="46"/>
        <v>0</v>
      </c>
      <c r="U45" s="24">
        <f t="shared" si="46"/>
        <v>79570</v>
      </c>
      <c r="V45" s="24">
        <f t="shared" si="46"/>
        <v>62047</v>
      </c>
      <c r="W45" s="24">
        <f t="shared" si="46"/>
        <v>5844</v>
      </c>
      <c r="X45" s="24">
        <f t="shared" si="46"/>
        <v>18852</v>
      </c>
      <c r="Y45" s="24">
        <f t="shared" si="46"/>
        <v>10128</v>
      </c>
      <c r="Z45" s="24">
        <f t="shared" si="46"/>
        <v>3235</v>
      </c>
      <c r="AA45" s="24">
        <f t="shared" si="46"/>
        <v>503</v>
      </c>
      <c r="AB45" s="24">
        <f t="shared" si="46"/>
        <v>23485</v>
      </c>
      <c r="AC45" s="24">
        <f t="shared" si="46"/>
        <v>0</v>
      </c>
      <c r="AD45" s="24">
        <f t="shared" si="46"/>
        <v>0</v>
      </c>
      <c r="AE45" s="24">
        <f t="shared" si="46"/>
        <v>0</v>
      </c>
      <c r="AF45" s="24">
        <f t="shared" si="46"/>
        <v>24356</v>
      </c>
      <c r="AG45" s="24">
        <f t="shared" si="46"/>
        <v>0</v>
      </c>
      <c r="AH45" s="24">
        <f t="shared" si="46"/>
        <v>0</v>
      </c>
      <c r="AI45" s="24">
        <f t="shared" si="46"/>
        <v>4373</v>
      </c>
      <c r="AJ45" s="24">
        <f t="shared" si="46"/>
        <v>19983</v>
      </c>
      <c r="AK45" s="24">
        <f t="shared" si="46"/>
        <v>0</v>
      </c>
      <c r="AL45" s="24">
        <f t="shared" si="46"/>
        <v>0</v>
      </c>
      <c r="AM45" s="24">
        <f t="shared" si="46"/>
        <v>0</v>
      </c>
      <c r="AN45" s="24">
        <f t="shared" si="46"/>
        <v>0</v>
      </c>
      <c r="AO45" s="24">
        <f t="shared" si="46"/>
        <v>0</v>
      </c>
      <c r="AP45" s="24">
        <f t="shared" si="46"/>
        <v>0</v>
      </c>
      <c r="AQ45" s="24">
        <f t="shared" si="46"/>
        <v>0</v>
      </c>
      <c r="AR45" s="24">
        <f t="shared" si="46"/>
        <v>0</v>
      </c>
      <c r="AS45" s="24">
        <f t="shared" si="46"/>
        <v>0</v>
      </c>
      <c r="AT45" s="24">
        <f t="shared" si="46"/>
        <v>0</v>
      </c>
      <c r="AU45" s="24">
        <f t="shared" si="46"/>
        <v>0</v>
      </c>
      <c r="AV45" s="24">
        <f t="shared" si="46"/>
        <v>0</v>
      </c>
      <c r="AW45" s="24">
        <f t="shared" si="46"/>
        <v>0</v>
      </c>
      <c r="AX45" s="24">
        <f t="shared" si="46"/>
        <v>0</v>
      </c>
      <c r="AY45" s="24">
        <f t="shared" si="46"/>
        <v>0</v>
      </c>
      <c r="AZ45" s="24">
        <f t="shared" si="46"/>
        <v>0</v>
      </c>
      <c r="BA45" s="24">
        <f t="shared" si="46"/>
        <v>0</v>
      </c>
      <c r="BB45" s="24"/>
      <c r="BC45" s="24">
        <f t="shared" ref="BC45:CZ45" si="47">SUM(BC46:BC46)</f>
        <v>0</v>
      </c>
      <c r="BD45" s="24">
        <f t="shared" si="47"/>
        <v>0</v>
      </c>
      <c r="BE45" s="24">
        <f t="shared" si="47"/>
        <v>0</v>
      </c>
      <c r="BF45" s="24">
        <f t="shared" si="47"/>
        <v>0</v>
      </c>
      <c r="BG45" s="24">
        <f t="shared" si="47"/>
        <v>0</v>
      </c>
      <c r="BH45" s="24">
        <f t="shared" si="47"/>
        <v>0</v>
      </c>
      <c r="BI45" s="24">
        <f t="shared" si="47"/>
        <v>0</v>
      </c>
      <c r="BJ45" s="24">
        <f t="shared" si="47"/>
        <v>0</v>
      </c>
      <c r="BK45" s="24">
        <f t="shared" si="47"/>
        <v>0</v>
      </c>
      <c r="BL45" s="24">
        <f t="shared" si="47"/>
        <v>0</v>
      </c>
      <c r="BM45" s="24">
        <f t="shared" si="47"/>
        <v>0</v>
      </c>
      <c r="BN45" s="24">
        <f t="shared" si="47"/>
        <v>0</v>
      </c>
      <c r="BO45" s="24">
        <f t="shared" si="47"/>
        <v>0</v>
      </c>
      <c r="BP45" s="24">
        <f t="shared" si="47"/>
        <v>0</v>
      </c>
      <c r="BQ45" s="24">
        <f t="shared" si="47"/>
        <v>0</v>
      </c>
      <c r="BR45" s="24">
        <f t="shared" si="47"/>
        <v>0</v>
      </c>
      <c r="BS45" s="24">
        <f t="shared" si="47"/>
        <v>0</v>
      </c>
      <c r="BT45" s="24">
        <f t="shared" si="47"/>
        <v>0</v>
      </c>
      <c r="BU45" s="24">
        <f t="shared" si="47"/>
        <v>0</v>
      </c>
      <c r="BV45" s="24">
        <f t="shared" si="47"/>
        <v>0</v>
      </c>
      <c r="BW45" s="24">
        <f t="shared" si="47"/>
        <v>0</v>
      </c>
      <c r="BX45" s="24">
        <f t="shared" si="47"/>
        <v>0</v>
      </c>
      <c r="BY45" s="24">
        <f t="shared" si="47"/>
        <v>0</v>
      </c>
      <c r="BZ45" s="24">
        <f t="shared" si="47"/>
        <v>0</v>
      </c>
      <c r="CA45" s="24">
        <f t="shared" si="47"/>
        <v>0</v>
      </c>
      <c r="CB45" s="24">
        <f t="shared" si="47"/>
        <v>0</v>
      </c>
      <c r="CC45" s="24">
        <f t="shared" si="47"/>
        <v>0</v>
      </c>
      <c r="CD45" s="24">
        <f t="shared" si="47"/>
        <v>145048</v>
      </c>
      <c r="CE45" s="24">
        <f t="shared" si="47"/>
        <v>145048</v>
      </c>
      <c r="CF45" s="24">
        <f t="shared" si="47"/>
        <v>145048</v>
      </c>
      <c r="CG45" s="24">
        <f t="shared" si="47"/>
        <v>0</v>
      </c>
      <c r="CH45" s="24">
        <f t="shared" si="47"/>
        <v>145048</v>
      </c>
      <c r="CI45" s="24">
        <f t="shared" si="47"/>
        <v>0</v>
      </c>
      <c r="CJ45" s="24">
        <f t="shared" si="47"/>
        <v>0</v>
      </c>
      <c r="CK45" s="24">
        <f t="shared" si="47"/>
        <v>0</v>
      </c>
      <c r="CL45" s="24">
        <f t="shared" si="47"/>
        <v>0</v>
      </c>
      <c r="CM45" s="24">
        <f t="shared" si="47"/>
        <v>0</v>
      </c>
      <c r="CN45" s="24">
        <f t="shared" si="47"/>
        <v>0</v>
      </c>
      <c r="CO45" s="24">
        <f t="shared" si="47"/>
        <v>0</v>
      </c>
      <c r="CP45" s="24">
        <f t="shared" si="47"/>
        <v>0</v>
      </c>
      <c r="CQ45" s="24">
        <f t="shared" si="47"/>
        <v>0</v>
      </c>
      <c r="CR45" s="24">
        <f t="shared" si="47"/>
        <v>0</v>
      </c>
      <c r="CS45" s="24">
        <f t="shared" si="47"/>
        <v>0</v>
      </c>
      <c r="CT45" s="24">
        <f t="shared" si="47"/>
        <v>0</v>
      </c>
      <c r="CU45" s="24">
        <f t="shared" si="47"/>
        <v>0</v>
      </c>
      <c r="CV45" s="24">
        <f t="shared" si="47"/>
        <v>0</v>
      </c>
      <c r="CW45" s="24">
        <f t="shared" si="47"/>
        <v>0</v>
      </c>
      <c r="CX45" s="24">
        <f t="shared" si="47"/>
        <v>0</v>
      </c>
      <c r="CY45" s="24">
        <f t="shared" si="47"/>
        <v>0</v>
      </c>
      <c r="CZ45" s="25">
        <f t="shared" si="47"/>
        <v>0</v>
      </c>
    </row>
    <row r="46" spans="1:104" ht="15.6" x14ac:dyDescent="0.3">
      <c r="A46" s="26" t="s">
        <v>1</v>
      </c>
      <c r="B46" s="27" t="s">
        <v>1</v>
      </c>
      <c r="C46" s="27" t="s">
        <v>82</v>
      </c>
      <c r="D46" s="28" t="s">
        <v>554</v>
      </c>
      <c r="E46" s="23">
        <f>SUM(F46+CD46+CW46)</f>
        <v>4722831</v>
      </c>
      <c r="F46" s="24">
        <f>SUM(G46+BD46)</f>
        <v>4577783</v>
      </c>
      <c r="G46" s="24">
        <f>SUM(H46+I46+J46+Q46+T46+U46+V46+AF46+AE46)</f>
        <v>4577783</v>
      </c>
      <c r="H46" s="29">
        <v>3520240</v>
      </c>
      <c r="I46" s="29">
        <v>843705</v>
      </c>
      <c r="J46" s="24">
        <f t="shared" ref="J46" si="48">SUM(K46:P46)</f>
        <v>47865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9">
        <v>47865</v>
      </c>
      <c r="Q46" s="24">
        <f t="shared" ref="Q46" si="49">SUM(R46:S46)</f>
        <v>0</v>
      </c>
      <c r="R46" s="24"/>
      <c r="S46" s="24">
        <v>0</v>
      </c>
      <c r="T46" s="24">
        <v>0</v>
      </c>
      <c r="U46" s="29">
        <f>181920-102350</f>
        <v>79570</v>
      </c>
      <c r="V46" s="24">
        <f>SUM(W46:AD46)</f>
        <v>62047</v>
      </c>
      <c r="W46" s="29">
        <f>15844-10000</f>
        <v>5844</v>
      </c>
      <c r="X46" s="29">
        <f>18759+93</f>
        <v>18852</v>
      </c>
      <c r="Y46" s="29">
        <v>10128</v>
      </c>
      <c r="Z46" s="29">
        <v>3235</v>
      </c>
      <c r="AA46" s="29">
        <f>2503-2000</f>
        <v>503</v>
      </c>
      <c r="AB46" s="29">
        <f>223485-200000</f>
        <v>23485</v>
      </c>
      <c r="AC46" s="29">
        <v>0</v>
      </c>
      <c r="AD46" s="29">
        <v>0</v>
      </c>
      <c r="AE46" s="24">
        <v>0</v>
      </c>
      <c r="AF46" s="24">
        <f>SUM(AG46:BC46)</f>
        <v>24356</v>
      </c>
      <c r="AG46" s="24">
        <v>0</v>
      </c>
      <c r="AH46" s="24"/>
      <c r="AI46" s="29">
        <v>4373</v>
      </c>
      <c r="AJ46" s="29">
        <v>19983</v>
      </c>
      <c r="AK46" s="29">
        <v>0</v>
      </c>
      <c r="AL46" s="29">
        <v>0</v>
      </c>
      <c r="AM46" s="29">
        <v>0</v>
      </c>
      <c r="AN46" s="29">
        <f>10560-10560</f>
        <v>0</v>
      </c>
      <c r="AO46" s="29">
        <f>3340-3340</f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/>
      <c r="BC46" s="29">
        <v>0</v>
      </c>
      <c r="BD46" s="24">
        <f>SUM(BE46+BI46+BM46+BN46+BO46+BR46)</f>
        <v>0</v>
      </c>
      <c r="BE46" s="24">
        <f>SUM(BF46:BH46)</f>
        <v>0</v>
      </c>
      <c r="BF46" s="24">
        <v>0</v>
      </c>
      <c r="BG46" s="24">
        <v>0</v>
      </c>
      <c r="BH46" s="24">
        <v>0</v>
      </c>
      <c r="BI46" s="24">
        <f>SUM(BL46:BL46)</f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f t="shared" ref="BO46" si="50">SUM(BP46)</f>
        <v>0</v>
      </c>
      <c r="BP46" s="24">
        <v>0</v>
      </c>
      <c r="BQ46" s="24">
        <v>0</v>
      </c>
      <c r="BR46" s="24">
        <f>SUM(BS46:CC46)</f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f>SUM(CE46+CV46)</f>
        <v>145048</v>
      </c>
      <c r="CE46" s="24">
        <f>SUM(CF46+CI46+CN46)</f>
        <v>145048</v>
      </c>
      <c r="CF46" s="24">
        <f t="shared" ref="CF46" si="51">SUM(CG46:CH46)</f>
        <v>145048</v>
      </c>
      <c r="CG46" s="24">
        <v>0</v>
      </c>
      <c r="CH46" s="29">
        <f>174048-29000</f>
        <v>145048</v>
      </c>
      <c r="CI46" s="24">
        <f>SUM(CJ46:CM46)</f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f>SUM(CO46:CS46)</f>
        <v>0</v>
      </c>
      <c r="CO46" s="24">
        <v>0</v>
      </c>
      <c r="CP46" s="24">
        <v>0</v>
      </c>
      <c r="CQ46" s="24">
        <v>0</v>
      </c>
      <c r="CR46" s="24"/>
      <c r="CS46" s="24"/>
      <c r="CT46" s="24">
        <v>0</v>
      </c>
      <c r="CU46" s="24">
        <v>0</v>
      </c>
      <c r="CV46" s="24">
        <v>0</v>
      </c>
      <c r="CW46" s="24">
        <f t="shared" ref="CW46" si="52">SUM(CX46)</f>
        <v>0</v>
      </c>
      <c r="CX46" s="24">
        <f t="shared" ref="CX46" si="53">SUM(CY46:CZ46)</f>
        <v>0</v>
      </c>
      <c r="CY46" s="24">
        <v>0</v>
      </c>
      <c r="CZ46" s="25">
        <v>0</v>
      </c>
    </row>
    <row r="47" spans="1:104" ht="15.6" x14ac:dyDescent="0.3">
      <c r="A47" s="20"/>
      <c r="B47" s="21" t="s">
        <v>115</v>
      </c>
      <c r="C47" s="21" t="s">
        <v>1</v>
      </c>
      <c r="D47" s="22" t="s">
        <v>116</v>
      </c>
      <c r="E47" s="23">
        <f t="shared" ref="E47:AL47" si="54">SUM(E48)</f>
        <v>13841319</v>
      </c>
      <c r="F47" s="24">
        <f t="shared" si="54"/>
        <v>13541319</v>
      </c>
      <c r="G47" s="24">
        <f t="shared" si="54"/>
        <v>13523683</v>
      </c>
      <c r="H47" s="24">
        <f t="shared" si="54"/>
        <v>8493760</v>
      </c>
      <c r="I47" s="24">
        <f t="shared" si="54"/>
        <v>2016554</v>
      </c>
      <c r="J47" s="24">
        <f t="shared" si="54"/>
        <v>488609</v>
      </c>
      <c r="K47" s="24">
        <f t="shared" si="54"/>
        <v>450</v>
      </c>
      <c r="L47" s="24">
        <f t="shared" si="54"/>
        <v>0</v>
      </c>
      <c r="M47" s="24">
        <f t="shared" si="54"/>
        <v>0</v>
      </c>
      <c r="N47" s="24">
        <f t="shared" si="54"/>
        <v>0</v>
      </c>
      <c r="O47" s="24">
        <f t="shared" si="54"/>
        <v>250000</v>
      </c>
      <c r="P47" s="24">
        <f t="shared" si="54"/>
        <v>238159</v>
      </c>
      <c r="Q47" s="24">
        <f t="shared" si="54"/>
        <v>151473</v>
      </c>
      <c r="R47" s="24">
        <f t="shared" si="54"/>
        <v>0</v>
      </c>
      <c r="S47" s="24">
        <f t="shared" si="54"/>
        <v>151473</v>
      </c>
      <c r="T47" s="24">
        <f t="shared" si="54"/>
        <v>0</v>
      </c>
      <c r="U47" s="24">
        <f t="shared" si="54"/>
        <v>357706</v>
      </c>
      <c r="V47" s="24">
        <f t="shared" si="54"/>
        <v>575946</v>
      </c>
      <c r="W47" s="24">
        <f t="shared" si="54"/>
        <v>109851</v>
      </c>
      <c r="X47" s="24">
        <f t="shared" si="54"/>
        <v>247400</v>
      </c>
      <c r="Y47" s="24">
        <f t="shared" si="54"/>
        <v>153237</v>
      </c>
      <c r="Z47" s="24">
        <f t="shared" si="54"/>
        <v>53428</v>
      </c>
      <c r="AA47" s="24">
        <f t="shared" si="54"/>
        <v>12030</v>
      </c>
      <c r="AB47" s="24">
        <f t="shared" si="54"/>
        <v>0</v>
      </c>
      <c r="AC47" s="24">
        <f t="shared" si="54"/>
        <v>0</v>
      </c>
      <c r="AD47" s="24">
        <f t="shared" si="54"/>
        <v>0</v>
      </c>
      <c r="AE47" s="24">
        <f t="shared" si="54"/>
        <v>0</v>
      </c>
      <c r="AF47" s="24">
        <f t="shared" si="54"/>
        <v>1439635</v>
      </c>
      <c r="AG47" s="24">
        <f t="shared" si="54"/>
        <v>0</v>
      </c>
      <c r="AH47" s="24">
        <f t="shared" si="54"/>
        <v>0</v>
      </c>
      <c r="AI47" s="24">
        <f t="shared" si="54"/>
        <v>27184</v>
      </c>
      <c r="AJ47" s="24">
        <f t="shared" si="54"/>
        <v>742349</v>
      </c>
      <c r="AK47" s="24">
        <f t="shared" si="54"/>
        <v>0</v>
      </c>
      <c r="AL47" s="24">
        <f t="shared" si="54"/>
        <v>2308</v>
      </c>
      <c r="AM47" s="24">
        <f t="shared" ref="AM47:CZ47" si="55">SUM(AM48)</f>
        <v>20166</v>
      </c>
      <c r="AN47" s="24">
        <f t="shared" si="55"/>
        <v>10000</v>
      </c>
      <c r="AO47" s="24">
        <f t="shared" si="55"/>
        <v>0</v>
      </c>
      <c r="AP47" s="24">
        <f t="shared" si="55"/>
        <v>277213</v>
      </c>
      <c r="AQ47" s="24">
        <f t="shared" si="55"/>
        <v>0</v>
      </c>
      <c r="AR47" s="24"/>
      <c r="AS47" s="24">
        <f t="shared" si="55"/>
        <v>0</v>
      </c>
      <c r="AT47" s="24">
        <f t="shared" si="55"/>
        <v>0</v>
      </c>
      <c r="AU47" s="24">
        <f t="shared" si="55"/>
        <v>13595</v>
      </c>
      <c r="AV47" s="24"/>
      <c r="AW47" s="24"/>
      <c r="AX47" s="24">
        <f t="shared" si="55"/>
        <v>0</v>
      </c>
      <c r="AY47" s="24">
        <f t="shared" si="55"/>
        <v>0</v>
      </c>
      <c r="AZ47" s="24">
        <f t="shared" si="55"/>
        <v>0</v>
      </c>
      <c r="BA47" s="24">
        <f t="shared" si="55"/>
        <v>65000</v>
      </c>
      <c r="BB47" s="24">
        <f t="shared" si="55"/>
        <v>266820</v>
      </c>
      <c r="BC47" s="24">
        <f t="shared" si="55"/>
        <v>15000</v>
      </c>
      <c r="BD47" s="24">
        <f t="shared" si="55"/>
        <v>17636</v>
      </c>
      <c r="BE47" s="24">
        <f t="shared" si="55"/>
        <v>0</v>
      </c>
      <c r="BF47" s="24">
        <f t="shared" si="55"/>
        <v>0</v>
      </c>
      <c r="BG47" s="24">
        <f t="shared" si="55"/>
        <v>0</v>
      </c>
      <c r="BH47" s="24">
        <f t="shared" si="55"/>
        <v>0</v>
      </c>
      <c r="BI47" s="24">
        <f t="shared" si="55"/>
        <v>0</v>
      </c>
      <c r="BJ47" s="24">
        <f t="shared" si="55"/>
        <v>0</v>
      </c>
      <c r="BK47" s="24">
        <f t="shared" si="55"/>
        <v>0</v>
      </c>
      <c r="BL47" s="24">
        <f t="shared" si="55"/>
        <v>0</v>
      </c>
      <c r="BM47" s="24">
        <f t="shared" si="55"/>
        <v>0</v>
      </c>
      <c r="BN47" s="24">
        <f t="shared" si="55"/>
        <v>0</v>
      </c>
      <c r="BO47" s="24">
        <f t="shared" si="55"/>
        <v>0</v>
      </c>
      <c r="BP47" s="24">
        <f t="shared" si="55"/>
        <v>0</v>
      </c>
      <c r="BQ47" s="24">
        <f t="shared" si="55"/>
        <v>0</v>
      </c>
      <c r="BR47" s="24">
        <f t="shared" si="55"/>
        <v>17636</v>
      </c>
      <c r="BS47" s="24">
        <f t="shared" si="55"/>
        <v>0</v>
      </c>
      <c r="BT47" s="24">
        <f t="shared" si="55"/>
        <v>0</v>
      </c>
      <c r="BU47" s="24">
        <f t="shared" si="55"/>
        <v>0</v>
      </c>
      <c r="BV47" s="24">
        <f t="shared" si="55"/>
        <v>0</v>
      </c>
      <c r="BW47" s="24">
        <f t="shared" si="55"/>
        <v>0</v>
      </c>
      <c r="BX47" s="24">
        <f t="shared" si="55"/>
        <v>0</v>
      </c>
      <c r="BY47" s="24">
        <f t="shared" si="55"/>
        <v>0</v>
      </c>
      <c r="BZ47" s="24">
        <f t="shared" si="55"/>
        <v>0</v>
      </c>
      <c r="CA47" s="24">
        <f t="shared" si="55"/>
        <v>0</v>
      </c>
      <c r="CB47" s="24">
        <f t="shared" si="55"/>
        <v>17636</v>
      </c>
      <c r="CC47" s="24">
        <f t="shared" si="55"/>
        <v>0</v>
      </c>
      <c r="CD47" s="24">
        <f t="shared" si="55"/>
        <v>300000</v>
      </c>
      <c r="CE47" s="24">
        <f t="shared" si="55"/>
        <v>300000</v>
      </c>
      <c r="CF47" s="24">
        <f t="shared" si="55"/>
        <v>200000</v>
      </c>
      <c r="CG47" s="24">
        <f t="shared" si="55"/>
        <v>0</v>
      </c>
      <c r="CH47" s="24">
        <f t="shared" si="55"/>
        <v>200000</v>
      </c>
      <c r="CI47" s="24">
        <f t="shared" si="55"/>
        <v>0</v>
      </c>
      <c r="CJ47" s="24">
        <f t="shared" si="55"/>
        <v>0</v>
      </c>
      <c r="CK47" s="24">
        <f t="shared" si="55"/>
        <v>0</v>
      </c>
      <c r="CL47" s="24">
        <f t="shared" si="55"/>
        <v>0</v>
      </c>
      <c r="CM47" s="24">
        <f t="shared" si="55"/>
        <v>0</v>
      </c>
      <c r="CN47" s="24">
        <f t="shared" si="55"/>
        <v>100000</v>
      </c>
      <c r="CO47" s="24">
        <f t="shared" si="55"/>
        <v>0</v>
      </c>
      <c r="CP47" s="24">
        <f t="shared" si="55"/>
        <v>0</v>
      </c>
      <c r="CQ47" s="24">
        <f t="shared" si="55"/>
        <v>100000</v>
      </c>
      <c r="CR47" s="24"/>
      <c r="CS47" s="24"/>
      <c r="CT47" s="24">
        <f t="shared" si="55"/>
        <v>0</v>
      </c>
      <c r="CU47" s="24">
        <f t="shared" si="55"/>
        <v>0</v>
      </c>
      <c r="CV47" s="24">
        <f t="shared" si="55"/>
        <v>0</v>
      </c>
      <c r="CW47" s="24">
        <f t="shared" si="55"/>
        <v>0</v>
      </c>
      <c r="CX47" s="24">
        <f t="shared" si="55"/>
        <v>0</v>
      </c>
      <c r="CY47" s="24">
        <f t="shared" si="55"/>
        <v>0</v>
      </c>
      <c r="CZ47" s="25">
        <f t="shared" si="55"/>
        <v>0</v>
      </c>
    </row>
    <row r="48" spans="1:104" ht="15.6" x14ac:dyDescent="0.3">
      <c r="A48" s="26" t="s">
        <v>1</v>
      </c>
      <c r="B48" s="27" t="s">
        <v>1</v>
      </c>
      <c r="C48" s="27" t="s">
        <v>117</v>
      </c>
      <c r="D48" s="28" t="s">
        <v>118</v>
      </c>
      <c r="E48" s="23">
        <f>SUM(F48+CD48+CW48)</f>
        <v>13841319</v>
      </c>
      <c r="F48" s="24">
        <f>SUM(G48+BD48)</f>
        <v>13541319</v>
      </c>
      <c r="G48" s="24">
        <f>SUM(H48+I48+J48+Q48+T48+U48+V48+AF48+AE48)</f>
        <v>13523683</v>
      </c>
      <c r="H48" s="29">
        <f>6923377+1570383</f>
        <v>8493760</v>
      </c>
      <c r="I48" s="29">
        <f>1623958+392596</f>
        <v>2016554</v>
      </c>
      <c r="J48" s="24">
        <f t="shared" si="8"/>
        <v>488609</v>
      </c>
      <c r="K48" s="29">
        <v>450</v>
      </c>
      <c r="L48" s="29">
        <v>0</v>
      </c>
      <c r="M48" s="29">
        <v>0</v>
      </c>
      <c r="N48" s="29">
        <v>0</v>
      </c>
      <c r="O48" s="29">
        <v>250000</v>
      </c>
      <c r="P48" s="29">
        <v>238159</v>
      </c>
      <c r="Q48" s="24">
        <f t="shared" si="9"/>
        <v>151473</v>
      </c>
      <c r="R48" s="29">
        <v>0</v>
      </c>
      <c r="S48" s="29">
        <v>151473</v>
      </c>
      <c r="T48" s="29">
        <v>0</v>
      </c>
      <c r="U48" s="29">
        <f>390467-32761</f>
        <v>357706</v>
      </c>
      <c r="V48" s="24">
        <f>SUM(W48:AD48)</f>
        <v>575946</v>
      </c>
      <c r="W48" s="29">
        <v>109851</v>
      </c>
      <c r="X48" s="29">
        <f>223189+24211</f>
        <v>247400</v>
      </c>
      <c r="Y48" s="29">
        <v>153237</v>
      </c>
      <c r="Z48" s="29">
        <f>43724+9704</f>
        <v>53428</v>
      </c>
      <c r="AA48" s="29">
        <v>12030</v>
      </c>
      <c r="AB48" s="29">
        <v>0</v>
      </c>
      <c r="AC48" s="29">
        <v>0</v>
      </c>
      <c r="AD48" s="29">
        <v>0</v>
      </c>
      <c r="AE48" s="29">
        <v>0</v>
      </c>
      <c r="AF48" s="24">
        <f>SUM(AG48:BC48)</f>
        <v>1439635</v>
      </c>
      <c r="AG48" s="29">
        <v>0</v>
      </c>
      <c r="AH48" s="29">
        <v>0</v>
      </c>
      <c r="AI48" s="29">
        <v>27184</v>
      </c>
      <c r="AJ48" s="29">
        <v>742349</v>
      </c>
      <c r="AK48" s="29">
        <v>0</v>
      </c>
      <c r="AL48" s="29">
        <v>2308</v>
      </c>
      <c r="AM48" s="29">
        <v>20166</v>
      </c>
      <c r="AN48" s="29">
        <v>10000</v>
      </c>
      <c r="AO48" s="29">
        <v>0</v>
      </c>
      <c r="AP48" s="29">
        <v>277213</v>
      </c>
      <c r="AQ48" s="29">
        <v>0</v>
      </c>
      <c r="AR48" s="29">
        <v>0</v>
      </c>
      <c r="AS48" s="29">
        <v>0</v>
      </c>
      <c r="AT48" s="29"/>
      <c r="AU48" s="29">
        <v>13595</v>
      </c>
      <c r="AV48" s="29">
        <v>0</v>
      </c>
      <c r="AW48" s="29">
        <v>0</v>
      </c>
      <c r="AX48" s="29">
        <v>0</v>
      </c>
      <c r="AY48" s="29">
        <v>0</v>
      </c>
      <c r="AZ48" s="29"/>
      <c r="BA48" s="29">
        <v>65000</v>
      </c>
      <c r="BB48" s="29">
        <v>266820</v>
      </c>
      <c r="BC48" s="29">
        <v>15000</v>
      </c>
      <c r="BD48" s="24">
        <f>SUM(BE48+BI48+BM48+BN48+BO48+BR48)</f>
        <v>17636</v>
      </c>
      <c r="BE48" s="24">
        <f>SUM(BF48:BH48)</f>
        <v>0</v>
      </c>
      <c r="BF48" s="24">
        <v>0</v>
      </c>
      <c r="BG48" s="24">
        <v>0</v>
      </c>
      <c r="BH48" s="24">
        <v>0</v>
      </c>
      <c r="BI48" s="24">
        <f>SUM(BL48:BL48)</f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f t="shared" si="10"/>
        <v>0</v>
      </c>
      <c r="BP48" s="24">
        <v>0</v>
      </c>
      <c r="BQ48" s="24">
        <v>0</v>
      </c>
      <c r="BR48" s="24">
        <f>SUM(BS48:CC48)</f>
        <v>17636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9">
        <v>17636</v>
      </c>
      <c r="CC48" s="24">
        <v>0</v>
      </c>
      <c r="CD48" s="24">
        <f>SUM(CE48+CV48)</f>
        <v>300000</v>
      </c>
      <c r="CE48" s="24">
        <f>SUM(CF48+CI48+CN48)</f>
        <v>300000</v>
      </c>
      <c r="CF48" s="24">
        <f t="shared" si="11"/>
        <v>200000</v>
      </c>
      <c r="CG48" s="24">
        <v>0</v>
      </c>
      <c r="CH48" s="29">
        <v>200000</v>
      </c>
      <c r="CI48" s="24">
        <f>SUM(CJ48:CM48)</f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f>SUM(CO48:CS48)</f>
        <v>100000</v>
      </c>
      <c r="CO48" s="24"/>
      <c r="CP48" s="24"/>
      <c r="CQ48" s="62">
        <v>100000</v>
      </c>
      <c r="CR48" s="24"/>
      <c r="CS48" s="24"/>
      <c r="CT48" s="24">
        <v>0</v>
      </c>
      <c r="CU48" s="24">
        <v>0</v>
      </c>
      <c r="CV48" s="24">
        <v>0</v>
      </c>
      <c r="CW48" s="24">
        <f t="shared" si="12"/>
        <v>0</v>
      </c>
      <c r="CX48" s="24">
        <f t="shared" si="13"/>
        <v>0</v>
      </c>
      <c r="CY48" s="24">
        <v>0</v>
      </c>
      <c r="CZ48" s="25">
        <v>0</v>
      </c>
    </row>
    <row r="49" spans="1:104" ht="15.6" x14ac:dyDescent="0.3">
      <c r="A49" s="31" t="s">
        <v>119</v>
      </c>
      <c r="B49" s="32" t="s">
        <v>1</v>
      </c>
      <c r="C49" s="32" t="s">
        <v>1</v>
      </c>
      <c r="D49" s="33" t="s">
        <v>120</v>
      </c>
      <c r="E49" s="34">
        <f>SUM(E50+E52+E54+E56+E58)</f>
        <v>51181877</v>
      </c>
      <c r="F49" s="35">
        <f t="shared" ref="F49:BX49" si="56">SUM(F50+F52+F54+F56+F58)</f>
        <v>49790885</v>
      </c>
      <c r="G49" s="35">
        <f t="shared" si="56"/>
        <v>49633657</v>
      </c>
      <c r="H49" s="35">
        <f t="shared" si="56"/>
        <v>39113159</v>
      </c>
      <c r="I49" s="35">
        <f t="shared" si="56"/>
        <v>5295245</v>
      </c>
      <c r="J49" s="35">
        <f t="shared" si="56"/>
        <v>1857694</v>
      </c>
      <c r="K49" s="35">
        <f t="shared" si="56"/>
        <v>1600</v>
      </c>
      <c r="L49" s="35">
        <f t="shared" si="56"/>
        <v>131121</v>
      </c>
      <c r="M49" s="35">
        <f t="shared" si="56"/>
        <v>0</v>
      </c>
      <c r="N49" s="35">
        <f t="shared" si="56"/>
        <v>0</v>
      </c>
      <c r="O49" s="35">
        <f t="shared" si="56"/>
        <v>1274692</v>
      </c>
      <c r="P49" s="35">
        <f t="shared" si="56"/>
        <v>450281</v>
      </c>
      <c r="Q49" s="35">
        <f t="shared" si="56"/>
        <v>114062</v>
      </c>
      <c r="R49" s="35">
        <f t="shared" si="56"/>
        <v>1542</v>
      </c>
      <c r="S49" s="35">
        <f t="shared" si="56"/>
        <v>112520</v>
      </c>
      <c r="T49" s="35">
        <f t="shared" si="56"/>
        <v>0</v>
      </c>
      <c r="U49" s="35">
        <f t="shared" si="56"/>
        <v>502340</v>
      </c>
      <c r="V49" s="35">
        <f t="shared" si="56"/>
        <v>539010</v>
      </c>
      <c r="W49" s="35">
        <f t="shared" si="56"/>
        <v>87308</v>
      </c>
      <c r="X49" s="35">
        <f t="shared" si="56"/>
        <v>148576</v>
      </c>
      <c r="Y49" s="35">
        <f t="shared" si="56"/>
        <v>203245</v>
      </c>
      <c r="Z49" s="35">
        <f t="shared" si="56"/>
        <v>44240</v>
      </c>
      <c r="AA49" s="35">
        <f t="shared" si="56"/>
        <v>9922</v>
      </c>
      <c r="AB49" s="35">
        <f t="shared" si="56"/>
        <v>0</v>
      </c>
      <c r="AC49" s="35">
        <f t="shared" si="56"/>
        <v>0</v>
      </c>
      <c r="AD49" s="35">
        <f t="shared" si="56"/>
        <v>45719</v>
      </c>
      <c r="AE49" s="35">
        <f t="shared" si="56"/>
        <v>0</v>
      </c>
      <c r="AF49" s="35">
        <f t="shared" si="56"/>
        <v>2212147</v>
      </c>
      <c r="AG49" s="35">
        <f t="shared" si="56"/>
        <v>0</v>
      </c>
      <c r="AH49" s="35">
        <f t="shared" si="56"/>
        <v>0</v>
      </c>
      <c r="AI49" s="35">
        <f t="shared" si="56"/>
        <v>27846</v>
      </c>
      <c r="AJ49" s="35">
        <f t="shared" si="56"/>
        <v>258367</v>
      </c>
      <c r="AK49" s="35">
        <f t="shared" si="56"/>
        <v>0</v>
      </c>
      <c r="AL49" s="35">
        <f t="shared" si="56"/>
        <v>34037</v>
      </c>
      <c r="AM49" s="35">
        <f t="shared" si="56"/>
        <v>13843</v>
      </c>
      <c r="AN49" s="35">
        <f t="shared" si="56"/>
        <v>2110</v>
      </c>
      <c r="AO49" s="35">
        <f t="shared" si="56"/>
        <v>103022</v>
      </c>
      <c r="AP49" s="35">
        <f t="shared" si="56"/>
        <v>104416</v>
      </c>
      <c r="AQ49" s="35">
        <f t="shared" si="56"/>
        <v>0</v>
      </c>
      <c r="AR49" s="35"/>
      <c r="AS49" s="35">
        <f t="shared" si="56"/>
        <v>0</v>
      </c>
      <c r="AT49" s="35">
        <f t="shared" si="56"/>
        <v>910423</v>
      </c>
      <c r="AU49" s="35">
        <f t="shared" si="56"/>
        <v>37390</v>
      </c>
      <c r="AV49" s="35">
        <f t="shared" si="56"/>
        <v>643177</v>
      </c>
      <c r="AW49" s="35"/>
      <c r="AX49" s="35">
        <f t="shared" si="56"/>
        <v>0</v>
      </c>
      <c r="AY49" s="35">
        <f t="shared" si="56"/>
        <v>0</v>
      </c>
      <c r="AZ49" s="35">
        <f t="shared" si="56"/>
        <v>0</v>
      </c>
      <c r="BA49" s="35">
        <f t="shared" si="56"/>
        <v>45000</v>
      </c>
      <c r="BB49" s="35"/>
      <c r="BC49" s="35">
        <f t="shared" si="56"/>
        <v>32516</v>
      </c>
      <c r="BD49" s="35">
        <f t="shared" si="56"/>
        <v>157228</v>
      </c>
      <c r="BE49" s="35">
        <f t="shared" si="56"/>
        <v>0</v>
      </c>
      <c r="BF49" s="35">
        <f t="shared" si="56"/>
        <v>0</v>
      </c>
      <c r="BG49" s="35">
        <f t="shared" si="56"/>
        <v>0</v>
      </c>
      <c r="BH49" s="35">
        <f t="shared" si="56"/>
        <v>0</v>
      </c>
      <c r="BI49" s="35">
        <f t="shared" si="56"/>
        <v>0</v>
      </c>
      <c r="BJ49" s="35">
        <f t="shared" si="56"/>
        <v>0</v>
      </c>
      <c r="BK49" s="35">
        <f t="shared" ref="BK49" si="57">SUM(BK50+BK52+BK54+BK56+BK58)</f>
        <v>0</v>
      </c>
      <c r="BL49" s="35">
        <f t="shared" si="56"/>
        <v>0</v>
      </c>
      <c r="BM49" s="35">
        <f t="shared" si="56"/>
        <v>0</v>
      </c>
      <c r="BN49" s="35">
        <f t="shared" si="56"/>
        <v>0</v>
      </c>
      <c r="BO49" s="35">
        <f t="shared" si="56"/>
        <v>0</v>
      </c>
      <c r="BP49" s="35">
        <f t="shared" si="56"/>
        <v>0</v>
      </c>
      <c r="BQ49" s="35">
        <f t="shared" ref="BQ49" si="58">SUM(BQ50+BQ52+BQ54+BQ56+BQ58)</f>
        <v>0</v>
      </c>
      <c r="BR49" s="35">
        <f t="shared" si="56"/>
        <v>157228</v>
      </c>
      <c r="BS49" s="35">
        <f t="shared" si="56"/>
        <v>0</v>
      </c>
      <c r="BT49" s="35">
        <f t="shared" si="56"/>
        <v>0</v>
      </c>
      <c r="BU49" s="35">
        <f t="shared" si="56"/>
        <v>0</v>
      </c>
      <c r="BV49" s="35">
        <f t="shared" si="56"/>
        <v>0</v>
      </c>
      <c r="BW49" s="35">
        <f t="shared" si="56"/>
        <v>0</v>
      </c>
      <c r="BX49" s="35">
        <f t="shared" si="56"/>
        <v>0</v>
      </c>
      <c r="BY49" s="35">
        <f t="shared" ref="BY49:CZ49" si="59">SUM(BY50+BY52+BY54+BY56+BY58)</f>
        <v>0</v>
      </c>
      <c r="BZ49" s="35">
        <f t="shared" si="59"/>
        <v>0</v>
      </c>
      <c r="CA49" s="35">
        <f t="shared" si="59"/>
        <v>0</v>
      </c>
      <c r="CB49" s="35">
        <f t="shared" si="59"/>
        <v>15605</v>
      </c>
      <c r="CC49" s="35">
        <f t="shared" si="59"/>
        <v>141623</v>
      </c>
      <c r="CD49" s="35">
        <f t="shared" si="59"/>
        <v>1390992</v>
      </c>
      <c r="CE49" s="35">
        <f t="shared" si="59"/>
        <v>1390992</v>
      </c>
      <c r="CF49" s="35">
        <f t="shared" si="59"/>
        <v>1256609</v>
      </c>
      <c r="CG49" s="35">
        <f t="shared" si="59"/>
        <v>0</v>
      </c>
      <c r="CH49" s="35">
        <f t="shared" si="59"/>
        <v>1256609</v>
      </c>
      <c r="CI49" s="35">
        <f t="shared" si="59"/>
        <v>0</v>
      </c>
      <c r="CJ49" s="35">
        <f t="shared" si="59"/>
        <v>0</v>
      </c>
      <c r="CK49" s="35">
        <f t="shared" ref="CK49:CL49" si="60">SUM(CK50+CK52+CK54+CK56+CK58)</f>
        <v>0</v>
      </c>
      <c r="CL49" s="35">
        <f t="shared" si="60"/>
        <v>0</v>
      </c>
      <c r="CM49" s="35">
        <f t="shared" si="59"/>
        <v>0</v>
      </c>
      <c r="CN49" s="35">
        <f t="shared" si="59"/>
        <v>134383</v>
      </c>
      <c r="CO49" s="35">
        <f t="shared" si="59"/>
        <v>0</v>
      </c>
      <c r="CP49" s="35">
        <f t="shared" ref="CP49" si="61">SUM(CP50+CP52+CP54+CP56+CP58)</f>
        <v>0</v>
      </c>
      <c r="CQ49" s="35">
        <f t="shared" si="59"/>
        <v>134383</v>
      </c>
      <c r="CR49" s="35"/>
      <c r="CS49" s="35"/>
      <c r="CT49" s="35">
        <f t="shared" si="59"/>
        <v>0</v>
      </c>
      <c r="CU49" s="35">
        <f t="shared" si="59"/>
        <v>0</v>
      </c>
      <c r="CV49" s="35">
        <f t="shared" si="59"/>
        <v>0</v>
      </c>
      <c r="CW49" s="35">
        <f t="shared" si="59"/>
        <v>0</v>
      </c>
      <c r="CX49" s="35">
        <f t="shared" si="59"/>
        <v>0</v>
      </c>
      <c r="CY49" s="35">
        <f t="shared" si="59"/>
        <v>0</v>
      </c>
      <c r="CZ49" s="36">
        <f t="shared" si="59"/>
        <v>0</v>
      </c>
    </row>
    <row r="50" spans="1:104" ht="15.6" x14ac:dyDescent="0.3">
      <c r="A50" s="20"/>
      <c r="B50" s="21" t="s">
        <v>121</v>
      </c>
      <c r="C50" s="21" t="s">
        <v>1</v>
      </c>
      <c r="D50" s="22" t="s">
        <v>122</v>
      </c>
      <c r="E50" s="23">
        <f t="shared" ref="E50:BU50" si="62">SUM(E51)</f>
        <v>4759053</v>
      </c>
      <c r="F50" s="24">
        <f t="shared" si="62"/>
        <v>4379802</v>
      </c>
      <c r="G50" s="24">
        <f t="shared" si="62"/>
        <v>4379802</v>
      </c>
      <c r="H50" s="24">
        <f t="shared" si="62"/>
        <v>3499382</v>
      </c>
      <c r="I50" s="24">
        <f t="shared" si="62"/>
        <v>616118</v>
      </c>
      <c r="J50" s="24">
        <f t="shared" si="62"/>
        <v>89089</v>
      </c>
      <c r="K50" s="24">
        <f t="shared" si="62"/>
        <v>0</v>
      </c>
      <c r="L50" s="24">
        <f t="shared" si="62"/>
        <v>16140</v>
      </c>
      <c r="M50" s="24">
        <f t="shared" si="62"/>
        <v>0</v>
      </c>
      <c r="N50" s="24">
        <f t="shared" si="62"/>
        <v>0</v>
      </c>
      <c r="O50" s="24">
        <f t="shared" si="62"/>
        <v>54727</v>
      </c>
      <c r="P50" s="24">
        <f t="shared" si="62"/>
        <v>18222</v>
      </c>
      <c r="Q50" s="24">
        <f t="shared" si="62"/>
        <v>0</v>
      </c>
      <c r="R50" s="24">
        <f t="shared" si="62"/>
        <v>0</v>
      </c>
      <c r="S50" s="24">
        <f t="shared" si="62"/>
        <v>0</v>
      </c>
      <c r="T50" s="24">
        <f t="shared" si="62"/>
        <v>0</v>
      </c>
      <c r="U50" s="24">
        <f t="shared" si="62"/>
        <v>30108</v>
      </c>
      <c r="V50" s="24">
        <f t="shared" si="62"/>
        <v>75474</v>
      </c>
      <c r="W50" s="24">
        <f t="shared" si="62"/>
        <v>3800</v>
      </c>
      <c r="X50" s="24">
        <f t="shared" si="62"/>
        <v>0</v>
      </c>
      <c r="Y50" s="24">
        <f t="shared" si="62"/>
        <v>52915</v>
      </c>
      <c r="Z50" s="24">
        <f t="shared" si="62"/>
        <v>7007</v>
      </c>
      <c r="AA50" s="24">
        <f t="shared" si="62"/>
        <v>925</v>
      </c>
      <c r="AB50" s="24">
        <f t="shared" si="62"/>
        <v>0</v>
      </c>
      <c r="AC50" s="24">
        <f t="shared" si="62"/>
        <v>0</v>
      </c>
      <c r="AD50" s="24">
        <f t="shared" si="62"/>
        <v>10827</v>
      </c>
      <c r="AE50" s="24">
        <f t="shared" si="62"/>
        <v>0</v>
      </c>
      <c r="AF50" s="24">
        <f t="shared" si="62"/>
        <v>69631</v>
      </c>
      <c r="AG50" s="24">
        <f t="shared" si="62"/>
        <v>0</v>
      </c>
      <c r="AH50" s="24">
        <f t="shared" si="62"/>
        <v>0</v>
      </c>
      <c r="AI50" s="24">
        <f t="shared" si="62"/>
        <v>3754</v>
      </c>
      <c r="AJ50" s="24">
        <f t="shared" si="62"/>
        <v>1744</v>
      </c>
      <c r="AK50" s="24">
        <f t="shared" si="62"/>
        <v>0</v>
      </c>
      <c r="AL50" s="24">
        <f t="shared" si="62"/>
        <v>63</v>
      </c>
      <c r="AM50" s="24">
        <f t="shared" si="62"/>
        <v>0</v>
      </c>
      <c r="AN50" s="24">
        <f t="shared" si="62"/>
        <v>512</v>
      </c>
      <c r="AO50" s="24">
        <f t="shared" si="62"/>
        <v>9750</v>
      </c>
      <c r="AP50" s="24">
        <f t="shared" si="62"/>
        <v>37646</v>
      </c>
      <c r="AQ50" s="24">
        <f t="shared" si="62"/>
        <v>0</v>
      </c>
      <c r="AR50" s="24"/>
      <c r="AS50" s="24">
        <f t="shared" si="62"/>
        <v>0</v>
      </c>
      <c r="AT50" s="24">
        <f t="shared" si="62"/>
        <v>15522</v>
      </c>
      <c r="AU50" s="24">
        <f t="shared" si="62"/>
        <v>0</v>
      </c>
      <c r="AV50" s="24"/>
      <c r="AW50" s="24"/>
      <c r="AX50" s="24">
        <f t="shared" si="62"/>
        <v>0</v>
      </c>
      <c r="AY50" s="24">
        <f t="shared" si="62"/>
        <v>0</v>
      </c>
      <c r="AZ50" s="24">
        <f t="shared" si="62"/>
        <v>0</v>
      </c>
      <c r="BA50" s="24">
        <f t="shared" si="62"/>
        <v>0</v>
      </c>
      <c r="BB50" s="24"/>
      <c r="BC50" s="24">
        <f t="shared" si="62"/>
        <v>640</v>
      </c>
      <c r="BD50" s="24">
        <f t="shared" si="62"/>
        <v>0</v>
      </c>
      <c r="BE50" s="24">
        <f t="shared" si="62"/>
        <v>0</v>
      </c>
      <c r="BF50" s="24">
        <f t="shared" si="62"/>
        <v>0</v>
      </c>
      <c r="BG50" s="24">
        <f t="shared" si="62"/>
        <v>0</v>
      </c>
      <c r="BH50" s="24">
        <f t="shared" si="62"/>
        <v>0</v>
      </c>
      <c r="BI50" s="24">
        <f t="shared" si="62"/>
        <v>0</v>
      </c>
      <c r="BJ50" s="24">
        <f t="shared" si="62"/>
        <v>0</v>
      </c>
      <c r="BK50" s="24">
        <f t="shared" si="62"/>
        <v>0</v>
      </c>
      <c r="BL50" s="24">
        <f t="shared" si="62"/>
        <v>0</v>
      </c>
      <c r="BM50" s="24">
        <f t="shared" si="62"/>
        <v>0</v>
      </c>
      <c r="BN50" s="24">
        <f t="shared" si="62"/>
        <v>0</v>
      </c>
      <c r="BO50" s="24">
        <f t="shared" si="62"/>
        <v>0</v>
      </c>
      <c r="BP50" s="24">
        <f t="shared" si="62"/>
        <v>0</v>
      </c>
      <c r="BQ50" s="24">
        <f t="shared" si="62"/>
        <v>0</v>
      </c>
      <c r="BR50" s="24">
        <f t="shared" si="62"/>
        <v>0</v>
      </c>
      <c r="BS50" s="24">
        <f t="shared" si="62"/>
        <v>0</v>
      </c>
      <c r="BT50" s="24">
        <f t="shared" si="62"/>
        <v>0</v>
      </c>
      <c r="BU50" s="24">
        <f t="shared" si="62"/>
        <v>0</v>
      </c>
      <c r="BV50" s="24">
        <f t="shared" ref="BV50:CZ50" si="63">SUM(BV51)</f>
        <v>0</v>
      </c>
      <c r="BW50" s="24">
        <f t="shared" si="63"/>
        <v>0</v>
      </c>
      <c r="BX50" s="24">
        <f t="shared" si="63"/>
        <v>0</v>
      </c>
      <c r="BY50" s="24">
        <f t="shared" si="63"/>
        <v>0</v>
      </c>
      <c r="BZ50" s="24">
        <f t="shared" si="63"/>
        <v>0</v>
      </c>
      <c r="CA50" s="24">
        <f t="shared" si="63"/>
        <v>0</v>
      </c>
      <c r="CB50" s="24">
        <f t="shared" si="63"/>
        <v>0</v>
      </c>
      <c r="CC50" s="24">
        <f t="shared" si="63"/>
        <v>0</v>
      </c>
      <c r="CD50" s="24">
        <f t="shared" si="63"/>
        <v>379251</v>
      </c>
      <c r="CE50" s="24">
        <f t="shared" si="63"/>
        <v>379251</v>
      </c>
      <c r="CF50" s="24">
        <f t="shared" si="63"/>
        <v>379251</v>
      </c>
      <c r="CG50" s="24">
        <f t="shared" si="63"/>
        <v>0</v>
      </c>
      <c r="CH50" s="24">
        <f t="shared" si="63"/>
        <v>379251</v>
      </c>
      <c r="CI50" s="24">
        <f t="shared" si="63"/>
        <v>0</v>
      </c>
      <c r="CJ50" s="24">
        <f t="shared" si="63"/>
        <v>0</v>
      </c>
      <c r="CK50" s="24">
        <f t="shared" si="63"/>
        <v>0</v>
      </c>
      <c r="CL50" s="24">
        <f t="shared" si="63"/>
        <v>0</v>
      </c>
      <c r="CM50" s="24">
        <f t="shared" si="63"/>
        <v>0</v>
      </c>
      <c r="CN50" s="24">
        <f t="shared" si="63"/>
        <v>0</v>
      </c>
      <c r="CO50" s="24">
        <f t="shared" si="63"/>
        <v>0</v>
      </c>
      <c r="CP50" s="24">
        <f t="shared" si="63"/>
        <v>0</v>
      </c>
      <c r="CQ50" s="24">
        <f t="shared" si="63"/>
        <v>0</v>
      </c>
      <c r="CR50" s="24"/>
      <c r="CS50" s="24"/>
      <c r="CT50" s="24">
        <f t="shared" si="63"/>
        <v>0</v>
      </c>
      <c r="CU50" s="24">
        <f t="shared" si="63"/>
        <v>0</v>
      </c>
      <c r="CV50" s="24">
        <f t="shared" si="63"/>
        <v>0</v>
      </c>
      <c r="CW50" s="24">
        <f t="shared" si="63"/>
        <v>0</v>
      </c>
      <c r="CX50" s="24">
        <f t="shared" si="63"/>
        <v>0</v>
      </c>
      <c r="CY50" s="24">
        <f t="shared" si="63"/>
        <v>0</v>
      </c>
      <c r="CZ50" s="25">
        <f t="shared" si="63"/>
        <v>0</v>
      </c>
    </row>
    <row r="51" spans="1:104" ht="15.6" x14ac:dyDescent="0.3">
      <c r="A51" s="26"/>
      <c r="B51" s="27" t="s">
        <v>1</v>
      </c>
      <c r="C51" s="27" t="s">
        <v>123</v>
      </c>
      <c r="D51" s="28" t="s">
        <v>124</v>
      </c>
      <c r="E51" s="23">
        <f>SUM(F51+CD51+CW51)</f>
        <v>4759053</v>
      </c>
      <c r="F51" s="24">
        <f>SUM(G51+BD51)</f>
        <v>4379802</v>
      </c>
      <c r="G51" s="24">
        <f>SUM(H51+I51+J51+Q51+T51+U51+V51+AF51+AE51)</f>
        <v>4379802</v>
      </c>
      <c r="H51" s="29">
        <f>3350372+663010-514000</f>
        <v>3499382</v>
      </c>
      <c r="I51" s="29">
        <f>457447+158671</f>
        <v>616118</v>
      </c>
      <c r="J51" s="24">
        <f t="shared" si="8"/>
        <v>89089</v>
      </c>
      <c r="K51" s="29">
        <v>0</v>
      </c>
      <c r="L51" s="29">
        <f>29614-13474</f>
        <v>16140</v>
      </c>
      <c r="M51" s="29">
        <v>0</v>
      </c>
      <c r="N51" s="29">
        <v>0</v>
      </c>
      <c r="O51" s="29">
        <v>54727</v>
      </c>
      <c r="P51" s="29">
        <v>18222</v>
      </c>
      <c r="Q51" s="24">
        <f t="shared" si="9"/>
        <v>0</v>
      </c>
      <c r="R51" s="24">
        <v>0</v>
      </c>
      <c r="S51" s="24">
        <v>0</v>
      </c>
      <c r="T51" s="24">
        <v>0</v>
      </c>
      <c r="U51" s="29">
        <f>110108-80000</f>
        <v>30108</v>
      </c>
      <c r="V51" s="24">
        <f>SUM(W51:AD51)</f>
        <v>75474</v>
      </c>
      <c r="W51" s="29">
        <v>3800</v>
      </c>
      <c r="X51" s="29">
        <v>0</v>
      </c>
      <c r="Y51" s="29">
        <v>52915</v>
      </c>
      <c r="Z51" s="29">
        <v>7007</v>
      </c>
      <c r="AA51" s="29">
        <v>925</v>
      </c>
      <c r="AB51" s="29">
        <v>0</v>
      </c>
      <c r="AC51" s="29">
        <v>0</v>
      </c>
      <c r="AD51" s="29">
        <f>10822+5</f>
        <v>10827</v>
      </c>
      <c r="AE51" s="24"/>
      <c r="AF51" s="24">
        <f>SUM(AG51:BC51)</f>
        <v>69631</v>
      </c>
      <c r="AG51" s="24">
        <v>0</v>
      </c>
      <c r="AH51" s="24"/>
      <c r="AI51" s="29">
        <v>3754</v>
      </c>
      <c r="AJ51" s="29">
        <f>2679-935</f>
        <v>1744</v>
      </c>
      <c r="AK51" s="29">
        <v>0</v>
      </c>
      <c r="AL51" s="29">
        <v>63</v>
      </c>
      <c r="AM51" s="29">
        <v>0</v>
      </c>
      <c r="AN51" s="29">
        <v>512</v>
      </c>
      <c r="AO51" s="29">
        <v>9750</v>
      </c>
      <c r="AP51" s="29">
        <f>69646-32000</f>
        <v>37646</v>
      </c>
      <c r="AQ51" s="29">
        <v>0</v>
      </c>
      <c r="AR51" s="29">
        <v>0</v>
      </c>
      <c r="AS51" s="29"/>
      <c r="AT51" s="29">
        <v>15522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/>
      <c r="BC51" s="29">
        <v>640</v>
      </c>
      <c r="BD51" s="24">
        <f>SUM(BE51+BI51+BM51+BN51+BO51+BR51)</f>
        <v>0</v>
      </c>
      <c r="BE51" s="24">
        <f>SUM(BF51:BH51)</f>
        <v>0</v>
      </c>
      <c r="BF51" s="24">
        <v>0</v>
      </c>
      <c r="BG51" s="24">
        <v>0</v>
      </c>
      <c r="BH51" s="24">
        <v>0</v>
      </c>
      <c r="BI51" s="24">
        <f>SUM(BL51:BL51)</f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f t="shared" si="10"/>
        <v>0</v>
      </c>
      <c r="BP51" s="24">
        <v>0</v>
      </c>
      <c r="BQ51" s="24">
        <v>0</v>
      </c>
      <c r="BR51" s="24">
        <f>SUM(BS51:CC51)</f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f>11886-11886</f>
        <v>0</v>
      </c>
      <c r="CC51" s="24">
        <v>0</v>
      </c>
      <c r="CD51" s="24">
        <f>SUM(CE51+CV51)</f>
        <v>379251</v>
      </c>
      <c r="CE51" s="24">
        <f>SUM(CF51+CI51+CN51)</f>
        <v>379251</v>
      </c>
      <c r="CF51" s="24">
        <f t="shared" si="11"/>
        <v>379251</v>
      </c>
      <c r="CG51" s="24">
        <v>0</v>
      </c>
      <c r="CH51" s="29">
        <v>379251</v>
      </c>
      <c r="CI51" s="24">
        <f>SUM(CJ51:CM51)</f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f>SUM(CO51:CS51)</f>
        <v>0</v>
      </c>
      <c r="CO51" s="24">
        <v>0</v>
      </c>
      <c r="CP51" s="24">
        <v>0</v>
      </c>
      <c r="CQ51" s="24">
        <v>0</v>
      </c>
      <c r="CR51" s="24"/>
      <c r="CS51" s="24"/>
      <c r="CT51" s="24">
        <v>0</v>
      </c>
      <c r="CU51" s="24">
        <v>0</v>
      </c>
      <c r="CV51" s="24">
        <v>0</v>
      </c>
      <c r="CW51" s="24">
        <f t="shared" si="12"/>
        <v>0</v>
      </c>
      <c r="CX51" s="24">
        <f t="shared" si="13"/>
        <v>0</v>
      </c>
      <c r="CY51" s="24">
        <v>0</v>
      </c>
      <c r="CZ51" s="25">
        <v>0</v>
      </c>
    </row>
    <row r="52" spans="1:104" ht="15.6" x14ac:dyDescent="0.3">
      <c r="A52" s="20"/>
      <c r="B52" s="21" t="s">
        <v>125</v>
      </c>
      <c r="C52" s="21" t="s">
        <v>1</v>
      </c>
      <c r="D52" s="22" t="s">
        <v>126</v>
      </c>
      <c r="E52" s="23">
        <f t="shared" ref="E52:AL52" si="64">SUM(E53)</f>
        <v>11910068</v>
      </c>
      <c r="F52" s="24">
        <f t="shared" si="64"/>
        <v>11697841</v>
      </c>
      <c r="G52" s="24">
        <f t="shared" si="64"/>
        <v>11697841</v>
      </c>
      <c r="H52" s="24">
        <f t="shared" si="64"/>
        <v>9196516</v>
      </c>
      <c r="I52" s="24">
        <f t="shared" si="64"/>
        <v>1112280</v>
      </c>
      <c r="J52" s="24">
        <f t="shared" si="64"/>
        <v>614063</v>
      </c>
      <c r="K52" s="24">
        <f t="shared" si="64"/>
        <v>0</v>
      </c>
      <c r="L52" s="24">
        <f t="shared" si="64"/>
        <v>88605</v>
      </c>
      <c r="M52" s="24">
        <f t="shared" si="64"/>
        <v>0</v>
      </c>
      <c r="N52" s="24">
        <f t="shared" si="64"/>
        <v>0</v>
      </c>
      <c r="O52" s="24">
        <f t="shared" si="64"/>
        <v>457118</v>
      </c>
      <c r="P52" s="24">
        <f t="shared" si="64"/>
        <v>68340</v>
      </c>
      <c r="Q52" s="24">
        <f t="shared" si="64"/>
        <v>114062</v>
      </c>
      <c r="R52" s="24">
        <f t="shared" si="64"/>
        <v>1542</v>
      </c>
      <c r="S52" s="24">
        <f t="shared" si="64"/>
        <v>112520</v>
      </c>
      <c r="T52" s="24">
        <f t="shared" si="64"/>
        <v>0</v>
      </c>
      <c r="U52" s="24">
        <f t="shared" si="64"/>
        <v>42600</v>
      </c>
      <c r="V52" s="24">
        <f t="shared" si="64"/>
        <v>96931</v>
      </c>
      <c r="W52" s="24">
        <f t="shared" si="64"/>
        <v>7939</v>
      </c>
      <c r="X52" s="24">
        <f t="shared" si="64"/>
        <v>51928</v>
      </c>
      <c r="Y52" s="24">
        <f t="shared" si="64"/>
        <v>28702</v>
      </c>
      <c r="Z52" s="24">
        <f t="shared" si="64"/>
        <v>5587</v>
      </c>
      <c r="AA52" s="24">
        <f t="shared" si="64"/>
        <v>2775</v>
      </c>
      <c r="AB52" s="24">
        <f t="shared" si="64"/>
        <v>0</v>
      </c>
      <c r="AC52" s="24">
        <f t="shared" si="64"/>
        <v>0</v>
      </c>
      <c r="AD52" s="24">
        <f t="shared" si="64"/>
        <v>0</v>
      </c>
      <c r="AE52" s="24">
        <f t="shared" si="64"/>
        <v>0</v>
      </c>
      <c r="AF52" s="24">
        <f t="shared" si="64"/>
        <v>521389</v>
      </c>
      <c r="AG52" s="24">
        <f t="shared" si="64"/>
        <v>0</v>
      </c>
      <c r="AH52" s="24">
        <f t="shared" si="64"/>
        <v>0</v>
      </c>
      <c r="AI52" s="24">
        <f t="shared" si="64"/>
        <v>2046</v>
      </c>
      <c r="AJ52" s="24">
        <f t="shared" si="64"/>
        <v>162960</v>
      </c>
      <c r="AK52" s="24">
        <f t="shared" si="64"/>
        <v>0</v>
      </c>
      <c r="AL52" s="24">
        <f t="shared" si="64"/>
        <v>0</v>
      </c>
      <c r="AM52" s="24">
        <f t="shared" ref="AM52:CZ52" si="65">SUM(AM53)</f>
        <v>443</v>
      </c>
      <c r="AN52" s="24">
        <f t="shared" si="65"/>
        <v>0</v>
      </c>
      <c r="AO52" s="24">
        <f t="shared" si="65"/>
        <v>12642</v>
      </c>
      <c r="AP52" s="24">
        <f t="shared" si="65"/>
        <v>40576</v>
      </c>
      <c r="AQ52" s="24">
        <f t="shared" si="65"/>
        <v>0</v>
      </c>
      <c r="AR52" s="24"/>
      <c r="AS52" s="24">
        <f t="shared" si="65"/>
        <v>0</v>
      </c>
      <c r="AT52" s="24">
        <f t="shared" si="65"/>
        <v>265332</v>
      </c>
      <c r="AU52" s="24">
        <f t="shared" si="65"/>
        <v>37390</v>
      </c>
      <c r="AV52" s="24"/>
      <c r="AW52" s="24"/>
      <c r="AX52" s="24">
        <f t="shared" si="65"/>
        <v>0</v>
      </c>
      <c r="AY52" s="24">
        <f t="shared" si="65"/>
        <v>0</v>
      </c>
      <c r="AZ52" s="24">
        <f t="shared" si="65"/>
        <v>0</v>
      </c>
      <c r="BA52" s="24">
        <f t="shared" si="65"/>
        <v>0</v>
      </c>
      <c r="BB52" s="24"/>
      <c r="BC52" s="24">
        <f t="shared" si="65"/>
        <v>0</v>
      </c>
      <c r="BD52" s="24">
        <f t="shared" si="65"/>
        <v>0</v>
      </c>
      <c r="BE52" s="24">
        <f t="shared" si="65"/>
        <v>0</v>
      </c>
      <c r="BF52" s="24">
        <f t="shared" si="65"/>
        <v>0</v>
      </c>
      <c r="BG52" s="24">
        <f t="shared" si="65"/>
        <v>0</v>
      </c>
      <c r="BH52" s="24">
        <f t="shared" si="65"/>
        <v>0</v>
      </c>
      <c r="BI52" s="24">
        <f t="shared" si="65"/>
        <v>0</v>
      </c>
      <c r="BJ52" s="24">
        <f t="shared" si="65"/>
        <v>0</v>
      </c>
      <c r="BK52" s="24">
        <f t="shared" si="65"/>
        <v>0</v>
      </c>
      <c r="BL52" s="24">
        <f t="shared" si="65"/>
        <v>0</v>
      </c>
      <c r="BM52" s="24">
        <f t="shared" si="65"/>
        <v>0</v>
      </c>
      <c r="BN52" s="24">
        <f t="shared" si="65"/>
        <v>0</v>
      </c>
      <c r="BO52" s="24">
        <f t="shared" si="65"/>
        <v>0</v>
      </c>
      <c r="BP52" s="24">
        <f t="shared" si="65"/>
        <v>0</v>
      </c>
      <c r="BQ52" s="24">
        <f t="shared" si="65"/>
        <v>0</v>
      </c>
      <c r="BR52" s="24">
        <f t="shared" si="65"/>
        <v>0</v>
      </c>
      <c r="BS52" s="24">
        <f t="shared" si="65"/>
        <v>0</v>
      </c>
      <c r="BT52" s="24">
        <f t="shared" si="65"/>
        <v>0</v>
      </c>
      <c r="BU52" s="24">
        <f t="shared" si="65"/>
        <v>0</v>
      </c>
      <c r="BV52" s="24">
        <f t="shared" si="65"/>
        <v>0</v>
      </c>
      <c r="BW52" s="24">
        <f t="shared" si="65"/>
        <v>0</v>
      </c>
      <c r="BX52" s="24">
        <f t="shared" si="65"/>
        <v>0</v>
      </c>
      <c r="BY52" s="24">
        <f t="shared" si="65"/>
        <v>0</v>
      </c>
      <c r="BZ52" s="24">
        <f t="shared" si="65"/>
        <v>0</v>
      </c>
      <c r="CA52" s="24">
        <f t="shared" si="65"/>
        <v>0</v>
      </c>
      <c r="CB52" s="24">
        <f t="shared" si="65"/>
        <v>0</v>
      </c>
      <c r="CC52" s="24">
        <f t="shared" si="65"/>
        <v>0</v>
      </c>
      <c r="CD52" s="24">
        <f t="shared" si="65"/>
        <v>212227</v>
      </c>
      <c r="CE52" s="24">
        <f t="shared" si="65"/>
        <v>212227</v>
      </c>
      <c r="CF52" s="24">
        <f t="shared" si="65"/>
        <v>212227</v>
      </c>
      <c r="CG52" s="24">
        <f t="shared" si="65"/>
        <v>0</v>
      </c>
      <c r="CH52" s="24">
        <f t="shared" si="65"/>
        <v>212227</v>
      </c>
      <c r="CI52" s="24">
        <f t="shared" si="65"/>
        <v>0</v>
      </c>
      <c r="CJ52" s="24">
        <f t="shared" si="65"/>
        <v>0</v>
      </c>
      <c r="CK52" s="24">
        <f t="shared" si="65"/>
        <v>0</v>
      </c>
      <c r="CL52" s="24">
        <f t="shared" si="65"/>
        <v>0</v>
      </c>
      <c r="CM52" s="24">
        <f t="shared" si="65"/>
        <v>0</v>
      </c>
      <c r="CN52" s="24">
        <f t="shared" si="65"/>
        <v>0</v>
      </c>
      <c r="CO52" s="24">
        <f t="shared" si="65"/>
        <v>0</v>
      </c>
      <c r="CP52" s="24">
        <f t="shared" si="65"/>
        <v>0</v>
      </c>
      <c r="CQ52" s="24">
        <f t="shared" si="65"/>
        <v>0</v>
      </c>
      <c r="CR52" s="24"/>
      <c r="CS52" s="24"/>
      <c r="CT52" s="24">
        <f t="shared" si="65"/>
        <v>0</v>
      </c>
      <c r="CU52" s="24">
        <f t="shared" si="65"/>
        <v>0</v>
      </c>
      <c r="CV52" s="24">
        <f t="shared" si="65"/>
        <v>0</v>
      </c>
      <c r="CW52" s="24">
        <f t="shared" si="65"/>
        <v>0</v>
      </c>
      <c r="CX52" s="24">
        <f t="shared" si="65"/>
        <v>0</v>
      </c>
      <c r="CY52" s="24">
        <f t="shared" si="65"/>
        <v>0</v>
      </c>
      <c r="CZ52" s="25">
        <f t="shared" si="65"/>
        <v>0</v>
      </c>
    </row>
    <row r="53" spans="1:104" ht="15.6" x14ac:dyDescent="0.3">
      <c r="A53" s="26"/>
      <c r="B53" s="27" t="s">
        <v>1</v>
      </c>
      <c r="C53" s="27" t="s">
        <v>127</v>
      </c>
      <c r="D53" s="28" t="s">
        <v>128</v>
      </c>
      <c r="E53" s="23">
        <f>SUM(F53+CD53+CW53)</f>
        <v>11910068</v>
      </c>
      <c r="F53" s="24">
        <f>SUM(G53+BD53)</f>
        <v>11697841</v>
      </c>
      <c r="G53" s="24">
        <f>SUM(H53+I53+J53+Q53+T53+U53+V53+AF53+AE53)</f>
        <v>11697841</v>
      </c>
      <c r="H53" s="29">
        <f>11255846+842131-2901461</f>
        <v>9196516</v>
      </c>
      <c r="I53" s="29">
        <f>1027700+176108-91528</f>
        <v>1112280</v>
      </c>
      <c r="J53" s="24">
        <f t="shared" si="8"/>
        <v>614063</v>
      </c>
      <c r="K53" s="29">
        <v>0</v>
      </c>
      <c r="L53" s="29">
        <f>188605-100000</f>
        <v>88605</v>
      </c>
      <c r="M53" s="29">
        <v>0</v>
      </c>
      <c r="N53" s="29">
        <v>0</v>
      </c>
      <c r="O53" s="29">
        <f>458591-1473</f>
        <v>457118</v>
      </c>
      <c r="P53" s="29">
        <v>68340</v>
      </c>
      <c r="Q53" s="24">
        <f t="shared" si="9"/>
        <v>114062</v>
      </c>
      <c r="R53" s="29">
        <f>1555-13</f>
        <v>1542</v>
      </c>
      <c r="S53" s="29">
        <v>112520</v>
      </c>
      <c r="T53" s="29">
        <v>0</v>
      </c>
      <c r="U53" s="29">
        <f>117596-74996</f>
        <v>42600</v>
      </c>
      <c r="V53" s="24">
        <f>SUM(W53:AD53)</f>
        <v>96931</v>
      </c>
      <c r="W53" s="29">
        <v>7939</v>
      </c>
      <c r="X53" s="29">
        <f>51661+267</f>
        <v>51928</v>
      </c>
      <c r="Y53" s="29">
        <f>27229+1473</f>
        <v>28702</v>
      </c>
      <c r="Z53" s="29">
        <v>5587</v>
      </c>
      <c r="AA53" s="29">
        <v>2775</v>
      </c>
      <c r="AB53" s="29">
        <v>0</v>
      </c>
      <c r="AC53" s="29">
        <v>0</v>
      </c>
      <c r="AD53" s="29">
        <v>0</v>
      </c>
      <c r="AE53" s="24">
        <v>0</v>
      </c>
      <c r="AF53" s="24">
        <f>SUM(AG53:BC53)</f>
        <v>521389</v>
      </c>
      <c r="AG53" s="24">
        <v>0</v>
      </c>
      <c r="AH53" s="24"/>
      <c r="AI53" s="29">
        <v>2046</v>
      </c>
      <c r="AJ53" s="29">
        <v>162960</v>
      </c>
      <c r="AK53" s="29">
        <v>0</v>
      </c>
      <c r="AL53" s="29">
        <v>0</v>
      </c>
      <c r="AM53" s="29">
        <f>761-318</f>
        <v>443</v>
      </c>
      <c r="AN53" s="29">
        <v>0</v>
      </c>
      <c r="AO53" s="29">
        <v>12642</v>
      </c>
      <c r="AP53" s="29">
        <f>57424-16848</f>
        <v>40576</v>
      </c>
      <c r="AQ53" s="29">
        <v>0</v>
      </c>
      <c r="AR53" s="29">
        <v>0</v>
      </c>
      <c r="AS53" s="29"/>
      <c r="AT53" s="29">
        <f>296828-31496</f>
        <v>265332</v>
      </c>
      <c r="AU53" s="29">
        <v>37390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/>
      <c r="BC53" s="29">
        <v>0</v>
      </c>
      <c r="BD53" s="24">
        <f>SUM(BE53+BI53+BM53+BN53+BO53+BR53)</f>
        <v>0</v>
      </c>
      <c r="BE53" s="24">
        <f>SUM(BF53:BH53)</f>
        <v>0</v>
      </c>
      <c r="BF53" s="24">
        <v>0</v>
      </c>
      <c r="BG53" s="24">
        <v>0</v>
      </c>
      <c r="BH53" s="24">
        <v>0</v>
      </c>
      <c r="BI53" s="24">
        <f>SUM(BL53:BL53)</f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f t="shared" si="10"/>
        <v>0</v>
      </c>
      <c r="BP53" s="24">
        <v>0</v>
      </c>
      <c r="BQ53" s="24">
        <v>0</v>
      </c>
      <c r="BR53" s="24">
        <f>SUM(BS53:CC53)</f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f>SUM(CE53+CV53)</f>
        <v>212227</v>
      </c>
      <c r="CE53" s="24">
        <f>SUM(CF53+CI53+CN53)</f>
        <v>212227</v>
      </c>
      <c r="CF53" s="24">
        <f t="shared" si="11"/>
        <v>212227</v>
      </c>
      <c r="CG53" s="24">
        <v>0</v>
      </c>
      <c r="CH53" s="29">
        <v>212227</v>
      </c>
      <c r="CI53" s="24">
        <f>SUM(CJ53:CM53)</f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f>SUM(CO53:CS53)</f>
        <v>0</v>
      </c>
      <c r="CO53" s="24">
        <v>0</v>
      </c>
      <c r="CP53" s="24">
        <v>0</v>
      </c>
      <c r="CQ53" s="24">
        <v>0</v>
      </c>
      <c r="CR53" s="24"/>
      <c r="CS53" s="24"/>
      <c r="CT53" s="24">
        <v>0</v>
      </c>
      <c r="CU53" s="24">
        <v>0</v>
      </c>
      <c r="CV53" s="24">
        <v>0</v>
      </c>
      <c r="CW53" s="24">
        <f t="shared" si="12"/>
        <v>0</v>
      </c>
      <c r="CX53" s="24">
        <f t="shared" si="13"/>
        <v>0</v>
      </c>
      <c r="CY53" s="24">
        <v>0</v>
      </c>
      <c r="CZ53" s="25">
        <v>0</v>
      </c>
    </row>
    <row r="54" spans="1:104" ht="15.6" x14ac:dyDescent="0.3">
      <c r="A54" s="20"/>
      <c r="B54" s="21" t="s">
        <v>129</v>
      </c>
      <c r="C54" s="21" t="s">
        <v>1</v>
      </c>
      <c r="D54" s="22" t="s">
        <v>130</v>
      </c>
      <c r="E54" s="23">
        <f t="shared" ref="E54:AL54" si="66">SUM(E55)</f>
        <v>28454560</v>
      </c>
      <c r="F54" s="24">
        <f t="shared" si="66"/>
        <v>27709046</v>
      </c>
      <c r="G54" s="24">
        <f t="shared" si="66"/>
        <v>27567423</v>
      </c>
      <c r="H54" s="24">
        <f t="shared" si="66"/>
        <v>22223689</v>
      </c>
      <c r="I54" s="24">
        <f t="shared" si="66"/>
        <v>3101909</v>
      </c>
      <c r="J54" s="24">
        <f t="shared" si="66"/>
        <v>787942</v>
      </c>
      <c r="K54" s="24">
        <f t="shared" si="66"/>
        <v>0</v>
      </c>
      <c r="L54" s="24">
        <f t="shared" si="66"/>
        <v>26376</v>
      </c>
      <c r="M54" s="24">
        <f t="shared" si="66"/>
        <v>0</v>
      </c>
      <c r="N54" s="24">
        <f t="shared" si="66"/>
        <v>0</v>
      </c>
      <c r="O54" s="24">
        <f t="shared" si="66"/>
        <v>472847</v>
      </c>
      <c r="P54" s="24">
        <f t="shared" si="66"/>
        <v>288719</v>
      </c>
      <c r="Q54" s="24">
        <f t="shared" si="66"/>
        <v>0</v>
      </c>
      <c r="R54" s="24">
        <f t="shared" si="66"/>
        <v>0</v>
      </c>
      <c r="S54" s="24">
        <f t="shared" si="66"/>
        <v>0</v>
      </c>
      <c r="T54" s="24">
        <f t="shared" si="66"/>
        <v>0</v>
      </c>
      <c r="U54" s="24">
        <f t="shared" si="66"/>
        <v>336105</v>
      </c>
      <c r="V54" s="24">
        <f t="shared" si="66"/>
        <v>307182</v>
      </c>
      <c r="W54" s="24">
        <f t="shared" si="66"/>
        <v>54569</v>
      </c>
      <c r="X54" s="24">
        <f t="shared" si="66"/>
        <v>96648</v>
      </c>
      <c r="Y54" s="24">
        <f t="shared" si="66"/>
        <v>93782</v>
      </c>
      <c r="Z54" s="24">
        <f t="shared" si="66"/>
        <v>28592</v>
      </c>
      <c r="AA54" s="24">
        <f t="shared" si="66"/>
        <v>6222</v>
      </c>
      <c r="AB54" s="24">
        <f t="shared" si="66"/>
        <v>0</v>
      </c>
      <c r="AC54" s="24">
        <f t="shared" si="66"/>
        <v>0</v>
      </c>
      <c r="AD54" s="24">
        <f t="shared" si="66"/>
        <v>27369</v>
      </c>
      <c r="AE54" s="24">
        <f t="shared" si="66"/>
        <v>0</v>
      </c>
      <c r="AF54" s="24">
        <f t="shared" si="66"/>
        <v>810596</v>
      </c>
      <c r="AG54" s="24">
        <f t="shared" si="66"/>
        <v>0</v>
      </c>
      <c r="AH54" s="24">
        <f t="shared" si="66"/>
        <v>0</v>
      </c>
      <c r="AI54" s="24">
        <f t="shared" si="66"/>
        <v>12046</v>
      </c>
      <c r="AJ54" s="24">
        <f t="shared" si="66"/>
        <v>62152</v>
      </c>
      <c r="AK54" s="24">
        <f t="shared" si="66"/>
        <v>0</v>
      </c>
      <c r="AL54" s="24">
        <f t="shared" si="66"/>
        <v>23974</v>
      </c>
      <c r="AM54" s="24">
        <f t="shared" ref="AM54:CZ54" si="67">SUM(AM55)</f>
        <v>13400</v>
      </c>
      <c r="AN54" s="24">
        <f t="shared" si="67"/>
        <v>1514</v>
      </c>
      <c r="AO54" s="24">
        <f t="shared" si="67"/>
        <v>80630</v>
      </c>
      <c r="AP54" s="24">
        <f t="shared" si="67"/>
        <v>5238</v>
      </c>
      <c r="AQ54" s="24">
        <f t="shared" si="67"/>
        <v>0</v>
      </c>
      <c r="AR54" s="24"/>
      <c r="AS54" s="24">
        <f t="shared" si="67"/>
        <v>0</v>
      </c>
      <c r="AT54" s="24">
        <f t="shared" si="67"/>
        <v>599766</v>
      </c>
      <c r="AU54" s="24">
        <f t="shared" si="67"/>
        <v>0</v>
      </c>
      <c r="AV54" s="24"/>
      <c r="AW54" s="24"/>
      <c r="AX54" s="24">
        <f t="shared" si="67"/>
        <v>0</v>
      </c>
      <c r="AY54" s="24">
        <f t="shared" si="67"/>
        <v>0</v>
      </c>
      <c r="AZ54" s="24">
        <f t="shared" si="67"/>
        <v>0</v>
      </c>
      <c r="BA54" s="24">
        <f t="shared" si="67"/>
        <v>0</v>
      </c>
      <c r="BB54" s="24"/>
      <c r="BC54" s="24">
        <f t="shared" si="67"/>
        <v>11876</v>
      </c>
      <c r="BD54" s="24">
        <f t="shared" si="67"/>
        <v>141623</v>
      </c>
      <c r="BE54" s="24">
        <f t="shared" si="67"/>
        <v>0</v>
      </c>
      <c r="BF54" s="24">
        <f t="shared" si="67"/>
        <v>0</v>
      </c>
      <c r="BG54" s="24">
        <f t="shared" si="67"/>
        <v>0</v>
      </c>
      <c r="BH54" s="24">
        <f t="shared" si="67"/>
        <v>0</v>
      </c>
      <c r="BI54" s="24">
        <f t="shared" si="67"/>
        <v>0</v>
      </c>
      <c r="BJ54" s="24">
        <f t="shared" si="67"/>
        <v>0</v>
      </c>
      <c r="BK54" s="24">
        <f t="shared" si="67"/>
        <v>0</v>
      </c>
      <c r="BL54" s="24">
        <f t="shared" si="67"/>
        <v>0</v>
      </c>
      <c r="BM54" s="24">
        <f t="shared" si="67"/>
        <v>0</v>
      </c>
      <c r="BN54" s="24">
        <f t="shared" si="67"/>
        <v>0</v>
      </c>
      <c r="BO54" s="24">
        <f t="shared" si="67"/>
        <v>0</v>
      </c>
      <c r="BP54" s="24">
        <f t="shared" si="67"/>
        <v>0</v>
      </c>
      <c r="BQ54" s="24">
        <f t="shared" si="67"/>
        <v>0</v>
      </c>
      <c r="BR54" s="24">
        <f t="shared" ref="AM54:CZ56" si="68">SUM(BR55)</f>
        <v>141623</v>
      </c>
      <c r="BS54" s="24">
        <f t="shared" si="67"/>
        <v>0</v>
      </c>
      <c r="BT54" s="24">
        <f t="shared" si="67"/>
        <v>0</v>
      </c>
      <c r="BU54" s="24">
        <f t="shared" si="67"/>
        <v>0</v>
      </c>
      <c r="BV54" s="24">
        <f t="shared" si="67"/>
        <v>0</v>
      </c>
      <c r="BW54" s="24">
        <f t="shared" si="67"/>
        <v>0</v>
      </c>
      <c r="BX54" s="24">
        <f t="shared" si="67"/>
        <v>0</v>
      </c>
      <c r="BY54" s="24">
        <f t="shared" si="67"/>
        <v>0</v>
      </c>
      <c r="BZ54" s="24">
        <f t="shared" si="67"/>
        <v>0</v>
      </c>
      <c r="CA54" s="24">
        <f t="shared" si="67"/>
        <v>0</v>
      </c>
      <c r="CB54" s="24">
        <f t="shared" si="67"/>
        <v>0</v>
      </c>
      <c r="CC54" s="24">
        <f t="shared" si="67"/>
        <v>141623</v>
      </c>
      <c r="CD54" s="24">
        <f t="shared" si="67"/>
        <v>745514</v>
      </c>
      <c r="CE54" s="24">
        <f t="shared" si="67"/>
        <v>745514</v>
      </c>
      <c r="CF54" s="24">
        <f t="shared" si="67"/>
        <v>611131</v>
      </c>
      <c r="CG54" s="24">
        <f t="shared" si="67"/>
        <v>0</v>
      </c>
      <c r="CH54" s="24">
        <f t="shared" si="67"/>
        <v>611131</v>
      </c>
      <c r="CI54" s="24">
        <f t="shared" si="67"/>
        <v>0</v>
      </c>
      <c r="CJ54" s="24">
        <f t="shared" si="67"/>
        <v>0</v>
      </c>
      <c r="CK54" s="24">
        <f t="shared" si="67"/>
        <v>0</v>
      </c>
      <c r="CL54" s="24">
        <f t="shared" si="67"/>
        <v>0</v>
      </c>
      <c r="CM54" s="24">
        <f t="shared" si="67"/>
        <v>0</v>
      </c>
      <c r="CN54" s="24">
        <f t="shared" si="67"/>
        <v>134383</v>
      </c>
      <c r="CO54" s="24">
        <f t="shared" si="67"/>
        <v>0</v>
      </c>
      <c r="CP54" s="24">
        <f t="shared" si="67"/>
        <v>0</v>
      </c>
      <c r="CQ54" s="24">
        <f t="shared" si="67"/>
        <v>134383</v>
      </c>
      <c r="CR54" s="24"/>
      <c r="CS54" s="24"/>
      <c r="CT54" s="24">
        <f t="shared" si="67"/>
        <v>0</v>
      </c>
      <c r="CU54" s="24">
        <f t="shared" si="67"/>
        <v>0</v>
      </c>
      <c r="CV54" s="24">
        <f t="shared" si="67"/>
        <v>0</v>
      </c>
      <c r="CW54" s="24">
        <f t="shared" si="67"/>
        <v>0</v>
      </c>
      <c r="CX54" s="24">
        <f t="shared" si="67"/>
        <v>0</v>
      </c>
      <c r="CY54" s="24">
        <f t="shared" si="67"/>
        <v>0</v>
      </c>
      <c r="CZ54" s="25">
        <f t="shared" si="67"/>
        <v>0</v>
      </c>
    </row>
    <row r="55" spans="1:104" ht="31.2" x14ac:dyDescent="0.3">
      <c r="A55" s="26"/>
      <c r="B55" s="27" t="s">
        <v>1</v>
      </c>
      <c r="C55" s="27" t="s">
        <v>131</v>
      </c>
      <c r="D55" s="28" t="s">
        <v>132</v>
      </c>
      <c r="E55" s="23">
        <f>SUM(F55+CD55+CW55)</f>
        <v>28454560</v>
      </c>
      <c r="F55" s="24">
        <f>SUM(G55+BD55)</f>
        <v>27709046</v>
      </c>
      <c r="G55" s="24">
        <f>SUM(H55+I55+J55+Q55+T55+U55+V55+AF55+AE55)</f>
        <v>27567423</v>
      </c>
      <c r="H55" s="29">
        <f>20908794+2814895-1500000</f>
        <v>22223689</v>
      </c>
      <c r="I55" s="29">
        <f>2450511+651398</f>
        <v>3101909</v>
      </c>
      <c r="J55" s="24">
        <f t="shared" si="8"/>
        <v>787942</v>
      </c>
      <c r="K55" s="29">
        <v>0</v>
      </c>
      <c r="L55" s="29">
        <f>28535-2159</f>
        <v>26376</v>
      </c>
      <c r="M55" s="29">
        <v>0</v>
      </c>
      <c r="N55" s="29">
        <v>0</v>
      </c>
      <c r="O55" s="29">
        <v>472847</v>
      </c>
      <c r="P55" s="29">
        <v>288719</v>
      </c>
      <c r="Q55" s="24">
        <f t="shared" si="9"/>
        <v>0</v>
      </c>
      <c r="R55" s="29">
        <v>0</v>
      </c>
      <c r="S55" s="29">
        <v>0</v>
      </c>
      <c r="T55" s="29">
        <v>0</v>
      </c>
      <c r="U55" s="29">
        <f>522414-186309</f>
        <v>336105</v>
      </c>
      <c r="V55" s="24">
        <f>SUM(W55:AD55)</f>
        <v>307182</v>
      </c>
      <c r="W55" s="29">
        <v>54569</v>
      </c>
      <c r="X55" s="29">
        <f>96151+497</f>
        <v>96648</v>
      </c>
      <c r="Y55" s="29">
        <v>93782</v>
      </c>
      <c r="Z55" s="29">
        <v>28592</v>
      </c>
      <c r="AA55" s="29">
        <v>6222</v>
      </c>
      <c r="AB55" s="29">
        <v>0</v>
      </c>
      <c r="AC55" s="29">
        <v>0</v>
      </c>
      <c r="AD55" s="29">
        <f>25852+1517</f>
        <v>27369</v>
      </c>
      <c r="AE55" s="24"/>
      <c r="AF55" s="24">
        <f>SUM(AG55:BC55)</f>
        <v>810596</v>
      </c>
      <c r="AG55" s="24">
        <v>0</v>
      </c>
      <c r="AH55" s="24"/>
      <c r="AI55" s="29">
        <v>12046</v>
      </c>
      <c r="AJ55" s="29">
        <v>62152</v>
      </c>
      <c r="AK55" s="29">
        <v>0</v>
      </c>
      <c r="AL55" s="29">
        <f>24338-364</f>
        <v>23974</v>
      </c>
      <c r="AM55" s="29">
        <v>13400</v>
      </c>
      <c r="AN55" s="29">
        <v>1514</v>
      </c>
      <c r="AO55" s="29">
        <v>80630</v>
      </c>
      <c r="AP55" s="29">
        <v>5238</v>
      </c>
      <c r="AQ55" s="29">
        <f>19-19</f>
        <v>0</v>
      </c>
      <c r="AR55" s="29">
        <v>0</v>
      </c>
      <c r="AS55" s="29"/>
      <c r="AT55" s="29">
        <f>600172-406</f>
        <v>599766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/>
      <c r="BC55" s="29">
        <v>11876</v>
      </c>
      <c r="BD55" s="24">
        <f>SUM(BE55+BI55+BM55+BN55+BO55+BR55)</f>
        <v>141623</v>
      </c>
      <c r="BE55" s="24">
        <f>SUM(BF55:BH55)</f>
        <v>0</v>
      </c>
      <c r="BF55" s="24">
        <v>0</v>
      </c>
      <c r="BG55" s="24">
        <v>0</v>
      </c>
      <c r="BH55" s="24">
        <v>0</v>
      </c>
      <c r="BI55" s="24">
        <f>SUM(BL55:BL55)</f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f t="shared" si="10"/>
        <v>0</v>
      </c>
      <c r="BP55" s="24">
        <v>0</v>
      </c>
      <c r="BQ55" s="24">
        <v>0</v>
      </c>
      <c r="BR55" s="24">
        <f>SUM(BS55:CC55)</f>
        <v>141623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141623</v>
      </c>
      <c r="CD55" s="24">
        <f>SUM(CE55+CV55)</f>
        <v>745514</v>
      </c>
      <c r="CE55" s="24">
        <f>SUM(CF55+CI55+CN55)</f>
        <v>745514</v>
      </c>
      <c r="CF55" s="24">
        <f t="shared" si="11"/>
        <v>611131</v>
      </c>
      <c r="CG55" s="24">
        <v>0</v>
      </c>
      <c r="CH55" s="29">
        <v>611131</v>
      </c>
      <c r="CI55" s="24">
        <f>SUM(CJ55:CM55)</f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f>SUM(CO55:CS55)</f>
        <v>134383</v>
      </c>
      <c r="CO55" s="24"/>
      <c r="CP55" s="24"/>
      <c r="CQ55" s="29">
        <f>135202-819</f>
        <v>134383</v>
      </c>
      <c r="CR55" s="24"/>
      <c r="CS55" s="24"/>
      <c r="CT55" s="24"/>
      <c r="CU55" s="24"/>
      <c r="CV55" s="24">
        <v>0</v>
      </c>
      <c r="CW55" s="24">
        <f t="shared" si="12"/>
        <v>0</v>
      </c>
      <c r="CX55" s="24">
        <f t="shared" si="13"/>
        <v>0</v>
      </c>
      <c r="CY55" s="24">
        <v>0</v>
      </c>
      <c r="CZ55" s="25">
        <v>0</v>
      </c>
    </row>
    <row r="56" spans="1:104" ht="15.6" x14ac:dyDescent="0.3">
      <c r="A56" s="20"/>
      <c r="B56" s="21" t="s">
        <v>133</v>
      </c>
      <c r="C56" s="21" t="s">
        <v>1</v>
      </c>
      <c r="D56" s="22" t="s">
        <v>134</v>
      </c>
      <c r="E56" s="23">
        <f t="shared" ref="E56:AL56" si="69">SUM(E57)</f>
        <v>5415019</v>
      </c>
      <c r="F56" s="24">
        <f t="shared" si="69"/>
        <v>5361019</v>
      </c>
      <c r="G56" s="24">
        <f t="shared" si="69"/>
        <v>5345414</v>
      </c>
      <c r="H56" s="24">
        <f t="shared" si="69"/>
        <v>4193572</v>
      </c>
      <c r="I56" s="24">
        <f t="shared" si="69"/>
        <v>464938</v>
      </c>
      <c r="J56" s="24">
        <f t="shared" si="69"/>
        <v>366600</v>
      </c>
      <c r="K56" s="24">
        <f t="shared" si="69"/>
        <v>1600</v>
      </c>
      <c r="L56" s="24">
        <f t="shared" si="69"/>
        <v>0</v>
      </c>
      <c r="M56" s="24">
        <f t="shared" si="69"/>
        <v>0</v>
      </c>
      <c r="N56" s="24">
        <f t="shared" si="69"/>
        <v>0</v>
      </c>
      <c r="O56" s="24">
        <f t="shared" si="69"/>
        <v>290000</v>
      </c>
      <c r="P56" s="24">
        <f t="shared" si="69"/>
        <v>75000</v>
      </c>
      <c r="Q56" s="24">
        <f t="shared" si="69"/>
        <v>0</v>
      </c>
      <c r="R56" s="24">
        <f t="shared" si="69"/>
        <v>0</v>
      </c>
      <c r="S56" s="24">
        <f t="shared" si="69"/>
        <v>0</v>
      </c>
      <c r="T56" s="24">
        <f t="shared" si="69"/>
        <v>0</v>
      </c>
      <c r="U56" s="24">
        <f t="shared" si="69"/>
        <v>93527</v>
      </c>
      <c r="V56" s="24">
        <f t="shared" si="69"/>
        <v>59423</v>
      </c>
      <c r="W56" s="24">
        <f t="shared" si="69"/>
        <v>21000</v>
      </c>
      <c r="X56" s="24">
        <f t="shared" si="69"/>
        <v>0</v>
      </c>
      <c r="Y56" s="24">
        <f t="shared" si="69"/>
        <v>27846</v>
      </c>
      <c r="Z56" s="24">
        <f t="shared" si="69"/>
        <v>3054</v>
      </c>
      <c r="AA56" s="24">
        <f t="shared" si="69"/>
        <v>0</v>
      </c>
      <c r="AB56" s="24">
        <f t="shared" si="69"/>
        <v>0</v>
      </c>
      <c r="AC56" s="24">
        <f t="shared" si="69"/>
        <v>0</v>
      </c>
      <c r="AD56" s="24">
        <f t="shared" si="69"/>
        <v>7523</v>
      </c>
      <c r="AE56" s="24">
        <f t="shared" si="69"/>
        <v>0</v>
      </c>
      <c r="AF56" s="24">
        <f t="shared" si="69"/>
        <v>167354</v>
      </c>
      <c r="AG56" s="24">
        <f t="shared" si="69"/>
        <v>0</v>
      </c>
      <c r="AH56" s="24">
        <f t="shared" si="69"/>
        <v>0</v>
      </c>
      <c r="AI56" s="24">
        <f t="shared" si="69"/>
        <v>10000</v>
      </c>
      <c r="AJ56" s="24">
        <f t="shared" si="69"/>
        <v>31511</v>
      </c>
      <c r="AK56" s="24">
        <f t="shared" si="69"/>
        <v>0</v>
      </c>
      <c r="AL56" s="24">
        <f t="shared" si="69"/>
        <v>10000</v>
      </c>
      <c r="AM56" s="24">
        <f t="shared" si="68"/>
        <v>0</v>
      </c>
      <c r="AN56" s="24">
        <f t="shared" si="68"/>
        <v>84</v>
      </c>
      <c r="AO56" s="24">
        <f t="shared" si="68"/>
        <v>0</v>
      </c>
      <c r="AP56" s="24">
        <f t="shared" si="68"/>
        <v>20956</v>
      </c>
      <c r="AQ56" s="24">
        <f t="shared" si="68"/>
        <v>0</v>
      </c>
      <c r="AR56" s="24"/>
      <c r="AS56" s="24">
        <f t="shared" si="68"/>
        <v>0</v>
      </c>
      <c r="AT56" s="24">
        <f t="shared" si="68"/>
        <v>29803</v>
      </c>
      <c r="AU56" s="24">
        <f t="shared" si="68"/>
        <v>0</v>
      </c>
      <c r="AV56" s="24"/>
      <c r="AW56" s="24"/>
      <c r="AX56" s="24">
        <f t="shared" si="68"/>
        <v>0</v>
      </c>
      <c r="AY56" s="24">
        <f t="shared" si="68"/>
        <v>0</v>
      </c>
      <c r="AZ56" s="24">
        <f t="shared" si="68"/>
        <v>0</v>
      </c>
      <c r="BA56" s="24">
        <f t="shared" si="68"/>
        <v>45000</v>
      </c>
      <c r="BB56" s="24"/>
      <c r="BC56" s="24">
        <f t="shared" si="68"/>
        <v>20000</v>
      </c>
      <c r="BD56" s="24">
        <f t="shared" si="68"/>
        <v>15605</v>
      </c>
      <c r="BE56" s="24">
        <f t="shared" si="68"/>
        <v>0</v>
      </c>
      <c r="BF56" s="24">
        <f t="shared" si="68"/>
        <v>0</v>
      </c>
      <c r="BG56" s="24">
        <f t="shared" si="68"/>
        <v>0</v>
      </c>
      <c r="BH56" s="24">
        <f t="shared" si="68"/>
        <v>0</v>
      </c>
      <c r="BI56" s="24">
        <f t="shared" si="68"/>
        <v>0</v>
      </c>
      <c r="BJ56" s="24">
        <f t="shared" si="68"/>
        <v>0</v>
      </c>
      <c r="BK56" s="24">
        <f t="shared" si="68"/>
        <v>0</v>
      </c>
      <c r="BL56" s="24">
        <f t="shared" si="68"/>
        <v>0</v>
      </c>
      <c r="BM56" s="24">
        <f t="shared" si="68"/>
        <v>0</v>
      </c>
      <c r="BN56" s="24">
        <f t="shared" si="68"/>
        <v>0</v>
      </c>
      <c r="BO56" s="24">
        <f t="shared" si="68"/>
        <v>0</v>
      </c>
      <c r="BP56" s="24">
        <f t="shared" si="68"/>
        <v>0</v>
      </c>
      <c r="BQ56" s="24">
        <f t="shared" si="68"/>
        <v>0</v>
      </c>
      <c r="BR56" s="24">
        <f t="shared" si="68"/>
        <v>15605</v>
      </c>
      <c r="BS56" s="24">
        <f t="shared" si="68"/>
        <v>0</v>
      </c>
      <c r="BT56" s="24">
        <f t="shared" si="68"/>
        <v>0</v>
      </c>
      <c r="BU56" s="24">
        <f t="shared" si="68"/>
        <v>0</v>
      </c>
      <c r="BV56" s="24">
        <f t="shared" si="68"/>
        <v>0</v>
      </c>
      <c r="BW56" s="24">
        <f t="shared" si="68"/>
        <v>0</v>
      </c>
      <c r="BX56" s="24">
        <f t="shared" si="68"/>
        <v>0</v>
      </c>
      <c r="BY56" s="24">
        <f t="shared" si="68"/>
        <v>0</v>
      </c>
      <c r="BZ56" s="24">
        <f t="shared" si="68"/>
        <v>0</v>
      </c>
      <c r="CA56" s="24">
        <f t="shared" si="68"/>
        <v>0</v>
      </c>
      <c r="CB56" s="24">
        <f t="shared" si="68"/>
        <v>15605</v>
      </c>
      <c r="CC56" s="24">
        <f t="shared" si="68"/>
        <v>0</v>
      </c>
      <c r="CD56" s="24">
        <f t="shared" si="68"/>
        <v>54000</v>
      </c>
      <c r="CE56" s="24">
        <f t="shared" si="68"/>
        <v>54000</v>
      </c>
      <c r="CF56" s="24">
        <f t="shared" si="68"/>
        <v>54000</v>
      </c>
      <c r="CG56" s="24">
        <f t="shared" si="68"/>
        <v>0</v>
      </c>
      <c r="CH56" s="24">
        <f t="shared" si="68"/>
        <v>54000</v>
      </c>
      <c r="CI56" s="24">
        <f t="shared" si="68"/>
        <v>0</v>
      </c>
      <c r="CJ56" s="24">
        <f t="shared" si="68"/>
        <v>0</v>
      </c>
      <c r="CK56" s="24">
        <f t="shared" si="68"/>
        <v>0</v>
      </c>
      <c r="CL56" s="24">
        <f t="shared" si="68"/>
        <v>0</v>
      </c>
      <c r="CM56" s="24">
        <f t="shared" si="68"/>
        <v>0</v>
      </c>
      <c r="CN56" s="24">
        <f t="shared" si="68"/>
        <v>0</v>
      </c>
      <c r="CO56" s="24">
        <f t="shared" si="68"/>
        <v>0</v>
      </c>
      <c r="CP56" s="24">
        <f t="shared" si="68"/>
        <v>0</v>
      </c>
      <c r="CQ56" s="24">
        <f t="shared" si="68"/>
        <v>0</v>
      </c>
      <c r="CR56" s="24"/>
      <c r="CS56" s="24"/>
      <c r="CT56" s="24">
        <f t="shared" si="68"/>
        <v>0</v>
      </c>
      <c r="CU56" s="24">
        <f t="shared" si="68"/>
        <v>0</v>
      </c>
      <c r="CV56" s="24">
        <f t="shared" si="68"/>
        <v>0</v>
      </c>
      <c r="CW56" s="24">
        <f t="shared" si="68"/>
        <v>0</v>
      </c>
      <c r="CX56" s="24">
        <f t="shared" si="68"/>
        <v>0</v>
      </c>
      <c r="CY56" s="24">
        <f t="shared" si="68"/>
        <v>0</v>
      </c>
      <c r="CZ56" s="25">
        <f t="shared" si="68"/>
        <v>0</v>
      </c>
    </row>
    <row r="57" spans="1:104" ht="15.6" x14ac:dyDescent="0.3">
      <c r="A57" s="26"/>
      <c r="B57" s="27" t="s">
        <v>1</v>
      </c>
      <c r="C57" s="27" t="s">
        <v>135</v>
      </c>
      <c r="D57" s="28" t="s">
        <v>136</v>
      </c>
      <c r="E57" s="23">
        <f>SUM(F57+CD57+CW57)</f>
        <v>5415019</v>
      </c>
      <c r="F57" s="24">
        <f>SUM(G57+BD57)</f>
        <v>5361019</v>
      </c>
      <c r="G57" s="24">
        <f>SUM(H57+I57+J57+Q57+T57+U57+V57+AF57+AE57)</f>
        <v>5345414</v>
      </c>
      <c r="H57" s="29">
        <f>5118493+360079-1285000</f>
        <v>4193572</v>
      </c>
      <c r="I57" s="29">
        <f>387864+77074</f>
        <v>464938</v>
      </c>
      <c r="J57" s="24">
        <f t="shared" si="8"/>
        <v>366600</v>
      </c>
      <c r="K57" s="29">
        <v>1600</v>
      </c>
      <c r="L57" s="24"/>
      <c r="M57" s="24">
        <v>0</v>
      </c>
      <c r="N57" s="24">
        <v>0</v>
      </c>
      <c r="O57" s="29">
        <v>290000</v>
      </c>
      <c r="P57" s="29">
        <v>75000</v>
      </c>
      <c r="Q57" s="24">
        <f t="shared" si="9"/>
        <v>0</v>
      </c>
      <c r="R57" s="24">
        <v>0</v>
      </c>
      <c r="S57" s="24">
        <v>0</v>
      </c>
      <c r="T57" s="24">
        <v>0</v>
      </c>
      <c r="U57" s="29">
        <f>158527-65000</f>
        <v>93527</v>
      </c>
      <c r="V57" s="24">
        <f>SUM(W57:AD57)</f>
        <v>59423</v>
      </c>
      <c r="W57" s="29">
        <v>21000</v>
      </c>
      <c r="X57" s="29">
        <v>0</v>
      </c>
      <c r="Y57" s="29">
        <f>28328-482</f>
        <v>27846</v>
      </c>
      <c r="Z57" s="29">
        <f>3529-475</f>
        <v>3054</v>
      </c>
      <c r="AA57" s="29">
        <v>0</v>
      </c>
      <c r="AB57" s="29">
        <v>0</v>
      </c>
      <c r="AC57" s="29">
        <v>0</v>
      </c>
      <c r="AD57" s="29">
        <f>6563+3+957</f>
        <v>7523</v>
      </c>
      <c r="AE57" s="24"/>
      <c r="AF57" s="24">
        <f>SUM(AG57:BC57)</f>
        <v>167354</v>
      </c>
      <c r="AG57" s="24">
        <v>0</v>
      </c>
      <c r="AH57" s="24"/>
      <c r="AI57" s="29">
        <v>10000</v>
      </c>
      <c r="AJ57" s="29">
        <v>31511</v>
      </c>
      <c r="AK57" s="29">
        <v>0</v>
      </c>
      <c r="AL57" s="29">
        <v>10000</v>
      </c>
      <c r="AM57" s="29">
        <v>0</v>
      </c>
      <c r="AN57" s="29">
        <f>41000-40916</f>
        <v>84</v>
      </c>
      <c r="AO57" s="29">
        <v>0</v>
      </c>
      <c r="AP57" s="29">
        <f>33756-12800</f>
        <v>20956</v>
      </c>
      <c r="AQ57" s="29">
        <v>0</v>
      </c>
      <c r="AR57" s="29">
        <v>0</v>
      </c>
      <c r="AS57" s="29"/>
      <c r="AT57" s="29">
        <f>89803-60000</f>
        <v>29803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/>
      <c r="BA57" s="29">
        <v>45000</v>
      </c>
      <c r="BB57" s="29"/>
      <c r="BC57" s="29">
        <v>20000</v>
      </c>
      <c r="BD57" s="24">
        <f>SUM(BE57+BI57+BM57+BN57+BO57+BR57)</f>
        <v>15605</v>
      </c>
      <c r="BE57" s="24">
        <f>SUM(BF57:BH57)</f>
        <v>0</v>
      </c>
      <c r="BF57" s="24">
        <v>0</v>
      </c>
      <c r="BG57" s="24">
        <v>0</v>
      </c>
      <c r="BH57" s="24">
        <v>0</v>
      </c>
      <c r="BI57" s="24">
        <f>SUM(BL57:BL57)</f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f t="shared" si="10"/>
        <v>0</v>
      </c>
      <c r="BP57" s="24">
        <v>0</v>
      </c>
      <c r="BQ57" s="24">
        <v>0</v>
      </c>
      <c r="BR57" s="24">
        <f>SUM(BS57:CC57)</f>
        <v>15605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f>27605-12000</f>
        <v>15605</v>
      </c>
      <c r="CC57" s="24">
        <v>0</v>
      </c>
      <c r="CD57" s="24">
        <f>SUM(CE57+CV57)</f>
        <v>54000</v>
      </c>
      <c r="CE57" s="24">
        <f>SUM(CF57+CI57+CN57)</f>
        <v>54000</v>
      </c>
      <c r="CF57" s="24">
        <f t="shared" si="11"/>
        <v>54000</v>
      </c>
      <c r="CG57" s="24">
        <v>0</v>
      </c>
      <c r="CH57" s="29">
        <f>64000-10000</f>
        <v>54000</v>
      </c>
      <c r="CI57" s="24">
        <f>SUM(CJ57:CM57)</f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f>SUM(CO57:CS57)</f>
        <v>0</v>
      </c>
      <c r="CO57" s="24">
        <v>0</v>
      </c>
      <c r="CP57" s="24">
        <v>0</v>
      </c>
      <c r="CQ57" s="24">
        <v>0</v>
      </c>
      <c r="CR57" s="24"/>
      <c r="CS57" s="24"/>
      <c r="CT57" s="24">
        <v>0</v>
      </c>
      <c r="CU57" s="24">
        <v>0</v>
      </c>
      <c r="CV57" s="24">
        <v>0</v>
      </c>
      <c r="CW57" s="24">
        <f t="shared" si="12"/>
        <v>0</v>
      </c>
      <c r="CX57" s="24">
        <f t="shared" si="13"/>
        <v>0</v>
      </c>
      <c r="CY57" s="24">
        <v>0</v>
      </c>
      <c r="CZ57" s="25">
        <v>0</v>
      </c>
    </row>
    <row r="58" spans="1:104" ht="15.6" x14ac:dyDescent="0.3">
      <c r="A58" s="20"/>
      <c r="B58" s="21" t="s">
        <v>137</v>
      </c>
      <c r="C58" s="21" t="s">
        <v>1</v>
      </c>
      <c r="D58" s="22" t="s">
        <v>138</v>
      </c>
      <c r="E58" s="23">
        <f t="shared" ref="E58:AL58" si="70">SUM(E59)</f>
        <v>643177</v>
      </c>
      <c r="F58" s="24">
        <f t="shared" si="70"/>
        <v>643177</v>
      </c>
      <c r="G58" s="24">
        <f t="shared" si="70"/>
        <v>643177</v>
      </c>
      <c r="H58" s="24">
        <f t="shared" si="70"/>
        <v>0</v>
      </c>
      <c r="I58" s="24">
        <f t="shared" si="70"/>
        <v>0</v>
      </c>
      <c r="J58" s="24">
        <f t="shared" si="70"/>
        <v>0</v>
      </c>
      <c r="K58" s="24">
        <f t="shared" si="70"/>
        <v>0</v>
      </c>
      <c r="L58" s="24">
        <f t="shared" si="70"/>
        <v>0</v>
      </c>
      <c r="M58" s="24">
        <f t="shared" si="70"/>
        <v>0</v>
      </c>
      <c r="N58" s="24">
        <f t="shared" si="70"/>
        <v>0</v>
      </c>
      <c r="O58" s="24">
        <f t="shared" si="70"/>
        <v>0</v>
      </c>
      <c r="P58" s="24">
        <f t="shared" si="70"/>
        <v>0</v>
      </c>
      <c r="Q58" s="24">
        <f t="shared" si="70"/>
        <v>0</v>
      </c>
      <c r="R58" s="24">
        <f t="shared" si="70"/>
        <v>0</v>
      </c>
      <c r="S58" s="24">
        <f t="shared" si="70"/>
        <v>0</v>
      </c>
      <c r="T58" s="24">
        <f t="shared" si="70"/>
        <v>0</v>
      </c>
      <c r="U58" s="24">
        <f t="shared" si="70"/>
        <v>0</v>
      </c>
      <c r="V58" s="24">
        <f t="shared" si="70"/>
        <v>0</v>
      </c>
      <c r="W58" s="24">
        <f t="shared" si="70"/>
        <v>0</v>
      </c>
      <c r="X58" s="24">
        <f t="shared" si="70"/>
        <v>0</v>
      </c>
      <c r="Y58" s="24">
        <f t="shared" si="70"/>
        <v>0</v>
      </c>
      <c r="Z58" s="24">
        <f t="shared" si="70"/>
        <v>0</v>
      </c>
      <c r="AA58" s="24">
        <f t="shared" si="70"/>
        <v>0</v>
      </c>
      <c r="AB58" s="24">
        <f t="shared" si="70"/>
        <v>0</v>
      </c>
      <c r="AC58" s="24">
        <f t="shared" si="70"/>
        <v>0</v>
      </c>
      <c r="AD58" s="24">
        <f t="shared" si="70"/>
        <v>0</v>
      </c>
      <c r="AE58" s="24">
        <f t="shared" si="70"/>
        <v>0</v>
      </c>
      <c r="AF58" s="24">
        <f t="shared" si="70"/>
        <v>643177</v>
      </c>
      <c r="AG58" s="24">
        <f t="shared" si="70"/>
        <v>0</v>
      </c>
      <c r="AH58" s="24">
        <f t="shared" si="70"/>
        <v>0</v>
      </c>
      <c r="AI58" s="24">
        <f t="shared" si="70"/>
        <v>0</v>
      </c>
      <c r="AJ58" s="24">
        <f t="shared" si="70"/>
        <v>0</v>
      </c>
      <c r="AK58" s="24">
        <f t="shared" si="70"/>
        <v>0</v>
      </c>
      <c r="AL58" s="24">
        <f t="shared" si="70"/>
        <v>0</v>
      </c>
      <c r="AM58" s="24">
        <f t="shared" ref="AM58:CZ58" si="71">SUM(AM59)</f>
        <v>0</v>
      </c>
      <c r="AN58" s="24">
        <f t="shared" si="71"/>
        <v>0</v>
      </c>
      <c r="AO58" s="24">
        <f t="shared" si="71"/>
        <v>0</v>
      </c>
      <c r="AP58" s="24">
        <f t="shared" si="71"/>
        <v>0</v>
      </c>
      <c r="AQ58" s="24">
        <f t="shared" si="71"/>
        <v>0</v>
      </c>
      <c r="AR58" s="24">
        <f t="shared" si="71"/>
        <v>0</v>
      </c>
      <c r="AS58" s="24">
        <f t="shared" si="71"/>
        <v>0</v>
      </c>
      <c r="AT58" s="24">
        <f t="shared" si="71"/>
        <v>0</v>
      </c>
      <c r="AU58" s="24">
        <f t="shared" si="71"/>
        <v>0</v>
      </c>
      <c r="AV58" s="24">
        <f t="shared" si="71"/>
        <v>643177</v>
      </c>
      <c r="AW58" s="24">
        <f t="shared" si="71"/>
        <v>0</v>
      </c>
      <c r="AX58" s="24">
        <f t="shared" si="71"/>
        <v>0</v>
      </c>
      <c r="AY58" s="24">
        <f t="shared" si="71"/>
        <v>0</v>
      </c>
      <c r="AZ58" s="24">
        <f t="shared" si="71"/>
        <v>0</v>
      </c>
      <c r="BA58" s="24">
        <f t="shared" si="71"/>
        <v>0</v>
      </c>
      <c r="BB58" s="24"/>
      <c r="BC58" s="24">
        <f t="shared" si="71"/>
        <v>0</v>
      </c>
      <c r="BD58" s="24">
        <f t="shared" si="71"/>
        <v>0</v>
      </c>
      <c r="BE58" s="24">
        <f t="shared" si="71"/>
        <v>0</v>
      </c>
      <c r="BF58" s="24">
        <f t="shared" si="71"/>
        <v>0</v>
      </c>
      <c r="BG58" s="24">
        <f t="shared" si="71"/>
        <v>0</v>
      </c>
      <c r="BH58" s="24">
        <f t="shared" si="71"/>
        <v>0</v>
      </c>
      <c r="BI58" s="24">
        <f t="shared" si="71"/>
        <v>0</v>
      </c>
      <c r="BJ58" s="24">
        <f t="shared" si="71"/>
        <v>0</v>
      </c>
      <c r="BK58" s="24">
        <f t="shared" si="71"/>
        <v>0</v>
      </c>
      <c r="BL58" s="24">
        <f t="shared" si="71"/>
        <v>0</v>
      </c>
      <c r="BM58" s="24">
        <f t="shared" si="71"/>
        <v>0</v>
      </c>
      <c r="BN58" s="24">
        <f t="shared" si="71"/>
        <v>0</v>
      </c>
      <c r="BO58" s="24">
        <f t="shared" si="71"/>
        <v>0</v>
      </c>
      <c r="BP58" s="24">
        <f t="shared" si="71"/>
        <v>0</v>
      </c>
      <c r="BQ58" s="24">
        <f t="shared" si="71"/>
        <v>0</v>
      </c>
      <c r="BR58" s="24">
        <f t="shared" si="71"/>
        <v>0</v>
      </c>
      <c r="BS58" s="24">
        <f t="shared" si="71"/>
        <v>0</v>
      </c>
      <c r="BT58" s="24">
        <f t="shared" si="71"/>
        <v>0</v>
      </c>
      <c r="BU58" s="24">
        <f t="shared" si="71"/>
        <v>0</v>
      </c>
      <c r="BV58" s="24">
        <f t="shared" si="71"/>
        <v>0</v>
      </c>
      <c r="BW58" s="24">
        <f t="shared" si="71"/>
        <v>0</v>
      </c>
      <c r="BX58" s="24">
        <f t="shared" si="71"/>
        <v>0</v>
      </c>
      <c r="BY58" s="24">
        <f t="shared" si="71"/>
        <v>0</v>
      </c>
      <c r="BZ58" s="24">
        <f t="shared" si="71"/>
        <v>0</v>
      </c>
      <c r="CA58" s="24">
        <f t="shared" si="71"/>
        <v>0</v>
      </c>
      <c r="CB58" s="24">
        <f t="shared" si="71"/>
        <v>0</v>
      </c>
      <c r="CC58" s="24">
        <f t="shared" si="71"/>
        <v>0</v>
      </c>
      <c r="CD58" s="24">
        <f t="shared" si="71"/>
        <v>0</v>
      </c>
      <c r="CE58" s="24">
        <f t="shared" si="71"/>
        <v>0</v>
      </c>
      <c r="CF58" s="24">
        <f t="shared" si="71"/>
        <v>0</v>
      </c>
      <c r="CG58" s="24">
        <f t="shared" si="71"/>
        <v>0</v>
      </c>
      <c r="CH58" s="24">
        <f t="shared" si="71"/>
        <v>0</v>
      </c>
      <c r="CI58" s="24">
        <f t="shared" si="71"/>
        <v>0</v>
      </c>
      <c r="CJ58" s="24">
        <f t="shared" si="71"/>
        <v>0</v>
      </c>
      <c r="CK58" s="24">
        <f t="shared" si="71"/>
        <v>0</v>
      </c>
      <c r="CL58" s="24">
        <f t="shared" si="71"/>
        <v>0</v>
      </c>
      <c r="CM58" s="24">
        <f t="shared" si="71"/>
        <v>0</v>
      </c>
      <c r="CN58" s="24">
        <f t="shared" si="71"/>
        <v>0</v>
      </c>
      <c r="CO58" s="24">
        <f t="shared" si="71"/>
        <v>0</v>
      </c>
      <c r="CP58" s="24">
        <f t="shared" si="71"/>
        <v>0</v>
      </c>
      <c r="CQ58" s="24">
        <f t="shared" si="71"/>
        <v>0</v>
      </c>
      <c r="CR58" s="24"/>
      <c r="CS58" s="24"/>
      <c r="CT58" s="24">
        <f t="shared" si="71"/>
        <v>0</v>
      </c>
      <c r="CU58" s="24">
        <f t="shared" si="71"/>
        <v>0</v>
      </c>
      <c r="CV58" s="24">
        <f t="shared" si="71"/>
        <v>0</v>
      </c>
      <c r="CW58" s="24">
        <f t="shared" si="71"/>
        <v>0</v>
      </c>
      <c r="CX58" s="24">
        <f t="shared" si="71"/>
        <v>0</v>
      </c>
      <c r="CY58" s="24">
        <f t="shared" si="71"/>
        <v>0</v>
      </c>
      <c r="CZ58" s="25">
        <f t="shared" si="71"/>
        <v>0</v>
      </c>
    </row>
    <row r="59" spans="1:104" ht="15.6" x14ac:dyDescent="0.3">
      <c r="A59" s="26" t="s">
        <v>1</v>
      </c>
      <c r="B59" s="27" t="s">
        <v>1</v>
      </c>
      <c r="C59" s="27" t="s">
        <v>131</v>
      </c>
      <c r="D59" s="28" t="s">
        <v>139</v>
      </c>
      <c r="E59" s="23">
        <f>SUM(F59+CD59+CW59)</f>
        <v>643177</v>
      </c>
      <c r="F59" s="24">
        <f>SUM(G59+BD59)</f>
        <v>643177</v>
      </c>
      <c r="G59" s="24">
        <f>SUM(H59+I59+J59+Q59+T59+U59+V59+AF59+AE59)</f>
        <v>643177</v>
      </c>
      <c r="H59" s="24">
        <v>0</v>
      </c>
      <c r="I59" s="24">
        <v>0</v>
      </c>
      <c r="J59" s="24">
        <f t="shared" si="8"/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f t="shared" si="9"/>
        <v>0</v>
      </c>
      <c r="R59" s="24">
        <v>0</v>
      </c>
      <c r="S59" s="24">
        <v>0</v>
      </c>
      <c r="T59" s="24">
        <v>0</v>
      </c>
      <c r="U59" s="24">
        <v>0</v>
      </c>
      <c r="V59" s="24">
        <f>SUM(W59:AD59)</f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f>SUM(AG59:BC59)</f>
        <v>643177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/>
      <c r="AS59" s="24">
        <v>0</v>
      </c>
      <c r="AT59" s="24">
        <v>0</v>
      </c>
      <c r="AU59" s="24">
        <v>0</v>
      </c>
      <c r="AV59" s="24">
        <f>524239+118938</f>
        <v>643177</v>
      </c>
      <c r="AW59" s="24"/>
      <c r="AX59" s="24">
        <v>0</v>
      </c>
      <c r="AY59" s="24">
        <v>0</v>
      </c>
      <c r="AZ59" s="24">
        <v>0</v>
      </c>
      <c r="BA59" s="24">
        <v>0</v>
      </c>
      <c r="BB59" s="24"/>
      <c r="BC59" s="24">
        <v>0</v>
      </c>
      <c r="BD59" s="24">
        <f>SUM(BE59+BI59+BM59+BN59+BO59+BR59)</f>
        <v>0</v>
      </c>
      <c r="BE59" s="24">
        <f>SUM(BF59:BH59)</f>
        <v>0</v>
      </c>
      <c r="BF59" s="24">
        <v>0</v>
      </c>
      <c r="BG59" s="24">
        <v>0</v>
      </c>
      <c r="BH59" s="24">
        <v>0</v>
      </c>
      <c r="BI59" s="24">
        <f>SUM(BL59:BL59)</f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f t="shared" si="10"/>
        <v>0</v>
      </c>
      <c r="BP59" s="24">
        <v>0</v>
      </c>
      <c r="BQ59" s="24">
        <v>0</v>
      </c>
      <c r="BR59" s="24">
        <f>SUM(BS59:CC59)</f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f>SUM(CE59+CV59)</f>
        <v>0</v>
      </c>
      <c r="CE59" s="24">
        <f>SUM(CF59+CI59+CN59)</f>
        <v>0</v>
      </c>
      <c r="CF59" s="24">
        <f t="shared" si="11"/>
        <v>0</v>
      </c>
      <c r="CG59" s="24">
        <v>0</v>
      </c>
      <c r="CH59" s="24">
        <v>0</v>
      </c>
      <c r="CI59" s="24">
        <f>SUM(CJ59:CM59)</f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f>SUM(CO59:CS59)</f>
        <v>0</v>
      </c>
      <c r="CO59" s="24">
        <v>0</v>
      </c>
      <c r="CP59" s="24">
        <v>0</v>
      </c>
      <c r="CQ59" s="24">
        <v>0</v>
      </c>
      <c r="CR59" s="24"/>
      <c r="CS59" s="24"/>
      <c r="CT59" s="24">
        <v>0</v>
      </c>
      <c r="CU59" s="24">
        <v>0</v>
      </c>
      <c r="CV59" s="24">
        <v>0</v>
      </c>
      <c r="CW59" s="24">
        <f t="shared" si="12"/>
        <v>0</v>
      </c>
      <c r="CX59" s="24">
        <f t="shared" si="13"/>
        <v>0</v>
      </c>
      <c r="CY59" s="24">
        <v>0</v>
      </c>
      <c r="CZ59" s="25">
        <v>0</v>
      </c>
    </row>
    <row r="60" spans="1:104" ht="15.6" x14ac:dyDescent="0.3">
      <c r="A60" s="31" t="s">
        <v>140</v>
      </c>
      <c r="B60" s="32" t="s">
        <v>1</v>
      </c>
      <c r="C60" s="32" t="s">
        <v>1</v>
      </c>
      <c r="D60" s="33" t="s">
        <v>141</v>
      </c>
      <c r="E60" s="34">
        <f>SUM(E61+E63)</f>
        <v>4698744</v>
      </c>
      <c r="F60" s="35">
        <f t="shared" ref="F60:BX60" si="72">SUM(F61+F63)</f>
        <v>4659654</v>
      </c>
      <c r="G60" s="35">
        <f t="shared" si="72"/>
        <v>4659654</v>
      </c>
      <c r="H60" s="35">
        <f t="shared" si="72"/>
        <v>2284299</v>
      </c>
      <c r="I60" s="35">
        <f t="shared" si="72"/>
        <v>571075</v>
      </c>
      <c r="J60" s="35">
        <f t="shared" si="72"/>
        <v>122972</v>
      </c>
      <c r="K60" s="35">
        <f t="shared" si="72"/>
        <v>0</v>
      </c>
      <c r="L60" s="35">
        <f t="shared" si="72"/>
        <v>0</v>
      </c>
      <c r="M60" s="35">
        <f t="shared" si="72"/>
        <v>0</v>
      </c>
      <c r="N60" s="35">
        <f t="shared" si="72"/>
        <v>0</v>
      </c>
      <c r="O60" s="35">
        <f t="shared" si="72"/>
        <v>92805</v>
      </c>
      <c r="P60" s="35">
        <f t="shared" si="72"/>
        <v>30167</v>
      </c>
      <c r="Q60" s="35">
        <f t="shared" si="72"/>
        <v>78964</v>
      </c>
      <c r="R60" s="35">
        <f t="shared" si="72"/>
        <v>0</v>
      </c>
      <c r="S60" s="35">
        <f t="shared" si="72"/>
        <v>78964</v>
      </c>
      <c r="T60" s="35">
        <f t="shared" si="72"/>
        <v>0</v>
      </c>
      <c r="U60" s="35">
        <f t="shared" si="72"/>
        <v>49632</v>
      </c>
      <c r="V60" s="35">
        <f t="shared" si="72"/>
        <v>557070</v>
      </c>
      <c r="W60" s="35">
        <f t="shared" si="72"/>
        <v>20106</v>
      </c>
      <c r="X60" s="35">
        <f t="shared" si="72"/>
        <v>0</v>
      </c>
      <c r="Y60" s="35">
        <f t="shared" si="72"/>
        <v>0</v>
      </c>
      <c r="Z60" s="35">
        <f t="shared" si="72"/>
        <v>0</v>
      </c>
      <c r="AA60" s="35">
        <f t="shared" si="72"/>
        <v>0</v>
      </c>
      <c r="AB60" s="35">
        <f t="shared" si="72"/>
        <v>536964</v>
      </c>
      <c r="AC60" s="35">
        <f t="shared" si="72"/>
        <v>0</v>
      </c>
      <c r="AD60" s="35">
        <f t="shared" si="72"/>
        <v>0</v>
      </c>
      <c r="AE60" s="35">
        <f t="shared" si="72"/>
        <v>0</v>
      </c>
      <c r="AF60" s="35">
        <f t="shared" si="72"/>
        <v>995642</v>
      </c>
      <c r="AG60" s="35">
        <f t="shared" si="72"/>
        <v>0</v>
      </c>
      <c r="AH60" s="35">
        <f t="shared" si="72"/>
        <v>0</v>
      </c>
      <c r="AI60" s="35">
        <f t="shared" si="72"/>
        <v>0</v>
      </c>
      <c r="AJ60" s="35">
        <f t="shared" si="72"/>
        <v>0</v>
      </c>
      <c r="AK60" s="35">
        <f t="shared" si="72"/>
        <v>0</v>
      </c>
      <c r="AL60" s="35">
        <f t="shared" si="72"/>
        <v>812</v>
      </c>
      <c r="AM60" s="35">
        <f t="shared" si="72"/>
        <v>0</v>
      </c>
      <c r="AN60" s="35">
        <f t="shared" si="72"/>
        <v>0</v>
      </c>
      <c r="AO60" s="35">
        <f t="shared" si="72"/>
        <v>0</v>
      </c>
      <c r="AP60" s="35">
        <f t="shared" si="72"/>
        <v>233021</v>
      </c>
      <c r="AQ60" s="35">
        <f t="shared" si="72"/>
        <v>0</v>
      </c>
      <c r="AR60" s="35"/>
      <c r="AS60" s="35">
        <f t="shared" si="72"/>
        <v>0</v>
      </c>
      <c r="AT60" s="35">
        <f t="shared" si="72"/>
        <v>0</v>
      </c>
      <c r="AU60" s="35">
        <f t="shared" si="72"/>
        <v>0</v>
      </c>
      <c r="AV60" s="35"/>
      <c r="AW60" s="35"/>
      <c r="AX60" s="35">
        <f t="shared" si="72"/>
        <v>0</v>
      </c>
      <c r="AY60" s="35">
        <f t="shared" si="72"/>
        <v>0</v>
      </c>
      <c r="AZ60" s="35">
        <f t="shared" si="72"/>
        <v>0</v>
      </c>
      <c r="BA60" s="35">
        <f t="shared" si="72"/>
        <v>0</v>
      </c>
      <c r="BB60" s="35"/>
      <c r="BC60" s="35">
        <f t="shared" si="72"/>
        <v>761809</v>
      </c>
      <c r="BD60" s="35">
        <f t="shared" si="72"/>
        <v>0</v>
      </c>
      <c r="BE60" s="35">
        <f t="shared" si="72"/>
        <v>0</v>
      </c>
      <c r="BF60" s="35">
        <f t="shared" si="72"/>
        <v>0</v>
      </c>
      <c r="BG60" s="35">
        <f t="shared" si="72"/>
        <v>0</v>
      </c>
      <c r="BH60" s="35">
        <f t="shared" si="72"/>
        <v>0</v>
      </c>
      <c r="BI60" s="35">
        <f t="shared" si="72"/>
        <v>0</v>
      </c>
      <c r="BJ60" s="35">
        <f t="shared" si="72"/>
        <v>0</v>
      </c>
      <c r="BK60" s="35">
        <f t="shared" ref="BK60" si="73">SUM(BK61+BK63)</f>
        <v>0</v>
      </c>
      <c r="BL60" s="35">
        <f t="shared" si="72"/>
        <v>0</v>
      </c>
      <c r="BM60" s="35">
        <f t="shared" si="72"/>
        <v>0</v>
      </c>
      <c r="BN60" s="35">
        <f t="shared" si="72"/>
        <v>0</v>
      </c>
      <c r="BO60" s="35">
        <f t="shared" si="72"/>
        <v>0</v>
      </c>
      <c r="BP60" s="35">
        <f t="shared" si="72"/>
        <v>0</v>
      </c>
      <c r="BQ60" s="35">
        <f t="shared" ref="BQ60" si="74">SUM(BQ61+BQ63)</f>
        <v>0</v>
      </c>
      <c r="BR60" s="35">
        <f t="shared" si="72"/>
        <v>0</v>
      </c>
      <c r="BS60" s="35">
        <f t="shared" si="72"/>
        <v>0</v>
      </c>
      <c r="BT60" s="35">
        <f t="shared" si="72"/>
        <v>0</v>
      </c>
      <c r="BU60" s="35">
        <f t="shared" si="72"/>
        <v>0</v>
      </c>
      <c r="BV60" s="35">
        <f t="shared" si="72"/>
        <v>0</v>
      </c>
      <c r="BW60" s="35">
        <f t="shared" si="72"/>
        <v>0</v>
      </c>
      <c r="BX60" s="35">
        <f t="shared" si="72"/>
        <v>0</v>
      </c>
      <c r="BY60" s="35">
        <f t="shared" ref="BY60:CZ60" si="75">SUM(BY61+BY63)</f>
        <v>0</v>
      </c>
      <c r="BZ60" s="35">
        <f t="shared" si="75"/>
        <v>0</v>
      </c>
      <c r="CA60" s="35">
        <f t="shared" si="75"/>
        <v>0</v>
      </c>
      <c r="CB60" s="35">
        <f t="shared" si="75"/>
        <v>0</v>
      </c>
      <c r="CC60" s="35">
        <f t="shared" si="75"/>
        <v>0</v>
      </c>
      <c r="CD60" s="35">
        <f t="shared" si="75"/>
        <v>39090</v>
      </c>
      <c r="CE60" s="35">
        <f t="shared" si="75"/>
        <v>39090</v>
      </c>
      <c r="CF60" s="35">
        <f t="shared" si="75"/>
        <v>39090</v>
      </c>
      <c r="CG60" s="35">
        <f t="shared" si="75"/>
        <v>0</v>
      </c>
      <c r="CH60" s="35">
        <f t="shared" si="75"/>
        <v>39090</v>
      </c>
      <c r="CI60" s="35">
        <f t="shared" si="75"/>
        <v>0</v>
      </c>
      <c r="CJ60" s="35">
        <f t="shared" si="75"/>
        <v>0</v>
      </c>
      <c r="CK60" s="35">
        <f t="shared" ref="CK60:CL60" si="76">SUM(CK61+CK63)</f>
        <v>0</v>
      </c>
      <c r="CL60" s="35">
        <f t="shared" si="76"/>
        <v>0</v>
      </c>
      <c r="CM60" s="35">
        <f t="shared" si="75"/>
        <v>0</v>
      </c>
      <c r="CN60" s="35">
        <f t="shared" si="75"/>
        <v>0</v>
      </c>
      <c r="CO60" s="35">
        <f t="shared" si="75"/>
        <v>0</v>
      </c>
      <c r="CP60" s="35">
        <f t="shared" ref="CP60" si="77">SUM(CP61+CP63)</f>
        <v>0</v>
      </c>
      <c r="CQ60" s="35">
        <f t="shared" si="75"/>
        <v>0</v>
      </c>
      <c r="CR60" s="35"/>
      <c r="CS60" s="35"/>
      <c r="CT60" s="35">
        <f t="shared" si="75"/>
        <v>0</v>
      </c>
      <c r="CU60" s="35">
        <f t="shared" si="75"/>
        <v>0</v>
      </c>
      <c r="CV60" s="35">
        <f t="shared" si="75"/>
        <v>0</v>
      </c>
      <c r="CW60" s="35">
        <f t="shared" si="75"/>
        <v>0</v>
      </c>
      <c r="CX60" s="35">
        <f t="shared" si="75"/>
        <v>0</v>
      </c>
      <c r="CY60" s="35">
        <f t="shared" si="75"/>
        <v>0</v>
      </c>
      <c r="CZ60" s="36">
        <f t="shared" si="75"/>
        <v>0</v>
      </c>
    </row>
    <row r="61" spans="1:104" ht="15.6" x14ac:dyDescent="0.3">
      <c r="A61" s="20"/>
      <c r="B61" s="21" t="s">
        <v>142</v>
      </c>
      <c r="C61" s="21" t="s">
        <v>1</v>
      </c>
      <c r="D61" s="22" t="s">
        <v>143</v>
      </c>
      <c r="E61" s="23">
        <f t="shared" ref="E61:BU61" si="78">SUM(E62)</f>
        <v>3948935</v>
      </c>
      <c r="F61" s="24">
        <f t="shared" si="78"/>
        <v>3909845</v>
      </c>
      <c r="G61" s="24">
        <f t="shared" si="78"/>
        <v>3909845</v>
      </c>
      <c r="H61" s="24">
        <f t="shared" si="78"/>
        <v>2284299</v>
      </c>
      <c r="I61" s="24">
        <f t="shared" si="78"/>
        <v>571075</v>
      </c>
      <c r="J61" s="24">
        <f t="shared" si="78"/>
        <v>122972</v>
      </c>
      <c r="K61" s="24">
        <f t="shared" si="78"/>
        <v>0</v>
      </c>
      <c r="L61" s="24">
        <f t="shared" si="78"/>
        <v>0</v>
      </c>
      <c r="M61" s="24">
        <f t="shared" si="78"/>
        <v>0</v>
      </c>
      <c r="N61" s="24">
        <f t="shared" si="78"/>
        <v>0</v>
      </c>
      <c r="O61" s="24">
        <f t="shared" si="78"/>
        <v>92805</v>
      </c>
      <c r="P61" s="24">
        <f t="shared" si="78"/>
        <v>30167</v>
      </c>
      <c r="Q61" s="24">
        <f t="shared" si="78"/>
        <v>78964</v>
      </c>
      <c r="R61" s="24">
        <f t="shared" si="78"/>
        <v>0</v>
      </c>
      <c r="S61" s="24">
        <f t="shared" si="78"/>
        <v>78964</v>
      </c>
      <c r="T61" s="24">
        <f t="shared" si="78"/>
        <v>0</v>
      </c>
      <c r="U61" s="24">
        <f t="shared" si="78"/>
        <v>49632</v>
      </c>
      <c r="V61" s="24">
        <f t="shared" si="78"/>
        <v>557070</v>
      </c>
      <c r="W61" s="24">
        <f t="shared" si="78"/>
        <v>20106</v>
      </c>
      <c r="X61" s="24">
        <f t="shared" si="78"/>
        <v>0</v>
      </c>
      <c r="Y61" s="24">
        <f t="shared" si="78"/>
        <v>0</v>
      </c>
      <c r="Z61" s="24">
        <f t="shared" si="78"/>
        <v>0</v>
      </c>
      <c r="AA61" s="24">
        <f t="shared" si="78"/>
        <v>0</v>
      </c>
      <c r="AB61" s="24">
        <f t="shared" si="78"/>
        <v>536964</v>
      </c>
      <c r="AC61" s="24">
        <f t="shared" si="78"/>
        <v>0</v>
      </c>
      <c r="AD61" s="24">
        <f t="shared" si="78"/>
        <v>0</v>
      </c>
      <c r="AE61" s="24">
        <f t="shared" si="78"/>
        <v>0</v>
      </c>
      <c r="AF61" s="24">
        <f t="shared" si="78"/>
        <v>245833</v>
      </c>
      <c r="AG61" s="24">
        <f t="shared" si="78"/>
        <v>0</v>
      </c>
      <c r="AH61" s="24">
        <f t="shared" si="78"/>
        <v>0</v>
      </c>
      <c r="AI61" s="24">
        <f t="shared" si="78"/>
        <v>0</v>
      </c>
      <c r="AJ61" s="24">
        <f t="shared" si="78"/>
        <v>0</v>
      </c>
      <c r="AK61" s="24">
        <f t="shared" si="78"/>
        <v>0</v>
      </c>
      <c r="AL61" s="24">
        <f t="shared" si="78"/>
        <v>812</v>
      </c>
      <c r="AM61" s="24">
        <f t="shared" si="78"/>
        <v>0</v>
      </c>
      <c r="AN61" s="24">
        <f t="shared" si="78"/>
        <v>0</v>
      </c>
      <c r="AO61" s="24">
        <f t="shared" si="78"/>
        <v>0</v>
      </c>
      <c r="AP61" s="24">
        <f t="shared" si="78"/>
        <v>233021</v>
      </c>
      <c r="AQ61" s="24">
        <f t="shared" si="78"/>
        <v>0</v>
      </c>
      <c r="AR61" s="24"/>
      <c r="AS61" s="24">
        <f t="shared" si="78"/>
        <v>0</v>
      </c>
      <c r="AT61" s="24">
        <f t="shared" si="78"/>
        <v>0</v>
      </c>
      <c r="AU61" s="24">
        <f t="shared" si="78"/>
        <v>0</v>
      </c>
      <c r="AV61" s="24"/>
      <c r="AW61" s="24"/>
      <c r="AX61" s="24">
        <f t="shared" si="78"/>
        <v>0</v>
      </c>
      <c r="AY61" s="24">
        <f t="shared" si="78"/>
        <v>0</v>
      </c>
      <c r="AZ61" s="24">
        <f t="shared" si="78"/>
        <v>0</v>
      </c>
      <c r="BA61" s="24">
        <f t="shared" si="78"/>
        <v>0</v>
      </c>
      <c r="BB61" s="24"/>
      <c r="BC61" s="24">
        <f t="shared" si="78"/>
        <v>12000</v>
      </c>
      <c r="BD61" s="24">
        <f t="shared" si="78"/>
        <v>0</v>
      </c>
      <c r="BE61" s="24">
        <f t="shared" si="78"/>
        <v>0</v>
      </c>
      <c r="BF61" s="24">
        <f t="shared" si="78"/>
        <v>0</v>
      </c>
      <c r="BG61" s="24">
        <f t="shared" si="78"/>
        <v>0</v>
      </c>
      <c r="BH61" s="24">
        <f t="shared" si="78"/>
        <v>0</v>
      </c>
      <c r="BI61" s="24">
        <f t="shared" si="78"/>
        <v>0</v>
      </c>
      <c r="BJ61" s="24">
        <f t="shared" si="78"/>
        <v>0</v>
      </c>
      <c r="BK61" s="24">
        <f t="shared" si="78"/>
        <v>0</v>
      </c>
      <c r="BL61" s="24">
        <f t="shared" si="78"/>
        <v>0</v>
      </c>
      <c r="BM61" s="24">
        <f t="shared" si="78"/>
        <v>0</v>
      </c>
      <c r="BN61" s="24">
        <f t="shared" si="78"/>
        <v>0</v>
      </c>
      <c r="BO61" s="24">
        <f t="shared" si="78"/>
        <v>0</v>
      </c>
      <c r="BP61" s="24">
        <f t="shared" si="78"/>
        <v>0</v>
      </c>
      <c r="BQ61" s="24">
        <f t="shared" si="78"/>
        <v>0</v>
      </c>
      <c r="BR61" s="24">
        <f t="shared" si="78"/>
        <v>0</v>
      </c>
      <c r="BS61" s="24">
        <f t="shared" si="78"/>
        <v>0</v>
      </c>
      <c r="BT61" s="24">
        <f t="shared" si="78"/>
        <v>0</v>
      </c>
      <c r="BU61" s="24">
        <f t="shared" si="78"/>
        <v>0</v>
      </c>
      <c r="BV61" s="24">
        <f t="shared" ref="BV61:CZ61" si="79">SUM(BV62)</f>
        <v>0</v>
      </c>
      <c r="BW61" s="24">
        <f t="shared" si="79"/>
        <v>0</v>
      </c>
      <c r="BX61" s="24">
        <f t="shared" si="79"/>
        <v>0</v>
      </c>
      <c r="BY61" s="24">
        <f t="shared" si="79"/>
        <v>0</v>
      </c>
      <c r="BZ61" s="24">
        <f t="shared" si="79"/>
        <v>0</v>
      </c>
      <c r="CA61" s="24">
        <f t="shared" si="79"/>
        <v>0</v>
      </c>
      <c r="CB61" s="24">
        <f t="shared" si="79"/>
        <v>0</v>
      </c>
      <c r="CC61" s="24">
        <f t="shared" si="79"/>
        <v>0</v>
      </c>
      <c r="CD61" s="24">
        <f t="shared" si="79"/>
        <v>39090</v>
      </c>
      <c r="CE61" s="24">
        <f t="shared" si="79"/>
        <v>39090</v>
      </c>
      <c r="CF61" s="24">
        <f t="shared" si="79"/>
        <v>39090</v>
      </c>
      <c r="CG61" s="24">
        <f t="shared" si="79"/>
        <v>0</v>
      </c>
      <c r="CH61" s="24">
        <f t="shared" si="79"/>
        <v>39090</v>
      </c>
      <c r="CI61" s="24">
        <f t="shared" si="79"/>
        <v>0</v>
      </c>
      <c r="CJ61" s="24">
        <f t="shared" si="79"/>
        <v>0</v>
      </c>
      <c r="CK61" s="24">
        <f t="shared" si="79"/>
        <v>0</v>
      </c>
      <c r="CL61" s="24">
        <f t="shared" si="79"/>
        <v>0</v>
      </c>
      <c r="CM61" s="24">
        <f t="shared" si="79"/>
        <v>0</v>
      </c>
      <c r="CN61" s="24">
        <f t="shared" si="79"/>
        <v>0</v>
      </c>
      <c r="CO61" s="24">
        <f t="shared" si="79"/>
        <v>0</v>
      </c>
      <c r="CP61" s="24">
        <f t="shared" si="79"/>
        <v>0</v>
      </c>
      <c r="CQ61" s="24">
        <f t="shared" si="79"/>
        <v>0</v>
      </c>
      <c r="CR61" s="24"/>
      <c r="CS61" s="24"/>
      <c r="CT61" s="24">
        <f t="shared" si="79"/>
        <v>0</v>
      </c>
      <c r="CU61" s="24">
        <f t="shared" si="79"/>
        <v>0</v>
      </c>
      <c r="CV61" s="24">
        <f t="shared" si="79"/>
        <v>0</v>
      </c>
      <c r="CW61" s="24">
        <f t="shared" si="79"/>
        <v>0</v>
      </c>
      <c r="CX61" s="24">
        <f t="shared" si="79"/>
        <v>0</v>
      </c>
      <c r="CY61" s="24">
        <f t="shared" si="79"/>
        <v>0</v>
      </c>
      <c r="CZ61" s="25">
        <f t="shared" si="79"/>
        <v>0</v>
      </c>
    </row>
    <row r="62" spans="1:104" ht="31.2" x14ac:dyDescent="0.3">
      <c r="A62" s="26"/>
      <c r="B62" s="27" t="s">
        <v>1</v>
      </c>
      <c r="C62" s="27" t="s">
        <v>92</v>
      </c>
      <c r="D62" s="28" t="s">
        <v>144</v>
      </c>
      <c r="E62" s="23">
        <f>SUM(F62+CD62+CW62)</f>
        <v>3948935</v>
      </c>
      <c r="F62" s="24">
        <f>SUM(G62+BD62)</f>
        <v>3909845</v>
      </c>
      <c r="G62" s="24">
        <f>SUM(H62+I62+J62+Q62+T62+U62+V62+AF62+AE62)</f>
        <v>3909845</v>
      </c>
      <c r="H62" s="29">
        <f>2412907-128608</f>
        <v>2284299</v>
      </c>
      <c r="I62" s="29">
        <f>603227-32152</f>
        <v>571075</v>
      </c>
      <c r="J62" s="24">
        <f t="shared" si="8"/>
        <v>122972</v>
      </c>
      <c r="K62" s="24">
        <v>0</v>
      </c>
      <c r="L62" s="24">
        <v>0</v>
      </c>
      <c r="M62" s="24">
        <v>0</v>
      </c>
      <c r="N62" s="24">
        <v>0</v>
      </c>
      <c r="O62" s="29">
        <f>182805-90000</f>
        <v>92805</v>
      </c>
      <c r="P62" s="29">
        <v>30167</v>
      </c>
      <c r="Q62" s="24">
        <f t="shared" si="9"/>
        <v>78964</v>
      </c>
      <c r="R62" s="24">
        <v>0</v>
      </c>
      <c r="S62" s="29">
        <v>78964</v>
      </c>
      <c r="T62" s="29">
        <v>0</v>
      </c>
      <c r="U62" s="29">
        <f>64632-15000</f>
        <v>49632</v>
      </c>
      <c r="V62" s="24">
        <f>SUM(W62:AD62)</f>
        <v>557070</v>
      </c>
      <c r="W62" s="29">
        <f>20918-812</f>
        <v>20106</v>
      </c>
      <c r="X62" s="29">
        <v>0</v>
      </c>
      <c r="Y62" s="29">
        <v>0</v>
      </c>
      <c r="Z62" s="29">
        <v>0</v>
      </c>
      <c r="AA62" s="29">
        <v>0</v>
      </c>
      <c r="AB62" s="29">
        <f>556344-19380</f>
        <v>536964</v>
      </c>
      <c r="AC62" s="24">
        <v>0</v>
      </c>
      <c r="AD62" s="24">
        <v>0</v>
      </c>
      <c r="AE62" s="24">
        <v>0</v>
      </c>
      <c r="AF62" s="24">
        <f>SUM(AG62:BC62)</f>
        <v>245833</v>
      </c>
      <c r="AG62" s="24"/>
      <c r="AH62" s="24"/>
      <c r="AI62" s="24"/>
      <c r="AJ62" s="24"/>
      <c r="AK62" s="24"/>
      <c r="AL62" s="29">
        <f>858-46</f>
        <v>812</v>
      </c>
      <c r="AM62" s="24"/>
      <c r="AN62" s="24"/>
      <c r="AO62" s="24">
        <v>0</v>
      </c>
      <c r="AP62" s="29">
        <f>433640-200619</f>
        <v>233021</v>
      </c>
      <c r="AQ62" s="24">
        <v>0</v>
      </c>
      <c r="AR62" s="24"/>
      <c r="AS62" s="24">
        <v>0</v>
      </c>
      <c r="AT62" s="24">
        <v>0</v>
      </c>
      <c r="AU62" s="24">
        <v>0</v>
      </c>
      <c r="AV62" s="24"/>
      <c r="AW62" s="24"/>
      <c r="AX62" s="24">
        <v>0</v>
      </c>
      <c r="AY62" s="24">
        <v>0</v>
      </c>
      <c r="AZ62" s="24">
        <v>0</v>
      </c>
      <c r="BA62" s="29">
        <v>0</v>
      </c>
      <c r="BB62" s="29">
        <v>0</v>
      </c>
      <c r="BC62" s="29">
        <f>12779-779</f>
        <v>12000</v>
      </c>
      <c r="BD62" s="24">
        <f>SUM(BE62+BI62+BM62+BN62+BO62+BR62)</f>
        <v>0</v>
      </c>
      <c r="BE62" s="24">
        <f>SUM(BF62:BH62)</f>
        <v>0</v>
      </c>
      <c r="BF62" s="24">
        <v>0</v>
      </c>
      <c r="BG62" s="24">
        <v>0</v>
      </c>
      <c r="BH62" s="24">
        <v>0</v>
      </c>
      <c r="BI62" s="24">
        <f>SUM(BL62:BL62)</f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f t="shared" si="10"/>
        <v>0</v>
      </c>
      <c r="BP62" s="24">
        <v>0</v>
      </c>
      <c r="BQ62" s="24">
        <v>0</v>
      </c>
      <c r="BR62" s="24">
        <f>SUM(BS62:CC62)</f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0</v>
      </c>
      <c r="CB62" s="24">
        <v>0</v>
      </c>
      <c r="CC62" s="24">
        <v>0</v>
      </c>
      <c r="CD62" s="24">
        <f>SUM(CE62+CV62)</f>
        <v>39090</v>
      </c>
      <c r="CE62" s="24">
        <f>SUM(CF62+CI62+CN62)</f>
        <v>39090</v>
      </c>
      <c r="CF62" s="24">
        <f t="shared" si="11"/>
        <v>39090</v>
      </c>
      <c r="CG62" s="24">
        <v>0</v>
      </c>
      <c r="CH62" s="29">
        <v>39090</v>
      </c>
      <c r="CI62" s="24">
        <f>SUM(CJ62:CM62)</f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f>SUM(CO62:CS62)</f>
        <v>0</v>
      </c>
      <c r="CO62" s="24">
        <v>0</v>
      </c>
      <c r="CP62" s="24">
        <v>0</v>
      </c>
      <c r="CQ62" s="24">
        <v>0</v>
      </c>
      <c r="CR62" s="24"/>
      <c r="CS62" s="24"/>
      <c r="CT62" s="24">
        <v>0</v>
      </c>
      <c r="CU62" s="24">
        <v>0</v>
      </c>
      <c r="CV62" s="24">
        <v>0</v>
      </c>
      <c r="CW62" s="24">
        <f t="shared" si="12"/>
        <v>0</v>
      </c>
      <c r="CX62" s="24">
        <f t="shared" si="13"/>
        <v>0</v>
      </c>
      <c r="CY62" s="24">
        <v>0</v>
      </c>
      <c r="CZ62" s="25">
        <v>0</v>
      </c>
    </row>
    <row r="63" spans="1:104" ht="15.6" x14ac:dyDescent="0.3">
      <c r="A63" s="20"/>
      <c r="B63" s="21" t="s">
        <v>145</v>
      </c>
      <c r="C63" s="21" t="s">
        <v>1</v>
      </c>
      <c r="D63" s="22" t="s">
        <v>146</v>
      </c>
      <c r="E63" s="23">
        <f t="shared" ref="E63:AL63" si="80">SUM(E64)</f>
        <v>749809</v>
      </c>
      <c r="F63" s="24">
        <f t="shared" si="80"/>
        <v>749809</v>
      </c>
      <c r="G63" s="24">
        <f t="shared" si="80"/>
        <v>749809</v>
      </c>
      <c r="H63" s="24">
        <f t="shared" si="80"/>
        <v>0</v>
      </c>
      <c r="I63" s="24">
        <f t="shared" si="80"/>
        <v>0</v>
      </c>
      <c r="J63" s="24">
        <f t="shared" si="80"/>
        <v>0</v>
      </c>
      <c r="K63" s="24">
        <f t="shared" si="80"/>
        <v>0</v>
      </c>
      <c r="L63" s="24">
        <f t="shared" si="80"/>
        <v>0</v>
      </c>
      <c r="M63" s="24">
        <f t="shared" si="80"/>
        <v>0</v>
      </c>
      <c r="N63" s="24">
        <f t="shared" si="80"/>
        <v>0</v>
      </c>
      <c r="O63" s="24">
        <f t="shared" si="80"/>
        <v>0</v>
      </c>
      <c r="P63" s="24">
        <f t="shared" si="80"/>
        <v>0</v>
      </c>
      <c r="Q63" s="24">
        <f t="shared" si="80"/>
        <v>0</v>
      </c>
      <c r="R63" s="24">
        <f t="shared" si="80"/>
        <v>0</v>
      </c>
      <c r="S63" s="24">
        <f t="shared" si="80"/>
        <v>0</v>
      </c>
      <c r="T63" s="24">
        <f t="shared" si="80"/>
        <v>0</v>
      </c>
      <c r="U63" s="24">
        <f t="shared" si="80"/>
        <v>0</v>
      </c>
      <c r="V63" s="24">
        <f t="shared" si="80"/>
        <v>0</v>
      </c>
      <c r="W63" s="24">
        <f t="shared" si="80"/>
        <v>0</v>
      </c>
      <c r="X63" s="24">
        <f t="shared" si="80"/>
        <v>0</v>
      </c>
      <c r="Y63" s="24">
        <f t="shared" si="80"/>
        <v>0</v>
      </c>
      <c r="Z63" s="24">
        <f t="shared" si="80"/>
        <v>0</v>
      </c>
      <c r="AA63" s="24">
        <f t="shared" si="80"/>
        <v>0</v>
      </c>
      <c r="AB63" s="24">
        <f t="shared" si="80"/>
        <v>0</v>
      </c>
      <c r="AC63" s="24">
        <f t="shared" si="80"/>
        <v>0</v>
      </c>
      <c r="AD63" s="24">
        <f t="shared" si="80"/>
        <v>0</v>
      </c>
      <c r="AE63" s="24">
        <f t="shared" si="80"/>
        <v>0</v>
      </c>
      <c r="AF63" s="24">
        <f t="shared" si="80"/>
        <v>749809</v>
      </c>
      <c r="AG63" s="24">
        <f t="shared" si="80"/>
        <v>0</v>
      </c>
      <c r="AH63" s="24">
        <f t="shared" si="80"/>
        <v>0</v>
      </c>
      <c r="AI63" s="24">
        <f t="shared" si="80"/>
        <v>0</v>
      </c>
      <c r="AJ63" s="24">
        <f t="shared" si="80"/>
        <v>0</v>
      </c>
      <c r="AK63" s="24">
        <f t="shared" si="80"/>
        <v>0</v>
      </c>
      <c r="AL63" s="24">
        <f t="shared" si="80"/>
        <v>0</v>
      </c>
      <c r="AM63" s="24">
        <f t="shared" ref="AM63:CZ63" si="81">SUM(AM64)</f>
        <v>0</v>
      </c>
      <c r="AN63" s="24">
        <f t="shared" si="81"/>
        <v>0</v>
      </c>
      <c r="AO63" s="24">
        <f t="shared" si="81"/>
        <v>0</v>
      </c>
      <c r="AP63" s="24">
        <f t="shared" si="81"/>
        <v>0</v>
      </c>
      <c r="AQ63" s="24">
        <f t="shared" si="81"/>
        <v>0</v>
      </c>
      <c r="AR63" s="24"/>
      <c r="AS63" s="24">
        <f t="shared" si="81"/>
        <v>0</v>
      </c>
      <c r="AT63" s="24">
        <f t="shared" si="81"/>
        <v>0</v>
      </c>
      <c r="AU63" s="24">
        <f t="shared" si="81"/>
        <v>0</v>
      </c>
      <c r="AV63" s="24"/>
      <c r="AW63" s="24"/>
      <c r="AX63" s="24">
        <f t="shared" si="81"/>
        <v>0</v>
      </c>
      <c r="AY63" s="24">
        <f t="shared" si="81"/>
        <v>0</v>
      </c>
      <c r="AZ63" s="24">
        <f t="shared" si="81"/>
        <v>0</v>
      </c>
      <c r="BA63" s="24">
        <f t="shared" si="81"/>
        <v>0</v>
      </c>
      <c r="BB63" s="24"/>
      <c r="BC63" s="24">
        <f t="shared" si="81"/>
        <v>749809</v>
      </c>
      <c r="BD63" s="24">
        <f t="shared" si="81"/>
        <v>0</v>
      </c>
      <c r="BE63" s="24">
        <f t="shared" si="81"/>
        <v>0</v>
      </c>
      <c r="BF63" s="24">
        <f t="shared" si="81"/>
        <v>0</v>
      </c>
      <c r="BG63" s="24">
        <f t="shared" si="81"/>
        <v>0</v>
      </c>
      <c r="BH63" s="24">
        <f t="shared" si="81"/>
        <v>0</v>
      </c>
      <c r="BI63" s="24">
        <f t="shared" si="81"/>
        <v>0</v>
      </c>
      <c r="BJ63" s="24">
        <f t="shared" si="81"/>
        <v>0</v>
      </c>
      <c r="BK63" s="24">
        <f t="shared" si="81"/>
        <v>0</v>
      </c>
      <c r="BL63" s="24">
        <f t="shared" si="81"/>
        <v>0</v>
      </c>
      <c r="BM63" s="24">
        <f t="shared" si="81"/>
        <v>0</v>
      </c>
      <c r="BN63" s="24">
        <f t="shared" si="81"/>
        <v>0</v>
      </c>
      <c r="BO63" s="24">
        <f t="shared" si="81"/>
        <v>0</v>
      </c>
      <c r="BP63" s="24">
        <f t="shared" si="81"/>
        <v>0</v>
      </c>
      <c r="BQ63" s="24">
        <f t="shared" si="81"/>
        <v>0</v>
      </c>
      <c r="BR63" s="24">
        <f t="shared" si="81"/>
        <v>0</v>
      </c>
      <c r="BS63" s="24">
        <f t="shared" si="81"/>
        <v>0</v>
      </c>
      <c r="BT63" s="24">
        <f t="shared" si="81"/>
        <v>0</v>
      </c>
      <c r="BU63" s="24">
        <f t="shared" si="81"/>
        <v>0</v>
      </c>
      <c r="BV63" s="24">
        <f t="shared" si="81"/>
        <v>0</v>
      </c>
      <c r="BW63" s="24">
        <f t="shared" si="81"/>
        <v>0</v>
      </c>
      <c r="BX63" s="24">
        <f t="shared" si="81"/>
        <v>0</v>
      </c>
      <c r="BY63" s="24">
        <f t="shared" si="81"/>
        <v>0</v>
      </c>
      <c r="BZ63" s="24">
        <f t="shared" si="81"/>
        <v>0</v>
      </c>
      <c r="CA63" s="24">
        <f t="shared" si="81"/>
        <v>0</v>
      </c>
      <c r="CB63" s="24">
        <f t="shared" si="81"/>
        <v>0</v>
      </c>
      <c r="CC63" s="24">
        <f t="shared" si="81"/>
        <v>0</v>
      </c>
      <c r="CD63" s="24">
        <f t="shared" si="81"/>
        <v>0</v>
      </c>
      <c r="CE63" s="24">
        <f t="shared" si="81"/>
        <v>0</v>
      </c>
      <c r="CF63" s="24">
        <f t="shared" si="81"/>
        <v>0</v>
      </c>
      <c r="CG63" s="24">
        <f t="shared" si="81"/>
        <v>0</v>
      </c>
      <c r="CH63" s="24">
        <f t="shared" si="81"/>
        <v>0</v>
      </c>
      <c r="CI63" s="24">
        <f t="shared" si="81"/>
        <v>0</v>
      </c>
      <c r="CJ63" s="24">
        <f t="shared" si="81"/>
        <v>0</v>
      </c>
      <c r="CK63" s="24">
        <f t="shared" si="81"/>
        <v>0</v>
      </c>
      <c r="CL63" s="24">
        <f t="shared" si="81"/>
        <v>0</v>
      </c>
      <c r="CM63" s="24">
        <f t="shared" si="81"/>
        <v>0</v>
      </c>
      <c r="CN63" s="24">
        <f t="shared" si="81"/>
        <v>0</v>
      </c>
      <c r="CO63" s="24">
        <f t="shared" si="81"/>
        <v>0</v>
      </c>
      <c r="CP63" s="24">
        <f t="shared" si="81"/>
        <v>0</v>
      </c>
      <c r="CQ63" s="24">
        <f t="shared" si="81"/>
        <v>0</v>
      </c>
      <c r="CR63" s="24"/>
      <c r="CS63" s="24"/>
      <c r="CT63" s="24">
        <f t="shared" si="81"/>
        <v>0</v>
      </c>
      <c r="CU63" s="24">
        <f t="shared" si="81"/>
        <v>0</v>
      </c>
      <c r="CV63" s="24">
        <f t="shared" si="81"/>
        <v>0</v>
      </c>
      <c r="CW63" s="24">
        <f t="shared" si="81"/>
        <v>0</v>
      </c>
      <c r="CX63" s="24">
        <f t="shared" si="81"/>
        <v>0</v>
      </c>
      <c r="CY63" s="24">
        <f t="shared" si="81"/>
        <v>0</v>
      </c>
      <c r="CZ63" s="25">
        <f t="shared" si="81"/>
        <v>0</v>
      </c>
    </row>
    <row r="64" spans="1:104" ht="15.6" x14ac:dyDescent="0.3">
      <c r="A64" s="26" t="s">
        <v>1</v>
      </c>
      <c r="B64" s="27" t="s">
        <v>1</v>
      </c>
      <c r="C64" s="27" t="s">
        <v>82</v>
      </c>
      <c r="D64" s="28" t="s">
        <v>423</v>
      </c>
      <c r="E64" s="23">
        <f>SUM(F64+CD64+CW64)</f>
        <v>749809</v>
      </c>
      <c r="F64" s="24">
        <f>SUM(G64+BD64)</f>
        <v>749809</v>
      </c>
      <c r="G64" s="24">
        <f>SUM(H64+I64+J64+Q64+T64+U64+V64+AF64+AE64)</f>
        <v>749809</v>
      </c>
      <c r="H64" s="24">
        <v>0</v>
      </c>
      <c r="I64" s="24">
        <v>0</v>
      </c>
      <c r="J64" s="24">
        <f t="shared" si="8"/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f t="shared" si="9"/>
        <v>0</v>
      </c>
      <c r="R64" s="24">
        <v>0</v>
      </c>
      <c r="S64" s="24">
        <v>0</v>
      </c>
      <c r="T64" s="24">
        <v>0</v>
      </c>
      <c r="U64" s="24">
        <v>0</v>
      </c>
      <c r="V64" s="24">
        <f>SUM(W64:AD64)</f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f>SUM(AG64:BC64)</f>
        <v>749809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/>
      <c r="AS64" s="24">
        <v>0</v>
      </c>
      <c r="AT64" s="24">
        <v>0</v>
      </c>
      <c r="AU64" s="24">
        <v>0</v>
      </c>
      <c r="AV64" s="24"/>
      <c r="AW64" s="24"/>
      <c r="AX64" s="24">
        <v>0</v>
      </c>
      <c r="AY64" s="24">
        <v>0</v>
      </c>
      <c r="AZ64" s="24">
        <v>0</v>
      </c>
      <c r="BA64" s="24">
        <v>0</v>
      </c>
      <c r="BB64" s="24"/>
      <c r="BC64" s="29">
        <v>749809</v>
      </c>
      <c r="BD64" s="24">
        <f>SUM(BE64+BI64+BM64+BN64+BO64+BR64)</f>
        <v>0</v>
      </c>
      <c r="BE64" s="24">
        <f>SUM(BF64:BH64)</f>
        <v>0</v>
      </c>
      <c r="BF64" s="24">
        <v>0</v>
      </c>
      <c r="BG64" s="24">
        <v>0</v>
      </c>
      <c r="BH64" s="24">
        <v>0</v>
      </c>
      <c r="BI64" s="24">
        <f>SUM(BL64:BL64)</f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f t="shared" si="10"/>
        <v>0</v>
      </c>
      <c r="BP64" s="24">
        <v>0</v>
      </c>
      <c r="BQ64" s="24">
        <v>0</v>
      </c>
      <c r="BR64" s="24">
        <f>SUM(BS64:CC64)</f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f>SUM(CE64+CV64)</f>
        <v>0</v>
      </c>
      <c r="CE64" s="24">
        <f>SUM(CF64+CI64+CN64)</f>
        <v>0</v>
      </c>
      <c r="CF64" s="24">
        <f t="shared" si="11"/>
        <v>0</v>
      </c>
      <c r="CG64" s="24">
        <v>0</v>
      </c>
      <c r="CH64" s="24">
        <v>0</v>
      </c>
      <c r="CI64" s="24">
        <f>SUM(CJ64:CM64)</f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f>SUM(CO64:CS64)</f>
        <v>0</v>
      </c>
      <c r="CO64" s="24">
        <v>0</v>
      </c>
      <c r="CP64" s="24">
        <v>0</v>
      </c>
      <c r="CQ64" s="24">
        <v>0</v>
      </c>
      <c r="CR64" s="24"/>
      <c r="CS64" s="24"/>
      <c r="CT64" s="24">
        <v>0</v>
      </c>
      <c r="CU64" s="24">
        <v>0</v>
      </c>
      <c r="CV64" s="24">
        <v>0</v>
      </c>
      <c r="CW64" s="24">
        <f t="shared" si="12"/>
        <v>0</v>
      </c>
      <c r="CX64" s="24">
        <f t="shared" si="13"/>
        <v>0</v>
      </c>
      <c r="CY64" s="24">
        <v>0</v>
      </c>
      <c r="CZ64" s="25">
        <v>0</v>
      </c>
    </row>
    <row r="65" spans="1:104" ht="15.6" x14ac:dyDescent="0.3">
      <c r="A65" s="31" t="s">
        <v>147</v>
      </c>
      <c r="B65" s="32" t="s">
        <v>1</v>
      </c>
      <c r="C65" s="32" t="s">
        <v>1</v>
      </c>
      <c r="D65" s="33" t="s">
        <v>148</v>
      </c>
      <c r="E65" s="34">
        <f t="shared" ref="E65:BU65" si="82">SUM(E66+E68)</f>
        <v>260637253</v>
      </c>
      <c r="F65" s="35">
        <f t="shared" si="82"/>
        <v>245167214</v>
      </c>
      <c r="G65" s="35">
        <f t="shared" si="82"/>
        <v>243820771</v>
      </c>
      <c r="H65" s="35">
        <f t="shared" si="82"/>
        <v>149188209</v>
      </c>
      <c r="I65" s="35">
        <f t="shared" si="82"/>
        <v>6667686</v>
      </c>
      <c r="J65" s="35">
        <f t="shared" si="82"/>
        <v>65875729</v>
      </c>
      <c r="K65" s="35">
        <f t="shared" si="82"/>
        <v>145063</v>
      </c>
      <c r="L65" s="35">
        <f t="shared" si="82"/>
        <v>22199486</v>
      </c>
      <c r="M65" s="35">
        <f t="shared" si="82"/>
        <v>15695741</v>
      </c>
      <c r="N65" s="35">
        <f t="shared" si="82"/>
        <v>2961129</v>
      </c>
      <c r="O65" s="35">
        <f t="shared" si="82"/>
        <v>19677391</v>
      </c>
      <c r="P65" s="35">
        <f t="shared" si="82"/>
        <v>5196919</v>
      </c>
      <c r="Q65" s="35">
        <f t="shared" si="82"/>
        <v>207237</v>
      </c>
      <c r="R65" s="35">
        <f t="shared" si="82"/>
        <v>55501</v>
      </c>
      <c r="S65" s="35">
        <f t="shared" si="82"/>
        <v>151736</v>
      </c>
      <c r="T65" s="35">
        <f t="shared" si="82"/>
        <v>0</v>
      </c>
      <c r="U65" s="35">
        <f t="shared" si="82"/>
        <v>544989</v>
      </c>
      <c r="V65" s="35">
        <f t="shared" si="82"/>
        <v>7797658</v>
      </c>
      <c r="W65" s="35">
        <f t="shared" si="82"/>
        <v>896347</v>
      </c>
      <c r="X65" s="35">
        <f t="shared" si="82"/>
        <v>2091857</v>
      </c>
      <c r="Y65" s="35">
        <f t="shared" si="82"/>
        <v>3251087</v>
      </c>
      <c r="Z65" s="35">
        <f t="shared" si="82"/>
        <v>1162383</v>
      </c>
      <c r="AA65" s="35">
        <f t="shared" si="82"/>
        <v>45230</v>
      </c>
      <c r="AB65" s="35">
        <f t="shared" si="82"/>
        <v>5208</v>
      </c>
      <c r="AC65" s="35">
        <f t="shared" si="82"/>
        <v>0</v>
      </c>
      <c r="AD65" s="35">
        <f t="shared" si="82"/>
        <v>345546</v>
      </c>
      <c r="AE65" s="35">
        <f t="shared" si="82"/>
        <v>0</v>
      </c>
      <c r="AF65" s="35">
        <f t="shared" si="82"/>
        <v>13539263</v>
      </c>
      <c r="AG65" s="35">
        <f t="shared" si="82"/>
        <v>0</v>
      </c>
      <c r="AH65" s="35">
        <f t="shared" si="82"/>
        <v>0</v>
      </c>
      <c r="AI65" s="35">
        <f t="shared" si="82"/>
        <v>138280</v>
      </c>
      <c r="AJ65" s="35">
        <f t="shared" si="82"/>
        <v>1235193</v>
      </c>
      <c r="AK65" s="35">
        <f t="shared" si="82"/>
        <v>20610</v>
      </c>
      <c r="AL65" s="35">
        <f t="shared" si="82"/>
        <v>6000</v>
      </c>
      <c r="AM65" s="35">
        <f t="shared" si="82"/>
        <v>0</v>
      </c>
      <c r="AN65" s="35">
        <f t="shared" si="82"/>
        <v>22530</v>
      </c>
      <c r="AO65" s="35">
        <f t="shared" si="82"/>
        <v>262240</v>
      </c>
      <c r="AP65" s="35">
        <f t="shared" si="82"/>
        <v>54714</v>
      </c>
      <c r="AQ65" s="35">
        <f t="shared" si="82"/>
        <v>84476</v>
      </c>
      <c r="AR65" s="35"/>
      <c r="AS65" s="35">
        <f t="shared" si="82"/>
        <v>1785000</v>
      </c>
      <c r="AT65" s="35">
        <f t="shared" si="82"/>
        <v>48325</v>
      </c>
      <c r="AU65" s="35">
        <f t="shared" si="82"/>
        <v>0</v>
      </c>
      <c r="AV65" s="35"/>
      <c r="AW65" s="35"/>
      <c r="AX65" s="35">
        <f t="shared" si="82"/>
        <v>0</v>
      </c>
      <c r="AY65" s="35">
        <f t="shared" si="82"/>
        <v>7014451</v>
      </c>
      <c r="AZ65" s="35">
        <f t="shared" si="82"/>
        <v>0</v>
      </c>
      <c r="BA65" s="35">
        <f t="shared" si="82"/>
        <v>71434</v>
      </c>
      <c r="BB65" s="35"/>
      <c r="BC65" s="35">
        <f t="shared" si="82"/>
        <v>2796010</v>
      </c>
      <c r="BD65" s="35">
        <f t="shared" si="82"/>
        <v>1346443</v>
      </c>
      <c r="BE65" s="35">
        <f t="shared" si="82"/>
        <v>0</v>
      </c>
      <c r="BF65" s="35">
        <f t="shared" si="82"/>
        <v>0</v>
      </c>
      <c r="BG65" s="35">
        <f t="shared" si="82"/>
        <v>0</v>
      </c>
      <c r="BH65" s="35">
        <f t="shared" si="82"/>
        <v>0</v>
      </c>
      <c r="BI65" s="35">
        <f t="shared" si="82"/>
        <v>0</v>
      </c>
      <c r="BJ65" s="35">
        <f t="shared" si="82"/>
        <v>0</v>
      </c>
      <c r="BK65" s="35">
        <f t="shared" ref="BK65" si="83">SUM(BK66+BK68)</f>
        <v>0</v>
      </c>
      <c r="BL65" s="35">
        <f t="shared" si="82"/>
        <v>0</v>
      </c>
      <c r="BM65" s="35">
        <f t="shared" si="82"/>
        <v>0</v>
      </c>
      <c r="BN65" s="35">
        <f t="shared" si="82"/>
        <v>0</v>
      </c>
      <c r="BO65" s="35">
        <f t="shared" si="82"/>
        <v>309120</v>
      </c>
      <c r="BP65" s="35">
        <f t="shared" si="82"/>
        <v>309120</v>
      </c>
      <c r="BQ65" s="35">
        <f t="shared" ref="BQ65" si="84">SUM(BQ66+BQ68)</f>
        <v>0</v>
      </c>
      <c r="BR65" s="35">
        <f t="shared" si="82"/>
        <v>1037323</v>
      </c>
      <c r="BS65" s="35">
        <f t="shared" si="82"/>
        <v>0</v>
      </c>
      <c r="BT65" s="35">
        <f t="shared" si="82"/>
        <v>0</v>
      </c>
      <c r="BU65" s="35">
        <f t="shared" si="82"/>
        <v>0</v>
      </c>
      <c r="BV65" s="35">
        <f t="shared" ref="BV65:CZ65" si="85">SUM(BV66+BV68)</f>
        <v>0</v>
      </c>
      <c r="BW65" s="35">
        <f t="shared" si="85"/>
        <v>0</v>
      </c>
      <c r="BX65" s="35">
        <f t="shared" si="85"/>
        <v>0</v>
      </c>
      <c r="BY65" s="35">
        <f t="shared" si="85"/>
        <v>0</v>
      </c>
      <c r="BZ65" s="35">
        <f t="shared" si="85"/>
        <v>0</v>
      </c>
      <c r="CA65" s="35">
        <f t="shared" si="85"/>
        <v>0</v>
      </c>
      <c r="CB65" s="35">
        <f t="shared" si="85"/>
        <v>1030266</v>
      </c>
      <c r="CC65" s="35">
        <f t="shared" si="85"/>
        <v>7057</v>
      </c>
      <c r="CD65" s="35">
        <f t="shared" si="85"/>
        <v>15470039</v>
      </c>
      <c r="CE65" s="35">
        <f t="shared" si="85"/>
        <v>15470039</v>
      </c>
      <c r="CF65" s="35">
        <f t="shared" si="85"/>
        <v>6828281</v>
      </c>
      <c r="CG65" s="35">
        <f t="shared" si="85"/>
        <v>0</v>
      </c>
      <c r="CH65" s="35">
        <f t="shared" si="85"/>
        <v>6828281</v>
      </c>
      <c r="CI65" s="35">
        <f t="shared" si="85"/>
        <v>0</v>
      </c>
      <c r="CJ65" s="35">
        <f t="shared" si="85"/>
        <v>0</v>
      </c>
      <c r="CK65" s="35">
        <f t="shared" ref="CK65:CL65" si="86">SUM(CK66+CK68)</f>
        <v>0</v>
      </c>
      <c r="CL65" s="35">
        <f t="shared" si="86"/>
        <v>0</v>
      </c>
      <c r="CM65" s="35">
        <f t="shared" si="85"/>
        <v>0</v>
      </c>
      <c r="CN65" s="35">
        <f t="shared" si="85"/>
        <v>8641758</v>
      </c>
      <c r="CO65" s="35">
        <f t="shared" si="85"/>
        <v>0</v>
      </c>
      <c r="CP65" s="35">
        <f t="shared" ref="CP65" si="87">SUM(CP66+CP68)</f>
        <v>0</v>
      </c>
      <c r="CQ65" s="35">
        <f t="shared" si="85"/>
        <v>8641758</v>
      </c>
      <c r="CR65" s="35"/>
      <c r="CS65" s="35"/>
      <c r="CT65" s="35">
        <f t="shared" si="85"/>
        <v>0</v>
      </c>
      <c r="CU65" s="35">
        <f t="shared" si="85"/>
        <v>0</v>
      </c>
      <c r="CV65" s="35">
        <f t="shared" si="85"/>
        <v>0</v>
      </c>
      <c r="CW65" s="35">
        <f t="shared" si="85"/>
        <v>0</v>
      </c>
      <c r="CX65" s="35">
        <f t="shared" si="85"/>
        <v>0</v>
      </c>
      <c r="CY65" s="35">
        <f t="shared" si="85"/>
        <v>0</v>
      </c>
      <c r="CZ65" s="36">
        <f t="shared" si="85"/>
        <v>0</v>
      </c>
    </row>
    <row r="66" spans="1:104" ht="15.6" x14ac:dyDescent="0.3">
      <c r="A66" s="20"/>
      <c r="B66" s="21" t="s">
        <v>149</v>
      </c>
      <c r="C66" s="21" t="s">
        <v>1</v>
      </c>
      <c r="D66" s="22" t="s">
        <v>150</v>
      </c>
      <c r="E66" s="23">
        <f t="shared" ref="E66:BU66" si="88">SUM(E67)</f>
        <v>221186089</v>
      </c>
      <c r="F66" s="24">
        <f t="shared" si="88"/>
        <v>206260948</v>
      </c>
      <c r="G66" s="24">
        <f t="shared" si="88"/>
        <v>205908735</v>
      </c>
      <c r="H66" s="24">
        <f t="shared" si="88"/>
        <v>120332616</v>
      </c>
      <c r="I66" s="24">
        <f t="shared" si="88"/>
        <v>6463929</v>
      </c>
      <c r="J66" s="24">
        <f t="shared" si="88"/>
        <v>59510895</v>
      </c>
      <c r="K66" s="24">
        <f t="shared" si="88"/>
        <v>114250</v>
      </c>
      <c r="L66" s="24">
        <f t="shared" si="88"/>
        <v>20204016</v>
      </c>
      <c r="M66" s="24">
        <f t="shared" si="88"/>
        <v>13621811</v>
      </c>
      <c r="N66" s="24">
        <f t="shared" si="88"/>
        <v>2961129</v>
      </c>
      <c r="O66" s="24">
        <f t="shared" si="88"/>
        <v>17486570</v>
      </c>
      <c r="P66" s="24">
        <f t="shared" si="88"/>
        <v>5123119</v>
      </c>
      <c r="Q66" s="24">
        <f t="shared" si="88"/>
        <v>725</v>
      </c>
      <c r="R66" s="24">
        <f t="shared" si="88"/>
        <v>725</v>
      </c>
      <c r="S66" s="24">
        <f t="shared" si="88"/>
        <v>0</v>
      </c>
      <c r="T66" s="24">
        <f t="shared" si="88"/>
        <v>0</v>
      </c>
      <c r="U66" s="24">
        <f t="shared" si="88"/>
        <v>485890</v>
      </c>
      <c r="V66" s="24">
        <f t="shared" si="88"/>
        <v>7791899</v>
      </c>
      <c r="W66" s="24">
        <f t="shared" si="88"/>
        <v>890588</v>
      </c>
      <c r="X66" s="24">
        <f t="shared" si="88"/>
        <v>2091857</v>
      </c>
      <c r="Y66" s="24">
        <f t="shared" si="88"/>
        <v>3251087</v>
      </c>
      <c r="Z66" s="24">
        <f t="shared" si="88"/>
        <v>1162383</v>
      </c>
      <c r="AA66" s="24">
        <f t="shared" si="88"/>
        <v>45230</v>
      </c>
      <c r="AB66" s="24">
        <f t="shared" si="88"/>
        <v>5208</v>
      </c>
      <c r="AC66" s="24">
        <f t="shared" si="88"/>
        <v>0</v>
      </c>
      <c r="AD66" s="24">
        <f t="shared" si="88"/>
        <v>345546</v>
      </c>
      <c r="AE66" s="24">
        <f t="shared" si="88"/>
        <v>0</v>
      </c>
      <c r="AF66" s="24">
        <f t="shared" si="88"/>
        <v>11322781</v>
      </c>
      <c r="AG66" s="24">
        <f t="shared" si="88"/>
        <v>0</v>
      </c>
      <c r="AH66" s="24">
        <f t="shared" si="88"/>
        <v>0</v>
      </c>
      <c r="AI66" s="24">
        <f t="shared" si="88"/>
        <v>132580</v>
      </c>
      <c r="AJ66" s="24">
        <f t="shared" si="88"/>
        <v>888246</v>
      </c>
      <c r="AK66" s="24">
        <f t="shared" si="88"/>
        <v>20610</v>
      </c>
      <c r="AL66" s="24">
        <f t="shared" si="88"/>
        <v>6000</v>
      </c>
      <c r="AM66" s="24">
        <f t="shared" si="88"/>
        <v>0</v>
      </c>
      <c r="AN66" s="24">
        <f t="shared" si="88"/>
        <v>22530</v>
      </c>
      <c r="AO66" s="24">
        <f t="shared" si="88"/>
        <v>255140</v>
      </c>
      <c r="AP66" s="24">
        <f t="shared" si="88"/>
        <v>25032</v>
      </c>
      <c r="AQ66" s="24">
        <f t="shared" si="88"/>
        <v>84476</v>
      </c>
      <c r="AR66" s="24"/>
      <c r="AS66" s="24">
        <f t="shared" si="88"/>
        <v>1785000</v>
      </c>
      <c r="AT66" s="24">
        <f t="shared" si="88"/>
        <v>48325</v>
      </c>
      <c r="AU66" s="24">
        <f t="shared" si="88"/>
        <v>0</v>
      </c>
      <c r="AV66" s="24"/>
      <c r="AW66" s="24"/>
      <c r="AX66" s="24">
        <f t="shared" si="88"/>
        <v>0</v>
      </c>
      <c r="AY66" s="24">
        <f t="shared" si="88"/>
        <v>5198598</v>
      </c>
      <c r="AZ66" s="24">
        <f t="shared" si="88"/>
        <v>0</v>
      </c>
      <c r="BA66" s="24">
        <f t="shared" si="88"/>
        <v>71434</v>
      </c>
      <c r="BB66" s="24"/>
      <c r="BC66" s="24">
        <f t="shared" si="88"/>
        <v>2784810</v>
      </c>
      <c r="BD66" s="24">
        <f t="shared" si="88"/>
        <v>352213</v>
      </c>
      <c r="BE66" s="24">
        <f t="shared" si="88"/>
        <v>0</v>
      </c>
      <c r="BF66" s="24">
        <f t="shared" si="88"/>
        <v>0</v>
      </c>
      <c r="BG66" s="24">
        <f t="shared" si="88"/>
        <v>0</v>
      </c>
      <c r="BH66" s="24">
        <f t="shared" si="88"/>
        <v>0</v>
      </c>
      <c r="BI66" s="24">
        <f t="shared" si="88"/>
        <v>0</v>
      </c>
      <c r="BJ66" s="24">
        <f t="shared" si="88"/>
        <v>0</v>
      </c>
      <c r="BK66" s="24">
        <f t="shared" si="88"/>
        <v>0</v>
      </c>
      <c r="BL66" s="24">
        <f t="shared" si="88"/>
        <v>0</v>
      </c>
      <c r="BM66" s="24">
        <f t="shared" si="88"/>
        <v>0</v>
      </c>
      <c r="BN66" s="24">
        <f t="shared" si="88"/>
        <v>0</v>
      </c>
      <c r="BO66" s="24">
        <f t="shared" si="88"/>
        <v>309120</v>
      </c>
      <c r="BP66" s="24">
        <f t="shared" si="88"/>
        <v>309120</v>
      </c>
      <c r="BQ66" s="24">
        <f t="shared" si="88"/>
        <v>0</v>
      </c>
      <c r="BR66" s="24">
        <f t="shared" si="88"/>
        <v>43093</v>
      </c>
      <c r="BS66" s="24">
        <f t="shared" si="88"/>
        <v>0</v>
      </c>
      <c r="BT66" s="24">
        <f t="shared" si="88"/>
        <v>0</v>
      </c>
      <c r="BU66" s="24">
        <f t="shared" si="88"/>
        <v>0</v>
      </c>
      <c r="BV66" s="24">
        <f t="shared" ref="BV66:CZ66" si="89">SUM(BV67)</f>
        <v>0</v>
      </c>
      <c r="BW66" s="24">
        <f t="shared" si="89"/>
        <v>0</v>
      </c>
      <c r="BX66" s="24">
        <f t="shared" si="89"/>
        <v>0</v>
      </c>
      <c r="BY66" s="24">
        <f t="shared" si="89"/>
        <v>0</v>
      </c>
      <c r="BZ66" s="24">
        <f t="shared" si="89"/>
        <v>0</v>
      </c>
      <c r="CA66" s="24">
        <f t="shared" si="89"/>
        <v>0</v>
      </c>
      <c r="CB66" s="24">
        <f t="shared" si="89"/>
        <v>40740</v>
      </c>
      <c r="CC66" s="24">
        <f t="shared" si="89"/>
        <v>2353</v>
      </c>
      <c r="CD66" s="24">
        <f t="shared" si="89"/>
        <v>14925141</v>
      </c>
      <c r="CE66" s="24">
        <f t="shared" si="89"/>
        <v>14925141</v>
      </c>
      <c r="CF66" s="24">
        <f t="shared" si="89"/>
        <v>6367341</v>
      </c>
      <c r="CG66" s="24">
        <f t="shared" si="89"/>
        <v>0</v>
      </c>
      <c r="CH66" s="24">
        <f t="shared" si="89"/>
        <v>6367341</v>
      </c>
      <c r="CI66" s="24">
        <f t="shared" si="89"/>
        <v>0</v>
      </c>
      <c r="CJ66" s="24">
        <f t="shared" si="89"/>
        <v>0</v>
      </c>
      <c r="CK66" s="24">
        <f t="shared" si="89"/>
        <v>0</v>
      </c>
      <c r="CL66" s="24">
        <f t="shared" si="89"/>
        <v>0</v>
      </c>
      <c r="CM66" s="24">
        <f t="shared" si="89"/>
        <v>0</v>
      </c>
      <c r="CN66" s="24">
        <f t="shared" si="89"/>
        <v>8557800</v>
      </c>
      <c r="CO66" s="24">
        <f t="shared" si="89"/>
        <v>0</v>
      </c>
      <c r="CP66" s="24">
        <f t="shared" si="89"/>
        <v>0</v>
      </c>
      <c r="CQ66" s="24">
        <f t="shared" si="89"/>
        <v>8557800</v>
      </c>
      <c r="CR66" s="24"/>
      <c r="CS66" s="24"/>
      <c r="CT66" s="24">
        <f t="shared" si="89"/>
        <v>0</v>
      </c>
      <c r="CU66" s="24">
        <f t="shared" si="89"/>
        <v>0</v>
      </c>
      <c r="CV66" s="24">
        <f t="shared" si="89"/>
        <v>0</v>
      </c>
      <c r="CW66" s="24">
        <f t="shared" si="89"/>
        <v>0</v>
      </c>
      <c r="CX66" s="24">
        <f t="shared" si="89"/>
        <v>0</v>
      </c>
      <c r="CY66" s="24">
        <f t="shared" si="89"/>
        <v>0</v>
      </c>
      <c r="CZ66" s="25">
        <f t="shared" si="89"/>
        <v>0</v>
      </c>
    </row>
    <row r="67" spans="1:104" ht="15.6" x14ac:dyDescent="0.3">
      <c r="A67" s="26"/>
      <c r="B67" s="27" t="s">
        <v>1</v>
      </c>
      <c r="C67" s="27" t="s">
        <v>151</v>
      </c>
      <c r="D67" s="28" t="s">
        <v>152</v>
      </c>
      <c r="E67" s="23">
        <f>SUM(F67+CD67+CW67)</f>
        <v>221186089</v>
      </c>
      <c r="F67" s="24">
        <f>SUM(G67+BD67)</f>
        <v>206260948</v>
      </c>
      <c r="G67" s="24">
        <f>SUM(H67+I67+J67+Q67+T67+U67+V67+AF67+AE67)</f>
        <v>205908735</v>
      </c>
      <c r="H67" s="29">
        <f>120197397+335219-200000</f>
        <v>120332616</v>
      </c>
      <c r="I67" s="29">
        <f>6713929-250000</f>
        <v>6463929</v>
      </c>
      <c r="J67" s="24">
        <f t="shared" si="8"/>
        <v>59510895</v>
      </c>
      <c r="K67" s="29">
        <v>114250</v>
      </c>
      <c r="L67" s="29">
        <v>20204016</v>
      </c>
      <c r="M67" s="29">
        <f>19621811-6000000</f>
        <v>13621811</v>
      </c>
      <c r="N67" s="29">
        <v>2961129</v>
      </c>
      <c r="O67" s="29">
        <f>17481548+5022</f>
        <v>17486570</v>
      </c>
      <c r="P67" s="29">
        <v>5123119</v>
      </c>
      <c r="Q67" s="24">
        <f t="shared" si="9"/>
        <v>725</v>
      </c>
      <c r="R67" s="29">
        <f>10000-9275</f>
        <v>725</v>
      </c>
      <c r="S67" s="29">
        <v>0</v>
      </c>
      <c r="T67" s="29">
        <v>0</v>
      </c>
      <c r="U67" s="29">
        <f>767181-281291</f>
        <v>485890</v>
      </c>
      <c r="V67" s="24">
        <f>SUM(W67:AD67)</f>
        <v>7791899</v>
      </c>
      <c r="W67" s="29">
        <f>932681-42093</f>
        <v>890588</v>
      </c>
      <c r="X67" s="29">
        <f>2046809+45048</f>
        <v>2091857</v>
      </c>
      <c r="Y67" s="29">
        <v>3251087</v>
      </c>
      <c r="Z67" s="29">
        <v>1162383</v>
      </c>
      <c r="AA67" s="29">
        <v>45230</v>
      </c>
      <c r="AB67" s="29">
        <f>10200-4992</f>
        <v>5208</v>
      </c>
      <c r="AC67" s="29">
        <v>0</v>
      </c>
      <c r="AD67" s="29">
        <f>337867+7679</f>
        <v>345546</v>
      </c>
      <c r="AE67" s="24"/>
      <c r="AF67" s="24">
        <f>SUM(AG67:BC67)</f>
        <v>11322781</v>
      </c>
      <c r="AG67" s="24">
        <v>0</v>
      </c>
      <c r="AH67" s="24"/>
      <c r="AI67" s="29">
        <v>132580</v>
      </c>
      <c r="AJ67" s="29">
        <v>888246</v>
      </c>
      <c r="AK67" s="29">
        <v>20610</v>
      </c>
      <c r="AL67" s="29">
        <v>6000</v>
      </c>
      <c r="AM67" s="29">
        <v>0</v>
      </c>
      <c r="AN67" s="29">
        <v>22530</v>
      </c>
      <c r="AO67" s="29">
        <v>255140</v>
      </c>
      <c r="AP67" s="29">
        <v>25032</v>
      </c>
      <c r="AQ67" s="29">
        <v>84476</v>
      </c>
      <c r="AR67" s="29">
        <v>0</v>
      </c>
      <c r="AS67" s="29">
        <v>1785000</v>
      </c>
      <c r="AT67" s="29">
        <f>125885-77560</f>
        <v>48325</v>
      </c>
      <c r="AU67" s="29">
        <v>0</v>
      </c>
      <c r="AV67" s="29">
        <v>0</v>
      </c>
      <c r="AW67" s="29">
        <v>0</v>
      </c>
      <c r="AX67" s="29">
        <v>0</v>
      </c>
      <c r="AY67" s="29">
        <f>6276768-1078170</f>
        <v>5198598</v>
      </c>
      <c r="AZ67" s="29">
        <v>0</v>
      </c>
      <c r="BA67" s="29">
        <f>274669-203235</f>
        <v>71434</v>
      </c>
      <c r="BB67" s="29">
        <v>0</v>
      </c>
      <c r="BC67" s="29">
        <v>2784810</v>
      </c>
      <c r="BD67" s="24">
        <f>SUM(BE67+BI67+BM67+BO67+BR67)</f>
        <v>352213</v>
      </c>
      <c r="BE67" s="24">
        <f>SUM(BF67:BH67)</f>
        <v>0</v>
      </c>
      <c r="BF67" s="24">
        <v>0</v>
      </c>
      <c r="BG67" s="24">
        <v>0</v>
      </c>
      <c r="BH67" s="24">
        <v>0</v>
      </c>
      <c r="BI67" s="24">
        <f>SUM(BL67:BL67)</f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f t="shared" si="10"/>
        <v>309120</v>
      </c>
      <c r="BP67" s="29">
        <v>309120</v>
      </c>
      <c r="BQ67" s="24"/>
      <c r="BR67" s="24">
        <f>SUM(BS67:CC67)</f>
        <v>43093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9">
        <f>113728-72988</f>
        <v>40740</v>
      </c>
      <c r="CC67" s="29">
        <f>469696-467343</f>
        <v>2353</v>
      </c>
      <c r="CD67" s="24">
        <f>SUM(CE67+CV67)</f>
        <v>14925141</v>
      </c>
      <c r="CE67" s="24">
        <f>SUM(CF67+CI67+CN67)</f>
        <v>14925141</v>
      </c>
      <c r="CF67" s="24">
        <f t="shared" si="11"/>
        <v>6367341</v>
      </c>
      <c r="CG67" s="24">
        <v>0</v>
      </c>
      <c r="CH67" s="29">
        <f>5367341+1000000</f>
        <v>6367341</v>
      </c>
      <c r="CI67" s="24">
        <f>SUM(CJ67:CM67)</f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f>SUM(CO67:CS67)</f>
        <v>8557800</v>
      </c>
      <c r="CO67" s="24"/>
      <c r="CP67" s="24"/>
      <c r="CQ67" s="29">
        <f>3557800+5000000</f>
        <v>8557800</v>
      </c>
      <c r="CR67" s="24"/>
      <c r="CS67" s="24"/>
      <c r="CT67" s="24"/>
      <c r="CU67" s="24"/>
      <c r="CV67" s="24">
        <v>0</v>
      </c>
      <c r="CW67" s="24">
        <f t="shared" si="12"/>
        <v>0</v>
      </c>
      <c r="CX67" s="24">
        <f t="shared" si="13"/>
        <v>0</v>
      </c>
      <c r="CY67" s="24">
        <v>0</v>
      </c>
      <c r="CZ67" s="25">
        <v>0</v>
      </c>
    </row>
    <row r="68" spans="1:104" ht="15.6" x14ac:dyDescent="0.3">
      <c r="A68" s="20"/>
      <c r="B68" s="21" t="s">
        <v>153</v>
      </c>
      <c r="C68" s="21" t="s">
        <v>1</v>
      </c>
      <c r="D68" s="22" t="s">
        <v>154</v>
      </c>
      <c r="E68" s="23">
        <f t="shared" ref="E68:AL68" si="90">SUM(E69)</f>
        <v>39451164</v>
      </c>
      <c r="F68" s="24">
        <f t="shared" si="90"/>
        <v>38906266</v>
      </c>
      <c r="G68" s="24">
        <f t="shared" si="90"/>
        <v>37912036</v>
      </c>
      <c r="H68" s="24">
        <f t="shared" si="90"/>
        <v>28855593</v>
      </c>
      <c r="I68" s="24">
        <f t="shared" si="90"/>
        <v>203757</v>
      </c>
      <c r="J68" s="24">
        <f t="shared" si="90"/>
        <v>6364834</v>
      </c>
      <c r="K68" s="24">
        <f t="shared" si="90"/>
        <v>30813</v>
      </c>
      <c r="L68" s="24">
        <f t="shared" si="90"/>
        <v>1995470</v>
      </c>
      <c r="M68" s="24">
        <f t="shared" si="90"/>
        <v>2073930</v>
      </c>
      <c r="N68" s="24">
        <f t="shared" si="90"/>
        <v>0</v>
      </c>
      <c r="O68" s="24">
        <f t="shared" si="90"/>
        <v>2190821</v>
      </c>
      <c r="P68" s="24">
        <f t="shared" si="90"/>
        <v>73800</v>
      </c>
      <c r="Q68" s="24">
        <f t="shared" si="90"/>
        <v>206512</v>
      </c>
      <c r="R68" s="24">
        <f t="shared" si="90"/>
        <v>54776</v>
      </c>
      <c r="S68" s="24">
        <f t="shared" si="90"/>
        <v>151736</v>
      </c>
      <c r="T68" s="24">
        <f t="shared" si="90"/>
        <v>0</v>
      </c>
      <c r="U68" s="24">
        <f t="shared" si="90"/>
        <v>59099</v>
      </c>
      <c r="V68" s="24">
        <f t="shared" si="90"/>
        <v>5759</v>
      </c>
      <c r="W68" s="24">
        <f t="shared" si="90"/>
        <v>5759</v>
      </c>
      <c r="X68" s="24">
        <f t="shared" si="90"/>
        <v>0</v>
      </c>
      <c r="Y68" s="24">
        <f t="shared" si="90"/>
        <v>0</v>
      </c>
      <c r="Z68" s="24">
        <f t="shared" si="90"/>
        <v>0</v>
      </c>
      <c r="AA68" s="24">
        <f t="shared" si="90"/>
        <v>0</v>
      </c>
      <c r="AB68" s="24">
        <f t="shared" si="90"/>
        <v>0</v>
      </c>
      <c r="AC68" s="24">
        <f t="shared" si="90"/>
        <v>0</v>
      </c>
      <c r="AD68" s="24">
        <f t="shared" si="90"/>
        <v>0</v>
      </c>
      <c r="AE68" s="24">
        <f t="shared" si="90"/>
        <v>0</v>
      </c>
      <c r="AF68" s="24">
        <f t="shared" si="90"/>
        <v>2216482</v>
      </c>
      <c r="AG68" s="24">
        <f t="shared" si="90"/>
        <v>0</v>
      </c>
      <c r="AH68" s="24">
        <f t="shared" si="90"/>
        <v>0</v>
      </c>
      <c r="AI68" s="24">
        <f t="shared" si="90"/>
        <v>5700</v>
      </c>
      <c r="AJ68" s="24">
        <f t="shared" si="90"/>
        <v>346947</v>
      </c>
      <c r="AK68" s="24">
        <f t="shared" si="90"/>
        <v>0</v>
      </c>
      <c r="AL68" s="24">
        <f t="shared" si="90"/>
        <v>0</v>
      </c>
      <c r="AM68" s="24">
        <f t="shared" ref="AM68:CZ68" si="91">SUM(AM69)</f>
        <v>0</v>
      </c>
      <c r="AN68" s="24">
        <f t="shared" si="91"/>
        <v>0</v>
      </c>
      <c r="AO68" s="24">
        <f t="shared" si="91"/>
        <v>7100</v>
      </c>
      <c r="AP68" s="24">
        <f t="shared" si="91"/>
        <v>29682</v>
      </c>
      <c r="AQ68" s="24">
        <f t="shared" si="91"/>
        <v>0</v>
      </c>
      <c r="AR68" s="24"/>
      <c r="AS68" s="24">
        <f t="shared" si="91"/>
        <v>0</v>
      </c>
      <c r="AT68" s="24">
        <f t="shared" si="91"/>
        <v>0</v>
      </c>
      <c r="AU68" s="24">
        <f t="shared" si="91"/>
        <v>0</v>
      </c>
      <c r="AV68" s="24"/>
      <c r="AW68" s="24"/>
      <c r="AX68" s="24">
        <f t="shared" si="91"/>
        <v>0</v>
      </c>
      <c r="AY68" s="24">
        <f t="shared" si="91"/>
        <v>1815853</v>
      </c>
      <c r="AZ68" s="24">
        <f t="shared" si="91"/>
        <v>0</v>
      </c>
      <c r="BA68" s="24">
        <f t="shared" si="91"/>
        <v>0</v>
      </c>
      <c r="BB68" s="24"/>
      <c r="BC68" s="24">
        <f t="shared" si="91"/>
        <v>11200</v>
      </c>
      <c r="BD68" s="24">
        <f t="shared" si="91"/>
        <v>994230</v>
      </c>
      <c r="BE68" s="24">
        <f t="shared" si="91"/>
        <v>0</v>
      </c>
      <c r="BF68" s="24">
        <f t="shared" si="91"/>
        <v>0</v>
      </c>
      <c r="BG68" s="24">
        <f t="shared" si="91"/>
        <v>0</v>
      </c>
      <c r="BH68" s="24">
        <f t="shared" si="91"/>
        <v>0</v>
      </c>
      <c r="BI68" s="24">
        <f t="shared" si="91"/>
        <v>0</v>
      </c>
      <c r="BJ68" s="24">
        <f t="shared" si="91"/>
        <v>0</v>
      </c>
      <c r="BK68" s="24">
        <f t="shared" si="91"/>
        <v>0</v>
      </c>
      <c r="BL68" s="24">
        <f t="shared" si="91"/>
        <v>0</v>
      </c>
      <c r="BM68" s="24">
        <f t="shared" si="91"/>
        <v>0</v>
      </c>
      <c r="BN68" s="24">
        <f t="shared" si="91"/>
        <v>0</v>
      </c>
      <c r="BO68" s="24">
        <f t="shared" si="91"/>
        <v>0</v>
      </c>
      <c r="BP68" s="24">
        <f t="shared" si="91"/>
        <v>0</v>
      </c>
      <c r="BQ68" s="24">
        <f t="shared" si="91"/>
        <v>0</v>
      </c>
      <c r="BR68" s="24">
        <f t="shared" si="91"/>
        <v>994230</v>
      </c>
      <c r="BS68" s="24">
        <f t="shared" si="91"/>
        <v>0</v>
      </c>
      <c r="BT68" s="24">
        <f t="shared" si="91"/>
        <v>0</v>
      </c>
      <c r="BU68" s="24">
        <f t="shared" si="91"/>
        <v>0</v>
      </c>
      <c r="BV68" s="24">
        <f t="shared" si="91"/>
        <v>0</v>
      </c>
      <c r="BW68" s="24">
        <f t="shared" si="91"/>
        <v>0</v>
      </c>
      <c r="BX68" s="24">
        <f t="shared" si="91"/>
        <v>0</v>
      </c>
      <c r="BY68" s="24">
        <f t="shared" si="91"/>
        <v>0</v>
      </c>
      <c r="BZ68" s="24">
        <f t="shared" si="91"/>
        <v>0</v>
      </c>
      <c r="CA68" s="24">
        <f t="shared" si="91"/>
        <v>0</v>
      </c>
      <c r="CB68" s="24">
        <f t="shared" si="91"/>
        <v>989526</v>
      </c>
      <c r="CC68" s="24">
        <f t="shared" si="91"/>
        <v>4704</v>
      </c>
      <c r="CD68" s="24">
        <f t="shared" si="91"/>
        <v>544898</v>
      </c>
      <c r="CE68" s="24">
        <f t="shared" si="91"/>
        <v>544898</v>
      </c>
      <c r="CF68" s="24">
        <f t="shared" si="91"/>
        <v>460940</v>
      </c>
      <c r="CG68" s="24">
        <f t="shared" si="91"/>
        <v>0</v>
      </c>
      <c r="CH68" s="24">
        <f t="shared" si="91"/>
        <v>460940</v>
      </c>
      <c r="CI68" s="24">
        <f t="shared" si="91"/>
        <v>0</v>
      </c>
      <c r="CJ68" s="24">
        <f t="shared" si="91"/>
        <v>0</v>
      </c>
      <c r="CK68" s="24">
        <f t="shared" si="91"/>
        <v>0</v>
      </c>
      <c r="CL68" s="24">
        <f t="shared" si="91"/>
        <v>0</v>
      </c>
      <c r="CM68" s="24">
        <f t="shared" si="91"/>
        <v>0</v>
      </c>
      <c r="CN68" s="24">
        <f t="shared" si="91"/>
        <v>83958</v>
      </c>
      <c r="CO68" s="24">
        <f t="shared" si="91"/>
        <v>0</v>
      </c>
      <c r="CP68" s="24">
        <f t="shared" si="91"/>
        <v>0</v>
      </c>
      <c r="CQ68" s="24">
        <f t="shared" si="91"/>
        <v>83958</v>
      </c>
      <c r="CR68" s="24"/>
      <c r="CS68" s="24"/>
      <c r="CT68" s="24">
        <f t="shared" si="91"/>
        <v>0</v>
      </c>
      <c r="CU68" s="24">
        <f t="shared" si="91"/>
        <v>0</v>
      </c>
      <c r="CV68" s="24">
        <f t="shared" si="91"/>
        <v>0</v>
      </c>
      <c r="CW68" s="24">
        <f t="shared" si="91"/>
        <v>0</v>
      </c>
      <c r="CX68" s="24">
        <f t="shared" si="91"/>
        <v>0</v>
      </c>
      <c r="CY68" s="24">
        <f t="shared" si="91"/>
        <v>0</v>
      </c>
      <c r="CZ68" s="25">
        <f t="shared" si="91"/>
        <v>0</v>
      </c>
    </row>
    <row r="69" spans="1:104" ht="15.6" x14ac:dyDescent="0.3">
      <c r="A69" s="26" t="s">
        <v>1</v>
      </c>
      <c r="B69" s="27" t="s">
        <v>1</v>
      </c>
      <c r="C69" s="27" t="s">
        <v>151</v>
      </c>
      <c r="D69" s="28" t="s">
        <v>154</v>
      </c>
      <c r="E69" s="23">
        <f>SUM(F69+CD69+CW69)</f>
        <v>39451164</v>
      </c>
      <c r="F69" s="24">
        <f>SUM(G69+BD69)</f>
        <v>38906266</v>
      </c>
      <c r="G69" s="24">
        <f>SUM(H69+I69+J69+Q69+T69+U69+V69+AF69+AE69)</f>
        <v>37912036</v>
      </c>
      <c r="H69" s="29">
        <f>37787196-8931603</f>
        <v>28855593</v>
      </c>
      <c r="I69" s="29">
        <v>203757</v>
      </c>
      <c r="J69" s="24">
        <f t="shared" si="8"/>
        <v>6364834</v>
      </c>
      <c r="K69" s="29">
        <v>30813</v>
      </c>
      <c r="L69" s="29">
        <v>1995470</v>
      </c>
      <c r="M69" s="29">
        <v>2073930</v>
      </c>
      <c r="N69" s="29">
        <v>0</v>
      </c>
      <c r="O69" s="29">
        <v>2190821</v>
      </c>
      <c r="P69" s="29">
        <v>73800</v>
      </c>
      <c r="Q69" s="24">
        <f t="shared" si="9"/>
        <v>206512</v>
      </c>
      <c r="R69" s="29">
        <v>54776</v>
      </c>
      <c r="S69" s="29">
        <v>151736</v>
      </c>
      <c r="T69" s="29">
        <v>0</v>
      </c>
      <c r="U69" s="29">
        <v>59099</v>
      </c>
      <c r="V69" s="24">
        <f>SUM(W69:AD69)</f>
        <v>5759</v>
      </c>
      <c r="W69" s="29">
        <v>5759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f>SUM(AG69:BC69)</f>
        <v>2216482</v>
      </c>
      <c r="AG69" s="24">
        <v>0</v>
      </c>
      <c r="AH69" s="24"/>
      <c r="AI69" s="29">
        <v>5700</v>
      </c>
      <c r="AJ69" s="29">
        <v>346947</v>
      </c>
      <c r="AK69" s="29">
        <v>0</v>
      </c>
      <c r="AL69" s="29">
        <v>0</v>
      </c>
      <c r="AM69" s="29">
        <v>0</v>
      </c>
      <c r="AN69" s="29">
        <v>0</v>
      </c>
      <c r="AO69" s="29">
        <v>7100</v>
      </c>
      <c r="AP69" s="29">
        <v>29682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f>2704263-888410</f>
        <v>1815853</v>
      </c>
      <c r="AZ69" s="29">
        <v>0</v>
      </c>
      <c r="BA69" s="29">
        <v>0</v>
      </c>
      <c r="BB69" s="29">
        <v>0</v>
      </c>
      <c r="BC69" s="29">
        <v>11200</v>
      </c>
      <c r="BD69" s="24">
        <f>SUM(BE69+BI69+BM69+BO69+BR69)</f>
        <v>994230</v>
      </c>
      <c r="BE69" s="24">
        <f>SUM(BF69:BH69)</f>
        <v>0</v>
      </c>
      <c r="BF69" s="24">
        <v>0</v>
      </c>
      <c r="BG69" s="24">
        <v>0</v>
      </c>
      <c r="BH69" s="24">
        <v>0</v>
      </c>
      <c r="BI69" s="24">
        <f>SUM(BL69:BL69)</f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f t="shared" si="10"/>
        <v>0</v>
      </c>
      <c r="BP69" s="24">
        <v>0</v>
      </c>
      <c r="BQ69" s="24">
        <v>0</v>
      </c>
      <c r="BR69" s="24">
        <f>SUM(BS69:CC69)</f>
        <v>994230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0</v>
      </c>
      <c r="CA69" s="24">
        <v>0</v>
      </c>
      <c r="CB69" s="29">
        <f>3152700-2163174</f>
        <v>989526</v>
      </c>
      <c r="CC69" s="29">
        <f>387409-382705</f>
        <v>4704</v>
      </c>
      <c r="CD69" s="24">
        <f>SUM(CE69+CV69)</f>
        <v>544898</v>
      </c>
      <c r="CE69" s="24">
        <f>SUM(CF69+CI69+CN69)</f>
        <v>544898</v>
      </c>
      <c r="CF69" s="24">
        <f t="shared" si="11"/>
        <v>460940</v>
      </c>
      <c r="CG69" s="24">
        <v>0</v>
      </c>
      <c r="CH69" s="29">
        <v>460940</v>
      </c>
      <c r="CI69" s="24">
        <f>SUM(CJ69:CM69)</f>
        <v>0</v>
      </c>
      <c r="CJ69" s="24">
        <v>0</v>
      </c>
      <c r="CK69" s="24">
        <v>0</v>
      </c>
      <c r="CL69" s="24">
        <v>0</v>
      </c>
      <c r="CM69" s="24">
        <v>0</v>
      </c>
      <c r="CN69" s="24">
        <f>SUM(CO69:CS69)</f>
        <v>83958</v>
      </c>
      <c r="CO69" s="24">
        <v>0</v>
      </c>
      <c r="CP69" s="24">
        <v>0</v>
      </c>
      <c r="CQ69" s="29">
        <v>83958</v>
      </c>
      <c r="CR69" s="24"/>
      <c r="CS69" s="24"/>
      <c r="CT69" s="24">
        <v>0</v>
      </c>
      <c r="CU69" s="24">
        <v>0</v>
      </c>
      <c r="CV69" s="24">
        <v>0</v>
      </c>
      <c r="CW69" s="24">
        <f t="shared" si="12"/>
        <v>0</v>
      </c>
      <c r="CX69" s="24">
        <f t="shared" si="13"/>
        <v>0</v>
      </c>
      <c r="CY69" s="24">
        <v>0</v>
      </c>
      <c r="CZ69" s="25">
        <v>0</v>
      </c>
    </row>
    <row r="70" spans="1:104" ht="46.8" x14ac:dyDescent="0.3">
      <c r="A70" s="31" t="s">
        <v>155</v>
      </c>
      <c r="B70" s="32" t="s">
        <v>1</v>
      </c>
      <c r="C70" s="32" t="s">
        <v>1</v>
      </c>
      <c r="D70" s="33" t="s">
        <v>156</v>
      </c>
      <c r="E70" s="34">
        <f>SUM(E71+E73+E76+E78+E80+E82+E86+E84)</f>
        <v>689226530</v>
      </c>
      <c r="F70" s="35">
        <f t="shared" ref="F70:BS70" si="92">SUM(F71+F73+F76+F78+F80+F82+F86+F84)</f>
        <v>664655270</v>
      </c>
      <c r="G70" s="35">
        <f t="shared" si="92"/>
        <v>661965009</v>
      </c>
      <c r="H70" s="35">
        <f t="shared" si="92"/>
        <v>456028034</v>
      </c>
      <c r="I70" s="35">
        <f t="shared" si="92"/>
        <v>20781431</v>
      </c>
      <c r="J70" s="35">
        <f t="shared" si="92"/>
        <v>94817333</v>
      </c>
      <c r="K70" s="35">
        <f t="shared" si="92"/>
        <v>1096883</v>
      </c>
      <c r="L70" s="35">
        <f t="shared" si="92"/>
        <v>32844943</v>
      </c>
      <c r="M70" s="35">
        <f t="shared" si="92"/>
        <v>22063696</v>
      </c>
      <c r="N70" s="35">
        <f t="shared" si="92"/>
        <v>652728</v>
      </c>
      <c r="O70" s="35">
        <f t="shared" si="92"/>
        <v>28730074</v>
      </c>
      <c r="P70" s="35">
        <f t="shared" si="92"/>
        <v>9429009</v>
      </c>
      <c r="Q70" s="35">
        <f t="shared" si="92"/>
        <v>5659626</v>
      </c>
      <c r="R70" s="35">
        <f t="shared" si="92"/>
        <v>146259</v>
      </c>
      <c r="S70" s="35">
        <f t="shared" si="92"/>
        <v>5513367</v>
      </c>
      <c r="T70" s="35">
        <f t="shared" si="92"/>
        <v>23352</v>
      </c>
      <c r="U70" s="35">
        <f t="shared" si="92"/>
        <v>5174736</v>
      </c>
      <c r="V70" s="35">
        <f t="shared" si="92"/>
        <v>19497045</v>
      </c>
      <c r="W70" s="35">
        <f t="shared" si="92"/>
        <v>1508766</v>
      </c>
      <c r="X70" s="35">
        <f t="shared" si="92"/>
        <v>3915135</v>
      </c>
      <c r="Y70" s="35">
        <f t="shared" si="92"/>
        <v>8697044</v>
      </c>
      <c r="Z70" s="35">
        <f t="shared" si="92"/>
        <v>4030203</v>
      </c>
      <c r="AA70" s="35">
        <f t="shared" si="92"/>
        <v>501660</v>
      </c>
      <c r="AB70" s="35">
        <f t="shared" si="92"/>
        <v>105386</v>
      </c>
      <c r="AC70" s="35">
        <f t="shared" si="92"/>
        <v>0</v>
      </c>
      <c r="AD70" s="35">
        <f t="shared" si="92"/>
        <v>738851</v>
      </c>
      <c r="AE70" s="35">
        <f t="shared" si="92"/>
        <v>0</v>
      </c>
      <c r="AF70" s="35">
        <f t="shared" si="92"/>
        <v>59983452</v>
      </c>
      <c r="AG70" s="35">
        <f t="shared" si="92"/>
        <v>0</v>
      </c>
      <c r="AH70" s="35">
        <f t="shared" si="92"/>
        <v>0</v>
      </c>
      <c r="AI70" s="35">
        <f t="shared" si="92"/>
        <v>437249</v>
      </c>
      <c r="AJ70" s="35">
        <f t="shared" si="92"/>
        <v>2302315</v>
      </c>
      <c r="AK70" s="35">
        <f t="shared" si="92"/>
        <v>83562</v>
      </c>
      <c r="AL70" s="35">
        <f t="shared" si="92"/>
        <v>12477</v>
      </c>
      <c r="AM70" s="35">
        <f t="shared" si="92"/>
        <v>489547</v>
      </c>
      <c r="AN70" s="35">
        <f t="shared" si="92"/>
        <v>43793</v>
      </c>
      <c r="AO70" s="35">
        <f t="shared" si="92"/>
        <v>1776171</v>
      </c>
      <c r="AP70" s="35">
        <f t="shared" si="92"/>
        <v>119367</v>
      </c>
      <c r="AQ70" s="35">
        <f t="shared" si="92"/>
        <v>10460</v>
      </c>
      <c r="AR70" s="35"/>
      <c r="AS70" s="35">
        <f t="shared" si="92"/>
        <v>4705987</v>
      </c>
      <c r="AT70" s="35">
        <f t="shared" si="92"/>
        <v>1864460</v>
      </c>
      <c r="AU70" s="35">
        <f t="shared" si="92"/>
        <v>63000</v>
      </c>
      <c r="AV70" s="35"/>
      <c r="AW70" s="35"/>
      <c r="AX70" s="35">
        <f t="shared" si="92"/>
        <v>0</v>
      </c>
      <c r="AY70" s="35">
        <f t="shared" si="92"/>
        <v>38668332</v>
      </c>
      <c r="AZ70" s="35">
        <f t="shared" si="92"/>
        <v>828</v>
      </c>
      <c r="BA70" s="35">
        <f t="shared" si="92"/>
        <v>578832</v>
      </c>
      <c r="BB70" s="35">
        <f t="shared" si="92"/>
        <v>3681020</v>
      </c>
      <c r="BC70" s="35">
        <f t="shared" si="92"/>
        <v>5146052</v>
      </c>
      <c r="BD70" s="35">
        <f t="shared" si="92"/>
        <v>2690261</v>
      </c>
      <c r="BE70" s="35">
        <f t="shared" si="92"/>
        <v>0</v>
      </c>
      <c r="BF70" s="35">
        <f t="shared" si="92"/>
        <v>0</v>
      </c>
      <c r="BG70" s="35">
        <f t="shared" si="92"/>
        <v>0</v>
      </c>
      <c r="BH70" s="35">
        <f t="shared" si="92"/>
        <v>0</v>
      </c>
      <c r="BI70" s="35">
        <f t="shared" si="92"/>
        <v>0</v>
      </c>
      <c r="BJ70" s="35">
        <f t="shared" si="92"/>
        <v>0</v>
      </c>
      <c r="BK70" s="35">
        <f t="shared" ref="BK70" si="93">SUM(BK71+BK73+BK76+BK78+BK80+BK82+BK86+BK84)</f>
        <v>0</v>
      </c>
      <c r="BL70" s="35">
        <f t="shared" si="92"/>
        <v>0</v>
      </c>
      <c r="BM70" s="35">
        <f t="shared" si="92"/>
        <v>0</v>
      </c>
      <c r="BN70" s="35">
        <f t="shared" si="92"/>
        <v>0</v>
      </c>
      <c r="BO70" s="35">
        <f t="shared" si="92"/>
        <v>870594</v>
      </c>
      <c r="BP70" s="35">
        <f t="shared" si="92"/>
        <v>870594</v>
      </c>
      <c r="BQ70" s="35">
        <f t="shared" ref="BQ70" si="94">SUM(BQ71+BQ73+BQ76+BQ78+BQ80+BQ82+BQ86+BQ84)</f>
        <v>0</v>
      </c>
      <c r="BR70" s="35">
        <f t="shared" si="92"/>
        <v>1819667</v>
      </c>
      <c r="BS70" s="35">
        <f t="shared" si="92"/>
        <v>0</v>
      </c>
      <c r="BT70" s="35">
        <f t="shared" ref="BT70:CZ70" si="95">SUM(BT71+BT73+BT76+BT78+BT80+BT82+BT86+BT84)</f>
        <v>0</v>
      </c>
      <c r="BU70" s="35">
        <f t="shared" si="95"/>
        <v>3845</v>
      </c>
      <c r="BV70" s="35">
        <f t="shared" si="95"/>
        <v>0</v>
      </c>
      <c r="BW70" s="35">
        <f t="shared" si="95"/>
        <v>0</v>
      </c>
      <c r="BX70" s="35">
        <f t="shared" si="95"/>
        <v>0</v>
      </c>
      <c r="BY70" s="35">
        <f t="shared" si="95"/>
        <v>0</v>
      </c>
      <c r="BZ70" s="35">
        <f t="shared" si="95"/>
        <v>0</v>
      </c>
      <c r="CA70" s="35">
        <f t="shared" si="95"/>
        <v>0</v>
      </c>
      <c r="CB70" s="35">
        <f t="shared" si="95"/>
        <v>1205426</v>
      </c>
      <c r="CC70" s="35">
        <f t="shared" si="95"/>
        <v>610396</v>
      </c>
      <c r="CD70" s="35">
        <f t="shared" si="95"/>
        <v>24571260</v>
      </c>
      <c r="CE70" s="35">
        <f t="shared" si="95"/>
        <v>24571260</v>
      </c>
      <c r="CF70" s="35">
        <f t="shared" si="95"/>
        <v>20928802</v>
      </c>
      <c r="CG70" s="35">
        <f t="shared" si="95"/>
        <v>0</v>
      </c>
      <c r="CH70" s="35">
        <f t="shared" si="95"/>
        <v>20928802</v>
      </c>
      <c r="CI70" s="35">
        <f t="shared" si="95"/>
        <v>1135279</v>
      </c>
      <c r="CJ70" s="35">
        <f t="shared" si="95"/>
        <v>0</v>
      </c>
      <c r="CK70" s="35">
        <f t="shared" ref="CK70:CL70" si="96">SUM(CK71+CK73+CK76+CK78+CK80+CK82+CK86+CK84)</f>
        <v>0</v>
      </c>
      <c r="CL70" s="35">
        <f t="shared" si="96"/>
        <v>1135279</v>
      </c>
      <c r="CM70" s="35">
        <f t="shared" si="95"/>
        <v>0</v>
      </c>
      <c r="CN70" s="35">
        <f t="shared" si="95"/>
        <v>2507179</v>
      </c>
      <c r="CO70" s="35">
        <f t="shared" si="95"/>
        <v>0</v>
      </c>
      <c r="CP70" s="35">
        <f t="shared" ref="CP70" si="97">SUM(CP71+CP73+CP76+CP78+CP80+CP82+CP86+CP84)</f>
        <v>163350</v>
      </c>
      <c r="CQ70" s="35">
        <f t="shared" si="95"/>
        <v>2343829</v>
      </c>
      <c r="CR70" s="35"/>
      <c r="CS70" s="35"/>
      <c r="CT70" s="35">
        <f t="shared" si="95"/>
        <v>0</v>
      </c>
      <c r="CU70" s="35">
        <f t="shared" si="95"/>
        <v>0</v>
      </c>
      <c r="CV70" s="35">
        <f t="shared" si="95"/>
        <v>0</v>
      </c>
      <c r="CW70" s="35">
        <f t="shared" si="95"/>
        <v>0</v>
      </c>
      <c r="CX70" s="35">
        <f t="shared" si="95"/>
        <v>0</v>
      </c>
      <c r="CY70" s="35">
        <f t="shared" si="95"/>
        <v>0</v>
      </c>
      <c r="CZ70" s="36">
        <f t="shared" si="95"/>
        <v>0</v>
      </c>
    </row>
    <row r="71" spans="1:104" ht="15.6" x14ac:dyDescent="0.3">
      <c r="A71" s="20"/>
      <c r="B71" s="21" t="s">
        <v>157</v>
      </c>
      <c r="C71" s="21" t="s">
        <v>1</v>
      </c>
      <c r="D71" s="22" t="s">
        <v>158</v>
      </c>
      <c r="E71" s="23">
        <f t="shared" ref="E71:BU71" si="98">SUM(E72)</f>
        <v>317274296</v>
      </c>
      <c r="F71" s="24">
        <f t="shared" si="98"/>
        <v>300760843</v>
      </c>
      <c r="G71" s="24">
        <f t="shared" si="98"/>
        <v>299838970</v>
      </c>
      <c r="H71" s="24">
        <f t="shared" si="98"/>
        <v>210202736</v>
      </c>
      <c r="I71" s="24">
        <f t="shared" si="98"/>
        <v>13107444</v>
      </c>
      <c r="J71" s="24">
        <f t="shared" si="98"/>
        <v>41927398</v>
      </c>
      <c r="K71" s="24">
        <f t="shared" si="98"/>
        <v>294413</v>
      </c>
      <c r="L71" s="24">
        <f t="shared" si="98"/>
        <v>17031843</v>
      </c>
      <c r="M71" s="24">
        <f t="shared" si="98"/>
        <v>5248685</v>
      </c>
      <c r="N71" s="24">
        <f t="shared" si="98"/>
        <v>0</v>
      </c>
      <c r="O71" s="24">
        <f t="shared" si="98"/>
        <v>13687678</v>
      </c>
      <c r="P71" s="24">
        <f t="shared" si="98"/>
        <v>5664779</v>
      </c>
      <c r="Q71" s="24">
        <f t="shared" si="98"/>
        <v>327489</v>
      </c>
      <c r="R71" s="24">
        <f t="shared" si="98"/>
        <v>55141</v>
      </c>
      <c r="S71" s="24">
        <f t="shared" si="98"/>
        <v>272348</v>
      </c>
      <c r="T71" s="24">
        <f t="shared" si="98"/>
        <v>0</v>
      </c>
      <c r="U71" s="24">
        <f t="shared" si="98"/>
        <v>3172000</v>
      </c>
      <c r="V71" s="24">
        <f t="shared" si="98"/>
        <v>7227285</v>
      </c>
      <c r="W71" s="24">
        <f t="shared" si="98"/>
        <v>175108</v>
      </c>
      <c r="X71" s="24">
        <f t="shared" si="98"/>
        <v>2842028</v>
      </c>
      <c r="Y71" s="24">
        <f t="shared" si="98"/>
        <v>2789225</v>
      </c>
      <c r="Z71" s="24">
        <f t="shared" si="98"/>
        <v>963650</v>
      </c>
      <c r="AA71" s="24">
        <f t="shared" si="98"/>
        <v>227825</v>
      </c>
      <c r="AB71" s="24">
        <f t="shared" si="98"/>
        <v>78851</v>
      </c>
      <c r="AC71" s="24">
        <f t="shared" si="98"/>
        <v>0</v>
      </c>
      <c r="AD71" s="24">
        <f t="shared" si="98"/>
        <v>150598</v>
      </c>
      <c r="AE71" s="24">
        <f t="shared" si="98"/>
        <v>0</v>
      </c>
      <c r="AF71" s="24">
        <f t="shared" si="98"/>
        <v>23874618</v>
      </c>
      <c r="AG71" s="24">
        <f t="shared" si="98"/>
        <v>0</v>
      </c>
      <c r="AH71" s="24">
        <f t="shared" si="98"/>
        <v>0</v>
      </c>
      <c r="AI71" s="24">
        <f t="shared" si="98"/>
        <v>161016</v>
      </c>
      <c r="AJ71" s="24">
        <f t="shared" si="98"/>
        <v>367961</v>
      </c>
      <c r="AK71" s="24">
        <f t="shared" si="98"/>
        <v>83162</v>
      </c>
      <c r="AL71" s="24">
        <f t="shared" si="98"/>
        <v>0</v>
      </c>
      <c r="AM71" s="24">
        <f t="shared" si="98"/>
        <v>70735</v>
      </c>
      <c r="AN71" s="24">
        <f t="shared" si="98"/>
        <v>32011</v>
      </c>
      <c r="AO71" s="24">
        <f t="shared" si="98"/>
        <v>1449184</v>
      </c>
      <c r="AP71" s="24">
        <f t="shared" si="98"/>
        <v>18042</v>
      </c>
      <c r="AQ71" s="24">
        <f t="shared" si="98"/>
        <v>3260</v>
      </c>
      <c r="AR71" s="24"/>
      <c r="AS71" s="24">
        <f t="shared" si="98"/>
        <v>3626502</v>
      </c>
      <c r="AT71" s="24">
        <f t="shared" si="98"/>
        <v>1216389</v>
      </c>
      <c r="AU71" s="24">
        <f t="shared" si="98"/>
        <v>15000</v>
      </c>
      <c r="AV71" s="24"/>
      <c r="AW71" s="24"/>
      <c r="AX71" s="24">
        <f t="shared" si="98"/>
        <v>0</v>
      </c>
      <c r="AY71" s="24">
        <f t="shared" si="98"/>
        <v>10263348</v>
      </c>
      <c r="AZ71" s="24">
        <f t="shared" si="98"/>
        <v>0</v>
      </c>
      <c r="BA71" s="24">
        <f t="shared" si="98"/>
        <v>89548</v>
      </c>
      <c r="BB71" s="24">
        <f t="shared" si="98"/>
        <v>2697020</v>
      </c>
      <c r="BC71" s="24">
        <f t="shared" si="98"/>
        <v>3781440</v>
      </c>
      <c r="BD71" s="24">
        <f t="shared" si="98"/>
        <v>921873</v>
      </c>
      <c r="BE71" s="24">
        <f t="shared" si="98"/>
        <v>0</v>
      </c>
      <c r="BF71" s="24">
        <f t="shared" si="98"/>
        <v>0</v>
      </c>
      <c r="BG71" s="24">
        <f t="shared" si="98"/>
        <v>0</v>
      </c>
      <c r="BH71" s="24">
        <f t="shared" si="98"/>
        <v>0</v>
      </c>
      <c r="BI71" s="24">
        <f t="shared" si="98"/>
        <v>0</v>
      </c>
      <c r="BJ71" s="24">
        <f t="shared" si="98"/>
        <v>0</v>
      </c>
      <c r="BK71" s="24">
        <f t="shared" si="98"/>
        <v>0</v>
      </c>
      <c r="BL71" s="24">
        <f t="shared" si="98"/>
        <v>0</v>
      </c>
      <c r="BM71" s="24">
        <f t="shared" si="98"/>
        <v>0</v>
      </c>
      <c r="BN71" s="24">
        <f t="shared" si="98"/>
        <v>0</v>
      </c>
      <c r="BO71" s="24">
        <f t="shared" si="98"/>
        <v>304566</v>
      </c>
      <c r="BP71" s="24">
        <f t="shared" si="98"/>
        <v>304566</v>
      </c>
      <c r="BQ71" s="24">
        <f t="shared" si="98"/>
        <v>0</v>
      </c>
      <c r="BR71" s="24">
        <f t="shared" si="98"/>
        <v>617307</v>
      </c>
      <c r="BS71" s="24">
        <f t="shared" si="98"/>
        <v>0</v>
      </c>
      <c r="BT71" s="24">
        <f t="shared" si="98"/>
        <v>0</v>
      </c>
      <c r="BU71" s="24">
        <f t="shared" si="98"/>
        <v>3845</v>
      </c>
      <c r="BV71" s="24">
        <f t="shared" ref="BV71:CZ71" si="99">SUM(BV72)</f>
        <v>0</v>
      </c>
      <c r="BW71" s="24">
        <f t="shared" si="99"/>
        <v>0</v>
      </c>
      <c r="BX71" s="24">
        <f t="shared" si="99"/>
        <v>0</v>
      </c>
      <c r="BY71" s="24">
        <f t="shared" si="99"/>
        <v>0</v>
      </c>
      <c r="BZ71" s="24">
        <f t="shared" si="99"/>
        <v>0</v>
      </c>
      <c r="CA71" s="24">
        <f t="shared" si="99"/>
        <v>0</v>
      </c>
      <c r="CB71" s="24">
        <f t="shared" si="99"/>
        <v>306426</v>
      </c>
      <c r="CC71" s="24">
        <f t="shared" si="99"/>
        <v>307036</v>
      </c>
      <c r="CD71" s="24">
        <f t="shared" si="99"/>
        <v>16513453</v>
      </c>
      <c r="CE71" s="24">
        <f t="shared" si="99"/>
        <v>16513453</v>
      </c>
      <c r="CF71" s="24">
        <f t="shared" si="99"/>
        <v>14692938</v>
      </c>
      <c r="CG71" s="24">
        <f t="shared" si="99"/>
        <v>0</v>
      </c>
      <c r="CH71" s="24">
        <f t="shared" si="99"/>
        <v>14692938</v>
      </c>
      <c r="CI71" s="24">
        <f t="shared" si="99"/>
        <v>64986</v>
      </c>
      <c r="CJ71" s="24">
        <f t="shared" si="99"/>
        <v>0</v>
      </c>
      <c r="CK71" s="24">
        <f t="shared" si="99"/>
        <v>0</v>
      </c>
      <c r="CL71" s="24">
        <f t="shared" si="99"/>
        <v>64986</v>
      </c>
      <c r="CM71" s="24">
        <f t="shared" si="99"/>
        <v>0</v>
      </c>
      <c r="CN71" s="24">
        <f t="shared" si="99"/>
        <v>1755529</v>
      </c>
      <c r="CO71" s="24">
        <f t="shared" si="99"/>
        <v>0</v>
      </c>
      <c r="CP71" s="24">
        <f t="shared" si="99"/>
        <v>163350</v>
      </c>
      <c r="CQ71" s="24">
        <f t="shared" si="99"/>
        <v>1592179</v>
      </c>
      <c r="CR71" s="24"/>
      <c r="CS71" s="24"/>
      <c r="CT71" s="24">
        <f t="shared" si="99"/>
        <v>0</v>
      </c>
      <c r="CU71" s="24">
        <f t="shared" si="99"/>
        <v>0</v>
      </c>
      <c r="CV71" s="24">
        <f t="shared" si="99"/>
        <v>0</v>
      </c>
      <c r="CW71" s="24">
        <f t="shared" si="99"/>
        <v>0</v>
      </c>
      <c r="CX71" s="24">
        <f t="shared" si="99"/>
        <v>0</v>
      </c>
      <c r="CY71" s="24">
        <f t="shared" si="99"/>
        <v>0</v>
      </c>
      <c r="CZ71" s="25">
        <f t="shared" si="99"/>
        <v>0</v>
      </c>
    </row>
    <row r="72" spans="1:104" ht="15.6" x14ac:dyDescent="0.3">
      <c r="A72" s="26"/>
      <c r="B72" s="27" t="s">
        <v>1</v>
      </c>
      <c r="C72" s="27" t="s">
        <v>159</v>
      </c>
      <c r="D72" s="28" t="s">
        <v>160</v>
      </c>
      <c r="E72" s="23">
        <f>SUM(F72+CD72+CW72)</f>
        <v>317274296</v>
      </c>
      <c r="F72" s="24">
        <f>SUM(G72+BD72)</f>
        <v>300760843</v>
      </c>
      <c r="G72" s="24">
        <f>SUM(H72+I72+J72+Q72+T72+U72+V72+AF72+AE72)</f>
        <v>299838970</v>
      </c>
      <c r="H72" s="29">
        <f>205144150+4112895-2517+948208</f>
        <v>210202736</v>
      </c>
      <c r="I72" s="29">
        <f>11333708+1773736</f>
        <v>13107444</v>
      </c>
      <c r="J72" s="24">
        <f t="shared" si="8"/>
        <v>41927398</v>
      </c>
      <c r="K72" s="29">
        <v>294413</v>
      </c>
      <c r="L72" s="29">
        <v>17031843</v>
      </c>
      <c r="M72" s="29">
        <v>5248685</v>
      </c>
      <c r="N72" s="29">
        <v>0</v>
      </c>
      <c r="O72" s="29">
        <f>12809422+78256+800000</f>
        <v>13687678</v>
      </c>
      <c r="P72" s="29">
        <v>5664779</v>
      </c>
      <c r="Q72" s="24">
        <f t="shared" si="9"/>
        <v>327489</v>
      </c>
      <c r="R72" s="29">
        <v>55141</v>
      </c>
      <c r="S72" s="29">
        <v>272348</v>
      </c>
      <c r="T72" s="29">
        <v>0</v>
      </c>
      <c r="U72" s="29">
        <f>3800000-628000</f>
        <v>3172000</v>
      </c>
      <c r="V72" s="24">
        <f>SUM(W72:AD72)</f>
        <v>7227285</v>
      </c>
      <c r="W72" s="29">
        <v>175108</v>
      </c>
      <c r="X72" s="29">
        <f>2537653+304375</f>
        <v>2842028</v>
      </c>
      <c r="Y72" s="29">
        <f>2697282+12096+79847</f>
        <v>2789225</v>
      </c>
      <c r="Z72" s="29">
        <f>914750+7270+41630</f>
        <v>963650</v>
      </c>
      <c r="AA72" s="29">
        <v>227825</v>
      </c>
      <c r="AB72" s="29">
        <v>78851</v>
      </c>
      <c r="AC72" s="29">
        <v>0</v>
      </c>
      <c r="AD72" s="29">
        <f>137845+12753</f>
        <v>150598</v>
      </c>
      <c r="AE72" s="24"/>
      <c r="AF72" s="24">
        <f>SUM(AG72:BC72)</f>
        <v>23874618</v>
      </c>
      <c r="AG72" s="24">
        <v>0</v>
      </c>
      <c r="AH72" s="24"/>
      <c r="AI72" s="29">
        <v>161016</v>
      </c>
      <c r="AJ72" s="29">
        <v>367961</v>
      </c>
      <c r="AK72" s="29">
        <v>83162</v>
      </c>
      <c r="AL72" s="29">
        <v>0</v>
      </c>
      <c r="AM72" s="29">
        <v>70735</v>
      </c>
      <c r="AN72" s="29">
        <f>82011-50000</f>
        <v>32011</v>
      </c>
      <c r="AO72" s="29">
        <v>1449184</v>
      </c>
      <c r="AP72" s="29">
        <v>18042</v>
      </c>
      <c r="AQ72" s="29">
        <v>3260</v>
      </c>
      <c r="AR72" s="29">
        <v>0</v>
      </c>
      <c r="AS72" s="29">
        <v>3626502</v>
      </c>
      <c r="AT72" s="29">
        <v>1216389</v>
      </c>
      <c r="AU72" s="29">
        <v>15000</v>
      </c>
      <c r="AV72" s="29">
        <v>0</v>
      </c>
      <c r="AW72" s="29">
        <v>0</v>
      </c>
      <c r="AX72" s="29">
        <v>0</v>
      </c>
      <c r="AY72" s="29">
        <f>10975287-711939</f>
        <v>10263348</v>
      </c>
      <c r="AZ72" s="29">
        <v>0</v>
      </c>
      <c r="BA72" s="29">
        <f>197076-107528</f>
        <v>89548</v>
      </c>
      <c r="BB72" s="29">
        <f>0+2697020</f>
        <v>2697020</v>
      </c>
      <c r="BC72" s="29">
        <f>4752460-971020</f>
        <v>3781440</v>
      </c>
      <c r="BD72" s="24">
        <f>SUM(BE72+BI72+BM72+BO72+BR72)</f>
        <v>921873</v>
      </c>
      <c r="BE72" s="24">
        <f>SUM(BF72:BH72)</f>
        <v>0</v>
      </c>
      <c r="BF72" s="24">
        <v>0</v>
      </c>
      <c r="BG72" s="24">
        <v>0</v>
      </c>
      <c r="BH72" s="24">
        <v>0</v>
      </c>
      <c r="BI72" s="24">
        <f>SUM(BL72:BL72)</f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f t="shared" si="10"/>
        <v>304566</v>
      </c>
      <c r="BP72" s="24">
        <v>304566</v>
      </c>
      <c r="BQ72" s="24"/>
      <c r="BR72" s="24">
        <f>SUM(BS72:CC72)</f>
        <v>617307</v>
      </c>
      <c r="BS72" s="24">
        <v>0</v>
      </c>
      <c r="BT72" s="24">
        <v>0</v>
      </c>
      <c r="BU72" s="29">
        <f>85088-81243</f>
        <v>3845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9">
        <v>306426</v>
      </c>
      <c r="CC72" s="29">
        <v>307036</v>
      </c>
      <c r="CD72" s="24">
        <f>SUM(CE72+CV72)</f>
        <v>16513453</v>
      </c>
      <c r="CE72" s="24">
        <f>SUM(CF72+CI72+CN72)</f>
        <v>16513453</v>
      </c>
      <c r="CF72" s="24">
        <f t="shared" si="11"/>
        <v>14692938</v>
      </c>
      <c r="CG72" s="24">
        <v>0</v>
      </c>
      <c r="CH72" s="29">
        <f>12852047+3000000-1159109</f>
        <v>14692938</v>
      </c>
      <c r="CI72" s="24">
        <f>SUM(CJ72:CM72)</f>
        <v>64986</v>
      </c>
      <c r="CJ72" s="24">
        <v>0</v>
      </c>
      <c r="CK72" s="24">
        <v>0</v>
      </c>
      <c r="CL72" s="29">
        <v>64986</v>
      </c>
      <c r="CM72" s="29"/>
      <c r="CN72" s="24">
        <f>SUM(CO72:CS72)</f>
        <v>1755529</v>
      </c>
      <c r="CO72" s="29"/>
      <c r="CP72" s="29">
        <v>163350</v>
      </c>
      <c r="CQ72" s="62">
        <v>1592179</v>
      </c>
      <c r="CR72" s="24"/>
      <c r="CS72" s="24"/>
      <c r="CT72" s="24"/>
      <c r="CU72" s="24"/>
      <c r="CV72" s="24">
        <v>0</v>
      </c>
      <c r="CW72" s="24">
        <f t="shared" si="12"/>
        <v>0</v>
      </c>
      <c r="CX72" s="24">
        <f t="shared" si="13"/>
        <v>0</v>
      </c>
      <c r="CY72" s="24">
        <v>0</v>
      </c>
      <c r="CZ72" s="25">
        <v>0</v>
      </c>
    </row>
    <row r="73" spans="1:104" ht="31.2" x14ac:dyDescent="0.3">
      <c r="A73" s="20"/>
      <c r="B73" s="21" t="s">
        <v>161</v>
      </c>
      <c r="C73" s="21" t="s">
        <v>1</v>
      </c>
      <c r="D73" s="22" t="s">
        <v>424</v>
      </c>
      <c r="E73" s="23">
        <f>SUM(E74:E75)</f>
        <v>108982014</v>
      </c>
      <c r="F73" s="24">
        <f t="shared" ref="F73:BX73" si="100">SUM(F74:F75)</f>
        <v>108023151</v>
      </c>
      <c r="G73" s="24">
        <f t="shared" si="100"/>
        <v>107920151</v>
      </c>
      <c r="H73" s="24">
        <f t="shared" si="100"/>
        <v>64203865</v>
      </c>
      <c r="I73" s="24">
        <f t="shared" si="100"/>
        <v>2637184</v>
      </c>
      <c r="J73" s="24">
        <f t="shared" si="100"/>
        <v>26378572</v>
      </c>
      <c r="K73" s="24">
        <f t="shared" si="100"/>
        <v>396976</v>
      </c>
      <c r="L73" s="24">
        <f t="shared" si="100"/>
        <v>5931859</v>
      </c>
      <c r="M73" s="24">
        <f t="shared" si="100"/>
        <v>15991492</v>
      </c>
      <c r="N73" s="24">
        <f t="shared" si="100"/>
        <v>0</v>
      </c>
      <c r="O73" s="24">
        <f t="shared" si="100"/>
        <v>2991144</v>
      </c>
      <c r="P73" s="24">
        <f t="shared" si="100"/>
        <v>1067101</v>
      </c>
      <c r="Q73" s="24">
        <f t="shared" si="100"/>
        <v>15355</v>
      </c>
      <c r="R73" s="24">
        <f t="shared" si="100"/>
        <v>15355</v>
      </c>
      <c r="S73" s="24">
        <f t="shared" si="100"/>
        <v>0</v>
      </c>
      <c r="T73" s="24">
        <f t="shared" si="100"/>
        <v>0</v>
      </c>
      <c r="U73" s="24">
        <f t="shared" si="100"/>
        <v>456927</v>
      </c>
      <c r="V73" s="24">
        <f t="shared" si="100"/>
        <v>8059039</v>
      </c>
      <c r="W73" s="24">
        <f t="shared" si="100"/>
        <v>865230</v>
      </c>
      <c r="X73" s="24">
        <f t="shared" si="100"/>
        <v>71018</v>
      </c>
      <c r="Y73" s="24">
        <f t="shared" si="100"/>
        <v>3724988</v>
      </c>
      <c r="Z73" s="24">
        <f t="shared" si="100"/>
        <v>2795340</v>
      </c>
      <c r="AA73" s="24">
        <f t="shared" si="100"/>
        <v>147184</v>
      </c>
      <c r="AB73" s="24">
        <f t="shared" si="100"/>
        <v>0</v>
      </c>
      <c r="AC73" s="24">
        <f t="shared" si="100"/>
        <v>0</v>
      </c>
      <c r="AD73" s="24">
        <f t="shared" si="100"/>
        <v>455279</v>
      </c>
      <c r="AE73" s="24">
        <f t="shared" si="100"/>
        <v>0</v>
      </c>
      <c r="AF73" s="24">
        <f t="shared" si="100"/>
        <v>6169209</v>
      </c>
      <c r="AG73" s="24">
        <f t="shared" si="100"/>
        <v>0</v>
      </c>
      <c r="AH73" s="24">
        <f t="shared" si="100"/>
        <v>0</v>
      </c>
      <c r="AI73" s="24">
        <f t="shared" si="100"/>
        <v>16598</v>
      </c>
      <c r="AJ73" s="24">
        <f t="shared" si="100"/>
        <v>824388</v>
      </c>
      <c r="AK73" s="24">
        <f t="shared" si="100"/>
        <v>0</v>
      </c>
      <c r="AL73" s="24">
        <f t="shared" si="100"/>
        <v>0</v>
      </c>
      <c r="AM73" s="24">
        <f t="shared" si="100"/>
        <v>0</v>
      </c>
      <c r="AN73" s="24">
        <f t="shared" si="100"/>
        <v>0</v>
      </c>
      <c r="AO73" s="24">
        <f t="shared" si="100"/>
        <v>82121</v>
      </c>
      <c r="AP73" s="24">
        <f t="shared" si="100"/>
        <v>13386</v>
      </c>
      <c r="AQ73" s="24">
        <f t="shared" si="100"/>
        <v>795</v>
      </c>
      <c r="AR73" s="24"/>
      <c r="AS73" s="24">
        <f t="shared" si="100"/>
        <v>355818</v>
      </c>
      <c r="AT73" s="24">
        <f t="shared" si="100"/>
        <v>163326</v>
      </c>
      <c r="AU73" s="24">
        <f t="shared" si="100"/>
        <v>0</v>
      </c>
      <c r="AV73" s="24"/>
      <c r="AW73" s="24"/>
      <c r="AX73" s="24">
        <f t="shared" si="100"/>
        <v>0</v>
      </c>
      <c r="AY73" s="24">
        <f t="shared" si="100"/>
        <v>4389775</v>
      </c>
      <c r="AZ73" s="24">
        <f t="shared" si="100"/>
        <v>0</v>
      </c>
      <c r="BA73" s="24">
        <f t="shared" si="100"/>
        <v>126516</v>
      </c>
      <c r="BB73" s="24"/>
      <c r="BC73" s="24">
        <f t="shared" si="100"/>
        <v>196486</v>
      </c>
      <c r="BD73" s="24">
        <f t="shared" si="100"/>
        <v>103000</v>
      </c>
      <c r="BE73" s="24">
        <f t="shared" si="100"/>
        <v>0</v>
      </c>
      <c r="BF73" s="24">
        <f t="shared" si="100"/>
        <v>0</v>
      </c>
      <c r="BG73" s="24">
        <f t="shared" si="100"/>
        <v>0</v>
      </c>
      <c r="BH73" s="24">
        <f t="shared" si="100"/>
        <v>0</v>
      </c>
      <c r="BI73" s="24">
        <f t="shared" si="100"/>
        <v>0</v>
      </c>
      <c r="BJ73" s="24">
        <f t="shared" si="100"/>
        <v>0</v>
      </c>
      <c r="BK73" s="24">
        <f t="shared" ref="BK73" si="101">SUM(BK74:BK75)</f>
        <v>0</v>
      </c>
      <c r="BL73" s="24">
        <f t="shared" si="100"/>
        <v>0</v>
      </c>
      <c r="BM73" s="24">
        <f t="shared" si="100"/>
        <v>0</v>
      </c>
      <c r="BN73" s="24">
        <f t="shared" si="100"/>
        <v>0</v>
      </c>
      <c r="BO73" s="24">
        <f t="shared" si="100"/>
        <v>103000</v>
      </c>
      <c r="BP73" s="24">
        <f t="shared" si="100"/>
        <v>103000</v>
      </c>
      <c r="BQ73" s="24">
        <f t="shared" ref="BQ73" si="102">SUM(BQ74:BQ75)</f>
        <v>0</v>
      </c>
      <c r="BR73" s="24">
        <f t="shared" si="100"/>
        <v>0</v>
      </c>
      <c r="BS73" s="24">
        <f t="shared" si="100"/>
        <v>0</v>
      </c>
      <c r="BT73" s="24">
        <f t="shared" si="100"/>
        <v>0</v>
      </c>
      <c r="BU73" s="24">
        <f t="shared" si="100"/>
        <v>0</v>
      </c>
      <c r="BV73" s="24">
        <f t="shared" si="100"/>
        <v>0</v>
      </c>
      <c r="BW73" s="24">
        <f t="shared" si="100"/>
        <v>0</v>
      </c>
      <c r="BX73" s="24">
        <f t="shared" si="100"/>
        <v>0</v>
      </c>
      <c r="BY73" s="24">
        <f t="shared" ref="BY73:CZ73" si="103">SUM(BY74:BY75)</f>
        <v>0</v>
      </c>
      <c r="BZ73" s="24">
        <f t="shared" si="103"/>
        <v>0</v>
      </c>
      <c r="CA73" s="24">
        <f t="shared" si="103"/>
        <v>0</v>
      </c>
      <c r="CB73" s="24">
        <f t="shared" si="103"/>
        <v>0</v>
      </c>
      <c r="CC73" s="24">
        <f t="shared" si="103"/>
        <v>0</v>
      </c>
      <c r="CD73" s="24">
        <f t="shared" si="103"/>
        <v>958863</v>
      </c>
      <c r="CE73" s="24">
        <f t="shared" si="103"/>
        <v>958863</v>
      </c>
      <c r="CF73" s="24">
        <f t="shared" si="103"/>
        <v>958863</v>
      </c>
      <c r="CG73" s="24">
        <f t="shared" si="103"/>
        <v>0</v>
      </c>
      <c r="CH73" s="24">
        <f t="shared" si="103"/>
        <v>958863</v>
      </c>
      <c r="CI73" s="24">
        <f t="shared" si="103"/>
        <v>0</v>
      </c>
      <c r="CJ73" s="24">
        <f t="shared" si="103"/>
        <v>0</v>
      </c>
      <c r="CK73" s="24">
        <f t="shared" ref="CK73:CL73" si="104">SUM(CK74:CK75)</f>
        <v>0</v>
      </c>
      <c r="CL73" s="24">
        <f t="shared" si="104"/>
        <v>0</v>
      </c>
      <c r="CM73" s="24">
        <f t="shared" si="103"/>
        <v>0</v>
      </c>
      <c r="CN73" s="24">
        <f t="shared" si="103"/>
        <v>0</v>
      </c>
      <c r="CO73" s="24">
        <f t="shared" si="103"/>
        <v>0</v>
      </c>
      <c r="CP73" s="24">
        <f t="shared" ref="CP73" si="105">SUM(CP74:CP75)</f>
        <v>0</v>
      </c>
      <c r="CQ73" s="24">
        <f t="shared" si="103"/>
        <v>0</v>
      </c>
      <c r="CR73" s="24"/>
      <c r="CS73" s="24"/>
      <c r="CT73" s="24">
        <f t="shared" si="103"/>
        <v>0</v>
      </c>
      <c r="CU73" s="24">
        <f t="shared" si="103"/>
        <v>0</v>
      </c>
      <c r="CV73" s="24">
        <f t="shared" si="103"/>
        <v>0</v>
      </c>
      <c r="CW73" s="24">
        <f t="shared" si="103"/>
        <v>0</v>
      </c>
      <c r="CX73" s="24">
        <f t="shared" si="103"/>
        <v>0</v>
      </c>
      <c r="CY73" s="24">
        <f t="shared" si="103"/>
        <v>0</v>
      </c>
      <c r="CZ73" s="25">
        <f t="shared" si="103"/>
        <v>0</v>
      </c>
    </row>
    <row r="74" spans="1:104" ht="15.6" x14ac:dyDescent="0.3">
      <c r="A74" s="26"/>
      <c r="B74" s="27" t="s">
        <v>1</v>
      </c>
      <c r="C74" s="27" t="s">
        <v>162</v>
      </c>
      <c r="D74" s="28" t="s">
        <v>163</v>
      </c>
      <c r="E74" s="23">
        <f>SUM(F74+CD74+CW74)</f>
        <v>6751025</v>
      </c>
      <c r="F74" s="24">
        <f>SUM(G74+BD74)</f>
        <v>6634377</v>
      </c>
      <c r="G74" s="24">
        <f>SUM(H74+I74+J74+Q74+T74+U74+V74+AF74+AE74)</f>
        <v>6634377</v>
      </c>
      <c r="H74" s="29">
        <v>5280538</v>
      </c>
      <c r="I74" s="29">
        <v>118451</v>
      </c>
      <c r="J74" s="24">
        <f t="shared" si="8"/>
        <v>416368</v>
      </c>
      <c r="K74" s="29">
        <v>0</v>
      </c>
      <c r="L74" s="29">
        <f>150743-58</f>
        <v>150685</v>
      </c>
      <c r="M74" s="29">
        <v>0</v>
      </c>
      <c r="N74" s="29">
        <v>0</v>
      </c>
      <c r="O74" s="29">
        <v>240826</v>
      </c>
      <c r="P74" s="29">
        <v>24857</v>
      </c>
      <c r="Q74" s="24">
        <f t="shared" si="9"/>
        <v>10000</v>
      </c>
      <c r="R74" s="29">
        <v>10000</v>
      </c>
      <c r="S74" s="29">
        <v>0</v>
      </c>
      <c r="T74" s="29">
        <v>0</v>
      </c>
      <c r="U74" s="29">
        <f>272469-31463</f>
        <v>241006</v>
      </c>
      <c r="V74" s="24">
        <f t="shared" ref="V74:V75" si="106">SUM(W74:AD74)</f>
        <v>119698</v>
      </c>
      <c r="W74" s="29">
        <v>0</v>
      </c>
      <c r="X74" s="29">
        <f>65679+334</f>
        <v>66013</v>
      </c>
      <c r="Y74" s="29">
        <v>43604</v>
      </c>
      <c r="Z74" s="29">
        <f>6111+869</f>
        <v>6980</v>
      </c>
      <c r="AA74" s="29">
        <f>1525+137</f>
        <v>1662</v>
      </c>
      <c r="AB74" s="29">
        <v>0</v>
      </c>
      <c r="AC74" s="29">
        <v>0</v>
      </c>
      <c r="AD74" s="29">
        <v>1439</v>
      </c>
      <c r="AE74" s="24"/>
      <c r="AF74" s="24">
        <f>SUM(AG74:BC74)</f>
        <v>448316</v>
      </c>
      <c r="AG74" s="24">
        <v>0</v>
      </c>
      <c r="AH74" s="24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58860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389456</v>
      </c>
      <c r="AZ74" s="29">
        <v>0</v>
      </c>
      <c r="BA74" s="29">
        <v>0</v>
      </c>
      <c r="BB74" s="29">
        <v>0</v>
      </c>
      <c r="BC74" s="29">
        <v>0</v>
      </c>
      <c r="BD74" s="24">
        <f>SUM(BE74+BI74+BM74+BO74+BR74)</f>
        <v>0</v>
      </c>
      <c r="BE74" s="24">
        <f>SUM(BF74:BH74)</f>
        <v>0</v>
      </c>
      <c r="BF74" s="24">
        <v>0</v>
      </c>
      <c r="BG74" s="24">
        <v>0</v>
      </c>
      <c r="BH74" s="24">
        <v>0</v>
      </c>
      <c r="BI74" s="24">
        <f>SUM(BL74:BL74)</f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f t="shared" si="10"/>
        <v>0</v>
      </c>
      <c r="BP74" s="24">
        <v>0</v>
      </c>
      <c r="BQ74" s="24">
        <v>0</v>
      </c>
      <c r="BR74" s="24">
        <f>SUM(BS74:CC74)</f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24">
        <v>0</v>
      </c>
      <c r="CB74" s="24">
        <v>0</v>
      </c>
      <c r="CC74" s="24">
        <v>0</v>
      </c>
      <c r="CD74" s="24">
        <f>SUM(CE74+CV74)</f>
        <v>116648</v>
      </c>
      <c r="CE74" s="24">
        <f>SUM(CF74+CI74+CN74)</f>
        <v>116648</v>
      </c>
      <c r="CF74" s="24">
        <f t="shared" si="11"/>
        <v>116648</v>
      </c>
      <c r="CG74" s="24">
        <v>0</v>
      </c>
      <c r="CH74" s="29">
        <f>116809-161</f>
        <v>116648</v>
      </c>
      <c r="CI74" s="24">
        <f>SUM(CJ74:CM74)</f>
        <v>0</v>
      </c>
      <c r="CJ74" s="24">
        <v>0</v>
      </c>
      <c r="CK74" s="24">
        <v>0</v>
      </c>
      <c r="CL74" s="24">
        <v>0</v>
      </c>
      <c r="CM74" s="24">
        <v>0</v>
      </c>
      <c r="CN74" s="24">
        <f>SUM(CO74:CS74)</f>
        <v>0</v>
      </c>
      <c r="CO74" s="24">
        <v>0</v>
      </c>
      <c r="CP74" s="24">
        <v>0</v>
      </c>
      <c r="CQ74" s="24">
        <v>0</v>
      </c>
      <c r="CR74" s="24"/>
      <c r="CS74" s="24"/>
      <c r="CT74" s="24">
        <v>0</v>
      </c>
      <c r="CU74" s="24">
        <v>0</v>
      </c>
      <c r="CV74" s="24">
        <v>0</v>
      </c>
      <c r="CW74" s="24">
        <f t="shared" si="12"/>
        <v>0</v>
      </c>
      <c r="CX74" s="24">
        <f t="shared" si="13"/>
        <v>0</v>
      </c>
      <c r="CY74" s="24">
        <v>0</v>
      </c>
      <c r="CZ74" s="25">
        <v>0</v>
      </c>
    </row>
    <row r="75" spans="1:104" ht="15.6" x14ac:dyDescent="0.3">
      <c r="A75" s="26"/>
      <c r="B75" s="27" t="s">
        <v>1</v>
      </c>
      <c r="C75" s="27" t="s">
        <v>164</v>
      </c>
      <c r="D75" s="28" t="s">
        <v>165</v>
      </c>
      <c r="E75" s="23">
        <f>SUM(F75+CD75+CW75)</f>
        <v>102230989</v>
      </c>
      <c r="F75" s="24">
        <f>SUM(G75+BD75)</f>
        <v>101388774</v>
      </c>
      <c r="G75" s="24">
        <f>SUM(H75+I75+J75+Q75+T75+U75+V75+AF75+AE75)</f>
        <v>101285774</v>
      </c>
      <c r="H75" s="29">
        <f>58800413+472914-350000</f>
        <v>58923327</v>
      </c>
      <c r="I75" s="29">
        <v>2518733</v>
      </c>
      <c r="J75" s="24">
        <f t="shared" si="8"/>
        <v>25962204</v>
      </c>
      <c r="K75" s="29">
        <v>396976</v>
      </c>
      <c r="L75" s="29">
        <v>5781174</v>
      </c>
      <c r="M75" s="29">
        <v>15991492</v>
      </c>
      <c r="N75" s="29">
        <v>0</v>
      </c>
      <c r="O75" s="29">
        <v>2750318</v>
      </c>
      <c r="P75" s="29">
        <f>1023465+18779</f>
        <v>1042244</v>
      </c>
      <c r="Q75" s="24">
        <f t="shared" si="9"/>
        <v>5355</v>
      </c>
      <c r="R75" s="29">
        <v>5355</v>
      </c>
      <c r="S75" s="29">
        <v>0</v>
      </c>
      <c r="T75" s="29">
        <v>0</v>
      </c>
      <c r="U75" s="29">
        <f>415921-200000</f>
        <v>215921</v>
      </c>
      <c r="V75" s="24">
        <f t="shared" si="106"/>
        <v>7939341</v>
      </c>
      <c r="W75" s="29">
        <v>865230</v>
      </c>
      <c r="X75" s="29">
        <f>4979+26</f>
        <v>5005</v>
      </c>
      <c r="Y75" s="29">
        <v>3681384</v>
      </c>
      <c r="Z75" s="29">
        <v>2788360</v>
      </c>
      <c r="AA75" s="29">
        <v>145522</v>
      </c>
      <c r="AB75" s="29">
        <v>0</v>
      </c>
      <c r="AC75" s="29">
        <v>0</v>
      </c>
      <c r="AD75" s="29">
        <f>453660+180</f>
        <v>453840</v>
      </c>
      <c r="AE75" s="24"/>
      <c r="AF75" s="24">
        <f>SUM(AG75:BC75)</f>
        <v>5720893</v>
      </c>
      <c r="AG75" s="24">
        <v>0</v>
      </c>
      <c r="AH75" s="24">
        <v>0</v>
      </c>
      <c r="AI75" s="29">
        <v>16598</v>
      </c>
      <c r="AJ75" s="29">
        <v>824388</v>
      </c>
      <c r="AK75" s="29">
        <v>0</v>
      </c>
      <c r="AL75" s="29">
        <v>0</v>
      </c>
      <c r="AM75" s="29">
        <v>0</v>
      </c>
      <c r="AN75" s="29">
        <v>0</v>
      </c>
      <c r="AO75" s="29">
        <v>82121</v>
      </c>
      <c r="AP75" s="29">
        <v>13386</v>
      </c>
      <c r="AQ75" s="29">
        <v>795</v>
      </c>
      <c r="AR75" s="29">
        <v>0</v>
      </c>
      <c r="AS75" s="29">
        <v>296958</v>
      </c>
      <c r="AT75" s="29">
        <v>163326</v>
      </c>
      <c r="AU75" s="29">
        <v>0</v>
      </c>
      <c r="AV75" s="29">
        <v>0</v>
      </c>
      <c r="AW75" s="29">
        <v>0</v>
      </c>
      <c r="AX75" s="29">
        <v>0</v>
      </c>
      <c r="AY75" s="29">
        <v>4000319</v>
      </c>
      <c r="AZ75" s="29">
        <v>0</v>
      </c>
      <c r="BA75" s="29">
        <v>126516</v>
      </c>
      <c r="BB75" s="29">
        <v>0</v>
      </c>
      <c r="BC75" s="29">
        <v>196486</v>
      </c>
      <c r="BD75" s="24">
        <f>SUM(BE75+BI75+BM75+BO75+BR75)</f>
        <v>103000</v>
      </c>
      <c r="BE75" s="24">
        <f>SUM(BF75:BH75)</f>
        <v>0</v>
      </c>
      <c r="BF75" s="24">
        <v>0</v>
      </c>
      <c r="BG75" s="24">
        <v>0</v>
      </c>
      <c r="BH75" s="24">
        <v>0</v>
      </c>
      <c r="BI75" s="24">
        <f>SUM(BL75:BL75)</f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f t="shared" si="10"/>
        <v>103000</v>
      </c>
      <c r="BP75" s="24">
        <f>15000+150000-62000</f>
        <v>103000</v>
      </c>
      <c r="BQ75" s="24"/>
      <c r="BR75" s="24">
        <f>SUM(BS75:CC75)</f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f>SUM(CE75+CV75)</f>
        <v>842215</v>
      </c>
      <c r="CE75" s="24">
        <f>SUM(CF75+CI75+CN75)</f>
        <v>842215</v>
      </c>
      <c r="CF75" s="24">
        <f t="shared" si="11"/>
        <v>842215</v>
      </c>
      <c r="CG75" s="24">
        <v>0</v>
      </c>
      <c r="CH75" s="29">
        <f>970215-128000</f>
        <v>842215</v>
      </c>
      <c r="CI75" s="24">
        <f>SUM(CJ75:CM75)</f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f>SUM(CO75:CS75)</f>
        <v>0</v>
      </c>
      <c r="CO75" s="24">
        <v>0</v>
      </c>
      <c r="CP75" s="24">
        <v>0</v>
      </c>
      <c r="CQ75" s="24">
        <v>0</v>
      </c>
      <c r="CR75" s="24"/>
      <c r="CS75" s="24"/>
      <c r="CT75" s="24">
        <v>0</v>
      </c>
      <c r="CU75" s="24">
        <v>0</v>
      </c>
      <c r="CV75" s="24">
        <v>0</v>
      </c>
      <c r="CW75" s="24">
        <f t="shared" si="12"/>
        <v>0</v>
      </c>
      <c r="CX75" s="24">
        <f t="shared" si="13"/>
        <v>0</v>
      </c>
      <c r="CY75" s="24">
        <v>0</v>
      </c>
      <c r="CZ75" s="25">
        <v>0</v>
      </c>
    </row>
    <row r="76" spans="1:104" ht="15.6" x14ac:dyDescent="0.3">
      <c r="A76" s="20"/>
      <c r="B76" s="21" t="s">
        <v>166</v>
      </c>
      <c r="C76" s="21" t="s">
        <v>1</v>
      </c>
      <c r="D76" s="22" t="s">
        <v>167</v>
      </c>
      <c r="E76" s="23">
        <f t="shared" ref="E76:AL76" si="107">SUM(E77)</f>
        <v>112230869</v>
      </c>
      <c r="F76" s="24">
        <f t="shared" si="107"/>
        <v>111154953</v>
      </c>
      <c r="G76" s="24">
        <f t="shared" si="107"/>
        <v>110718193</v>
      </c>
      <c r="H76" s="24">
        <f t="shared" si="107"/>
        <v>81594572</v>
      </c>
      <c r="I76" s="24">
        <f t="shared" si="107"/>
        <v>1089595</v>
      </c>
      <c r="J76" s="24">
        <f t="shared" si="107"/>
        <v>13346027</v>
      </c>
      <c r="K76" s="24">
        <f t="shared" si="107"/>
        <v>184304</v>
      </c>
      <c r="L76" s="24">
        <f t="shared" si="107"/>
        <v>6684858</v>
      </c>
      <c r="M76" s="24">
        <f t="shared" si="107"/>
        <v>789289</v>
      </c>
      <c r="N76" s="24">
        <f t="shared" si="107"/>
        <v>572945</v>
      </c>
      <c r="O76" s="24">
        <f t="shared" si="107"/>
        <v>4370904</v>
      </c>
      <c r="P76" s="24">
        <f t="shared" si="107"/>
        <v>743727</v>
      </c>
      <c r="Q76" s="24">
        <f t="shared" si="107"/>
        <v>4631351</v>
      </c>
      <c r="R76" s="24">
        <f t="shared" si="107"/>
        <v>31351</v>
      </c>
      <c r="S76" s="24">
        <f t="shared" si="107"/>
        <v>4600000</v>
      </c>
      <c r="T76" s="24">
        <f t="shared" si="107"/>
        <v>0</v>
      </c>
      <c r="U76" s="24">
        <f t="shared" si="107"/>
        <v>707895</v>
      </c>
      <c r="V76" s="24">
        <f t="shared" si="107"/>
        <v>1930518</v>
      </c>
      <c r="W76" s="24">
        <f t="shared" si="107"/>
        <v>64149</v>
      </c>
      <c r="X76" s="24">
        <f t="shared" si="107"/>
        <v>610173</v>
      </c>
      <c r="Y76" s="24">
        <f t="shared" si="107"/>
        <v>1046971</v>
      </c>
      <c r="Z76" s="24">
        <f t="shared" si="107"/>
        <v>143017</v>
      </c>
      <c r="AA76" s="24">
        <f t="shared" si="107"/>
        <v>27797</v>
      </c>
      <c r="AB76" s="24">
        <f t="shared" si="107"/>
        <v>0</v>
      </c>
      <c r="AC76" s="24">
        <f t="shared" si="107"/>
        <v>0</v>
      </c>
      <c r="AD76" s="24">
        <f t="shared" si="107"/>
        <v>38411</v>
      </c>
      <c r="AE76" s="24">
        <f t="shared" si="107"/>
        <v>0</v>
      </c>
      <c r="AF76" s="24">
        <f t="shared" si="107"/>
        <v>7418235</v>
      </c>
      <c r="AG76" s="24">
        <f t="shared" si="107"/>
        <v>0</v>
      </c>
      <c r="AH76" s="24">
        <f t="shared" si="107"/>
        <v>0</v>
      </c>
      <c r="AI76" s="24">
        <f t="shared" si="107"/>
        <v>96281</v>
      </c>
      <c r="AJ76" s="24">
        <f t="shared" si="107"/>
        <v>269964</v>
      </c>
      <c r="AK76" s="24">
        <f t="shared" si="107"/>
        <v>0</v>
      </c>
      <c r="AL76" s="24">
        <f t="shared" si="107"/>
        <v>10589</v>
      </c>
      <c r="AM76" s="24">
        <f t="shared" ref="AM76:CZ76" si="108">SUM(AM77)</f>
        <v>79860</v>
      </c>
      <c r="AN76" s="24">
        <f t="shared" si="108"/>
        <v>7663</v>
      </c>
      <c r="AO76" s="24">
        <f t="shared" si="108"/>
        <v>108199</v>
      </c>
      <c r="AP76" s="24">
        <f t="shared" si="108"/>
        <v>18042</v>
      </c>
      <c r="AQ76" s="24">
        <f t="shared" si="108"/>
        <v>6121</v>
      </c>
      <c r="AR76" s="24"/>
      <c r="AS76" s="24">
        <f t="shared" si="108"/>
        <v>515567</v>
      </c>
      <c r="AT76" s="24">
        <f t="shared" si="108"/>
        <v>0</v>
      </c>
      <c r="AU76" s="24">
        <f t="shared" si="108"/>
        <v>0</v>
      </c>
      <c r="AV76" s="24"/>
      <c r="AW76" s="24"/>
      <c r="AX76" s="24">
        <f t="shared" si="108"/>
        <v>0</v>
      </c>
      <c r="AY76" s="24">
        <f t="shared" si="108"/>
        <v>5900000</v>
      </c>
      <c r="AZ76" s="24">
        <f t="shared" si="108"/>
        <v>0</v>
      </c>
      <c r="BA76" s="24">
        <f t="shared" si="108"/>
        <v>0</v>
      </c>
      <c r="BB76" s="24"/>
      <c r="BC76" s="24">
        <f t="shared" si="108"/>
        <v>405949</v>
      </c>
      <c r="BD76" s="24">
        <f t="shared" si="108"/>
        <v>436760</v>
      </c>
      <c r="BE76" s="24">
        <f t="shared" si="108"/>
        <v>0</v>
      </c>
      <c r="BF76" s="24">
        <f t="shared" si="108"/>
        <v>0</v>
      </c>
      <c r="BG76" s="24">
        <f t="shared" si="108"/>
        <v>0</v>
      </c>
      <c r="BH76" s="24">
        <f t="shared" si="108"/>
        <v>0</v>
      </c>
      <c r="BI76" s="24">
        <f t="shared" si="108"/>
        <v>0</v>
      </c>
      <c r="BJ76" s="24">
        <f t="shared" si="108"/>
        <v>0</v>
      </c>
      <c r="BK76" s="24">
        <f t="shared" si="108"/>
        <v>0</v>
      </c>
      <c r="BL76" s="24">
        <f t="shared" si="108"/>
        <v>0</v>
      </c>
      <c r="BM76" s="24">
        <f t="shared" si="108"/>
        <v>0</v>
      </c>
      <c r="BN76" s="24">
        <f t="shared" si="108"/>
        <v>0</v>
      </c>
      <c r="BO76" s="24">
        <f t="shared" si="108"/>
        <v>133400</v>
      </c>
      <c r="BP76" s="24">
        <f t="shared" si="108"/>
        <v>133400</v>
      </c>
      <c r="BQ76" s="24">
        <f t="shared" si="108"/>
        <v>0</v>
      </c>
      <c r="BR76" s="24">
        <f t="shared" si="108"/>
        <v>303360</v>
      </c>
      <c r="BS76" s="24">
        <f t="shared" si="108"/>
        <v>0</v>
      </c>
      <c r="BT76" s="24">
        <f t="shared" si="108"/>
        <v>0</v>
      </c>
      <c r="BU76" s="24">
        <f t="shared" si="108"/>
        <v>0</v>
      </c>
      <c r="BV76" s="24">
        <f t="shared" si="108"/>
        <v>0</v>
      </c>
      <c r="BW76" s="24">
        <f t="shared" si="108"/>
        <v>0</v>
      </c>
      <c r="BX76" s="24">
        <f t="shared" si="108"/>
        <v>0</v>
      </c>
      <c r="BY76" s="24">
        <f t="shared" si="108"/>
        <v>0</v>
      </c>
      <c r="BZ76" s="24">
        <f t="shared" si="108"/>
        <v>0</v>
      </c>
      <c r="CA76" s="24">
        <f t="shared" si="108"/>
        <v>0</v>
      </c>
      <c r="CB76" s="24">
        <f t="shared" si="108"/>
        <v>0</v>
      </c>
      <c r="CC76" s="24">
        <f t="shared" si="108"/>
        <v>303360</v>
      </c>
      <c r="CD76" s="24">
        <f t="shared" si="108"/>
        <v>1075916</v>
      </c>
      <c r="CE76" s="24">
        <f t="shared" si="108"/>
        <v>1075916</v>
      </c>
      <c r="CF76" s="24">
        <f t="shared" si="108"/>
        <v>891346</v>
      </c>
      <c r="CG76" s="24">
        <f t="shared" si="108"/>
        <v>0</v>
      </c>
      <c r="CH76" s="24">
        <f t="shared" si="108"/>
        <v>891346</v>
      </c>
      <c r="CI76" s="24">
        <f t="shared" si="108"/>
        <v>174579</v>
      </c>
      <c r="CJ76" s="24">
        <f t="shared" si="108"/>
        <v>0</v>
      </c>
      <c r="CK76" s="24">
        <f t="shared" si="108"/>
        <v>0</v>
      </c>
      <c r="CL76" s="24">
        <f t="shared" si="108"/>
        <v>174579</v>
      </c>
      <c r="CM76" s="24">
        <f t="shared" si="108"/>
        <v>0</v>
      </c>
      <c r="CN76" s="24">
        <f t="shared" si="108"/>
        <v>9991</v>
      </c>
      <c r="CO76" s="24">
        <f t="shared" si="108"/>
        <v>0</v>
      </c>
      <c r="CP76" s="24">
        <f t="shared" si="108"/>
        <v>0</v>
      </c>
      <c r="CQ76" s="24">
        <f t="shared" si="108"/>
        <v>9991</v>
      </c>
      <c r="CR76" s="24"/>
      <c r="CS76" s="24"/>
      <c r="CT76" s="24">
        <f t="shared" si="108"/>
        <v>0</v>
      </c>
      <c r="CU76" s="24">
        <f t="shared" si="108"/>
        <v>0</v>
      </c>
      <c r="CV76" s="24">
        <f t="shared" si="108"/>
        <v>0</v>
      </c>
      <c r="CW76" s="24">
        <f t="shared" si="108"/>
        <v>0</v>
      </c>
      <c r="CX76" s="24">
        <f t="shared" si="108"/>
        <v>0</v>
      </c>
      <c r="CY76" s="24">
        <f t="shared" si="108"/>
        <v>0</v>
      </c>
      <c r="CZ76" s="25">
        <f t="shared" si="108"/>
        <v>0</v>
      </c>
    </row>
    <row r="77" spans="1:104" ht="31.2" x14ac:dyDescent="0.3">
      <c r="A77" s="26"/>
      <c r="B77" s="27" t="s">
        <v>1</v>
      </c>
      <c r="C77" s="27" t="s">
        <v>168</v>
      </c>
      <c r="D77" s="28" t="s">
        <v>169</v>
      </c>
      <c r="E77" s="23">
        <f>SUM(F77+CD77+CW77)</f>
        <v>112230869</v>
      </c>
      <c r="F77" s="24">
        <f>SUM(G77+BD77)</f>
        <v>111154953</v>
      </c>
      <c r="G77" s="24">
        <f>SUM(H77+I77+J77+Q77+T77+U77+V77+AF77+AE77)</f>
        <v>110718193</v>
      </c>
      <c r="H77" s="29">
        <f>81093557+901015-400000</f>
        <v>81594572</v>
      </c>
      <c r="I77" s="29">
        <v>1089595</v>
      </c>
      <c r="J77" s="24">
        <f t="shared" si="8"/>
        <v>13346027</v>
      </c>
      <c r="K77" s="29">
        <v>184304</v>
      </c>
      <c r="L77" s="29">
        <f>6884858-200000</f>
        <v>6684858</v>
      </c>
      <c r="M77" s="29">
        <f>589289+200000</f>
        <v>789289</v>
      </c>
      <c r="N77" s="29">
        <v>572945</v>
      </c>
      <c r="O77" s="29">
        <f>4352995+17909</f>
        <v>4370904</v>
      </c>
      <c r="P77" s="29">
        <f>523727+220000</f>
        <v>743727</v>
      </c>
      <c r="Q77" s="24">
        <f t="shared" si="9"/>
        <v>4631351</v>
      </c>
      <c r="R77" s="29">
        <v>31351</v>
      </c>
      <c r="S77" s="29">
        <v>4600000</v>
      </c>
      <c r="T77" s="29">
        <v>0</v>
      </c>
      <c r="U77" s="29">
        <f>927895-220000</f>
        <v>707895</v>
      </c>
      <c r="V77" s="24">
        <f>SUM(W77:AD77)</f>
        <v>1930518</v>
      </c>
      <c r="W77" s="29">
        <v>64149</v>
      </c>
      <c r="X77" s="29">
        <f>537370+72803</f>
        <v>610173</v>
      </c>
      <c r="Y77" s="29">
        <f>959549+87422</f>
        <v>1046971</v>
      </c>
      <c r="Z77" s="29">
        <f>104025+38992</f>
        <v>143017</v>
      </c>
      <c r="AA77" s="29">
        <f>27797</f>
        <v>27797</v>
      </c>
      <c r="AB77" s="29">
        <v>0</v>
      </c>
      <c r="AC77" s="29">
        <v>0</v>
      </c>
      <c r="AD77" s="29">
        <f>26200+12211</f>
        <v>38411</v>
      </c>
      <c r="AE77" s="24"/>
      <c r="AF77" s="24">
        <f>SUM(AG77:BC77)</f>
        <v>7418235</v>
      </c>
      <c r="AG77" s="24">
        <v>0</v>
      </c>
      <c r="AH77" s="24"/>
      <c r="AI77" s="29">
        <v>96281</v>
      </c>
      <c r="AJ77" s="29">
        <v>269964</v>
      </c>
      <c r="AK77" s="29">
        <v>0</v>
      </c>
      <c r="AL77" s="29">
        <v>10589</v>
      </c>
      <c r="AM77" s="29">
        <v>79860</v>
      </c>
      <c r="AN77" s="29">
        <v>7663</v>
      </c>
      <c r="AO77" s="29">
        <v>108199</v>
      </c>
      <c r="AP77" s="29">
        <v>18042</v>
      </c>
      <c r="AQ77" s="29">
        <v>6121</v>
      </c>
      <c r="AR77" s="29">
        <v>0</v>
      </c>
      <c r="AS77" s="29">
        <v>515567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f>6300000-400000</f>
        <v>5900000</v>
      </c>
      <c r="AZ77" s="29">
        <v>0</v>
      </c>
      <c r="BA77" s="29">
        <v>0</v>
      </c>
      <c r="BB77" s="29">
        <v>0</v>
      </c>
      <c r="BC77" s="29">
        <v>405949</v>
      </c>
      <c r="BD77" s="24">
        <f>SUM(BE77+BI77+BM77+BO77+BR77)</f>
        <v>436760</v>
      </c>
      <c r="BE77" s="24">
        <f>SUM(BF77:BH77)</f>
        <v>0</v>
      </c>
      <c r="BF77" s="24">
        <v>0</v>
      </c>
      <c r="BG77" s="24">
        <v>0</v>
      </c>
      <c r="BH77" s="24">
        <v>0</v>
      </c>
      <c r="BI77" s="24">
        <f>SUM(BL77:BL77)</f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f t="shared" si="10"/>
        <v>133400</v>
      </c>
      <c r="BP77" s="24">
        <v>133400</v>
      </c>
      <c r="BQ77" s="24"/>
      <c r="BR77" s="24">
        <f>SUM(BS77:CC77)</f>
        <v>303360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9">
        <v>303360</v>
      </c>
      <c r="CD77" s="24">
        <f>SUM(CE77+CV77)</f>
        <v>1075916</v>
      </c>
      <c r="CE77" s="24">
        <f>SUM(CF77+CI77+CN77)</f>
        <v>1075916</v>
      </c>
      <c r="CF77" s="24">
        <f t="shared" si="11"/>
        <v>891346</v>
      </c>
      <c r="CG77" s="24">
        <v>0</v>
      </c>
      <c r="CH77" s="29">
        <v>891346</v>
      </c>
      <c r="CI77" s="24">
        <f>SUM(CJ77:CM77)</f>
        <v>174579</v>
      </c>
      <c r="CJ77" s="24">
        <v>0</v>
      </c>
      <c r="CK77" s="24">
        <v>0</v>
      </c>
      <c r="CL77" s="29">
        <v>174579</v>
      </c>
      <c r="CM77" s="29"/>
      <c r="CN77" s="24">
        <f>SUM(CO77:CS77)</f>
        <v>9991</v>
      </c>
      <c r="CO77" s="24"/>
      <c r="CP77" s="24"/>
      <c r="CQ77" s="29">
        <f>12596-2605</f>
        <v>9991</v>
      </c>
      <c r="CR77" s="24"/>
      <c r="CS77" s="24"/>
      <c r="CT77" s="24">
        <v>0</v>
      </c>
      <c r="CU77" s="24">
        <v>0</v>
      </c>
      <c r="CV77" s="24">
        <v>0</v>
      </c>
      <c r="CW77" s="24">
        <f t="shared" si="12"/>
        <v>0</v>
      </c>
      <c r="CX77" s="24">
        <f t="shared" si="13"/>
        <v>0</v>
      </c>
      <c r="CY77" s="24">
        <v>0</v>
      </c>
      <c r="CZ77" s="25">
        <v>0</v>
      </c>
    </row>
    <row r="78" spans="1:104" ht="15.6" x14ac:dyDescent="0.3">
      <c r="A78" s="20"/>
      <c r="B78" s="21" t="s">
        <v>170</v>
      </c>
      <c r="C78" s="21" t="s">
        <v>1</v>
      </c>
      <c r="D78" s="22" t="s">
        <v>171</v>
      </c>
      <c r="E78" s="23">
        <f t="shared" ref="E78:AL78" si="109">SUM(E79)</f>
        <v>20905280</v>
      </c>
      <c r="F78" s="24">
        <f t="shared" si="109"/>
        <v>20295879</v>
      </c>
      <c r="G78" s="24">
        <f t="shared" si="109"/>
        <v>20295879</v>
      </c>
      <c r="H78" s="24">
        <f t="shared" si="109"/>
        <v>16667159</v>
      </c>
      <c r="I78" s="24">
        <f t="shared" si="109"/>
        <v>634426</v>
      </c>
      <c r="J78" s="24">
        <f t="shared" si="109"/>
        <v>2001789</v>
      </c>
      <c r="K78" s="24">
        <f t="shared" si="109"/>
        <v>2631</v>
      </c>
      <c r="L78" s="24">
        <f t="shared" si="109"/>
        <v>636262</v>
      </c>
      <c r="M78" s="24">
        <f t="shared" si="109"/>
        <v>0</v>
      </c>
      <c r="N78" s="24">
        <f t="shared" si="109"/>
        <v>0</v>
      </c>
      <c r="O78" s="24">
        <f t="shared" si="109"/>
        <v>803811</v>
      </c>
      <c r="P78" s="24">
        <f t="shared" si="109"/>
        <v>559085</v>
      </c>
      <c r="Q78" s="24">
        <f t="shared" si="109"/>
        <v>0</v>
      </c>
      <c r="R78" s="24">
        <f t="shared" si="109"/>
        <v>0</v>
      </c>
      <c r="S78" s="24">
        <f t="shared" si="109"/>
        <v>0</v>
      </c>
      <c r="T78" s="24">
        <f t="shared" si="109"/>
        <v>0</v>
      </c>
      <c r="U78" s="24">
        <f t="shared" si="109"/>
        <v>132964</v>
      </c>
      <c r="V78" s="24">
        <f t="shared" si="109"/>
        <v>472470</v>
      </c>
      <c r="W78" s="24">
        <f t="shared" si="109"/>
        <v>45902</v>
      </c>
      <c r="X78" s="24">
        <f t="shared" si="109"/>
        <v>257295</v>
      </c>
      <c r="Y78" s="24">
        <f t="shared" si="109"/>
        <v>137456</v>
      </c>
      <c r="Z78" s="24">
        <f t="shared" si="109"/>
        <v>23746</v>
      </c>
      <c r="AA78" s="24">
        <f t="shared" si="109"/>
        <v>8071</v>
      </c>
      <c r="AB78" s="24">
        <f t="shared" si="109"/>
        <v>0</v>
      </c>
      <c r="AC78" s="24">
        <f t="shared" si="109"/>
        <v>0</v>
      </c>
      <c r="AD78" s="24">
        <f t="shared" si="109"/>
        <v>0</v>
      </c>
      <c r="AE78" s="24">
        <f t="shared" si="109"/>
        <v>0</v>
      </c>
      <c r="AF78" s="24">
        <f t="shared" si="109"/>
        <v>387071</v>
      </c>
      <c r="AG78" s="24">
        <f t="shared" si="109"/>
        <v>0</v>
      </c>
      <c r="AH78" s="24">
        <f t="shared" si="109"/>
        <v>0</v>
      </c>
      <c r="AI78" s="24">
        <f t="shared" si="109"/>
        <v>3950</v>
      </c>
      <c r="AJ78" s="24">
        <f t="shared" si="109"/>
        <v>0</v>
      </c>
      <c r="AK78" s="24">
        <f t="shared" si="109"/>
        <v>400</v>
      </c>
      <c r="AL78" s="24">
        <f t="shared" si="109"/>
        <v>0</v>
      </c>
      <c r="AM78" s="24">
        <f t="shared" ref="AM78:CZ78" si="110">SUM(AM79)</f>
        <v>13795</v>
      </c>
      <c r="AN78" s="24">
        <f t="shared" si="110"/>
        <v>0</v>
      </c>
      <c r="AO78" s="24">
        <f t="shared" si="110"/>
        <v>0</v>
      </c>
      <c r="AP78" s="24">
        <f t="shared" si="110"/>
        <v>14189</v>
      </c>
      <c r="AQ78" s="24">
        <f t="shared" si="110"/>
        <v>0</v>
      </c>
      <c r="AR78" s="24"/>
      <c r="AS78" s="24">
        <f t="shared" si="110"/>
        <v>0</v>
      </c>
      <c r="AT78" s="24">
        <f t="shared" si="110"/>
        <v>220892</v>
      </c>
      <c r="AU78" s="24">
        <f t="shared" si="110"/>
        <v>28800</v>
      </c>
      <c r="AV78" s="24"/>
      <c r="AW78" s="24"/>
      <c r="AX78" s="24">
        <f t="shared" si="110"/>
        <v>0</v>
      </c>
      <c r="AY78" s="24">
        <f t="shared" si="110"/>
        <v>27145</v>
      </c>
      <c r="AZ78" s="24">
        <f t="shared" si="110"/>
        <v>828</v>
      </c>
      <c r="BA78" s="24">
        <f t="shared" si="110"/>
        <v>54168</v>
      </c>
      <c r="BB78" s="24"/>
      <c r="BC78" s="24">
        <f t="shared" si="110"/>
        <v>22904</v>
      </c>
      <c r="BD78" s="24">
        <f t="shared" si="110"/>
        <v>0</v>
      </c>
      <c r="BE78" s="24">
        <f t="shared" si="110"/>
        <v>0</v>
      </c>
      <c r="BF78" s="24">
        <f t="shared" si="110"/>
        <v>0</v>
      </c>
      <c r="BG78" s="24">
        <f t="shared" si="110"/>
        <v>0</v>
      </c>
      <c r="BH78" s="24">
        <f t="shared" si="110"/>
        <v>0</v>
      </c>
      <c r="BI78" s="24">
        <f t="shared" si="110"/>
        <v>0</v>
      </c>
      <c r="BJ78" s="24">
        <f t="shared" si="110"/>
        <v>0</v>
      </c>
      <c r="BK78" s="24">
        <f t="shared" si="110"/>
        <v>0</v>
      </c>
      <c r="BL78" s="24">
        <f t="shared" si="110"/>
        <v>0</v>
      </c>
      <c r="BM78" s="24">
        <f t="shared" si="110"/>
        <v>0</v>
      </c>
      <c r="BN78" s="24">
        <f t="shared" si="110"/>
        <v>0</v>
      </c>
      <c r="BO78" s="24">
        <f t="shared" si="110"/>
        <v>0</v>
      </c>
      <c r="BP78" s="24">
        <f t="shared" si="110"/>
        <v>0</v>
      </c>
      <c r="BQ78" s="24">
        <f t="shared" si="110"/>
        <v>0</v>
      </c>
      <c r="BR78" s="24">
        <f t="shared" si="110"/>
        <v>0</v>
      </c>
      <c r="BS78" s="24">
        <f t="shared" si="110"/>
        <v>0</v>
      </c>
      <c r="BT78" s="24">
        <f t="shared" si="110"/>
        <v>0</v>
      </c>
      <c r="BU78" s="24">
        <f t="shared" si="110"/>
        <v>0</v>
      </c>
      <c r="BV78" s="24">
        <f t="shared" si="110"/>
        <v>0</v>
      </c>
      <c r="BW78" s="24">
        <f t="shared" si="110"/>
        <v>0</v>
      </c>
      <c r="BX78" s="24">
        <f t="shared" si="110"/>
        <v>0</v>
      </c>
      <c r="BY78" s="24">
        <f t="shared" si="110"/>
        <v>0</v>
      </c>
      <c r="BZ78" s="24">
        <f t="shared" si="110"/>
        <v>0</v>
      </c>
      <c r="CA78" s="24">
        <f t="shared" si="110"/>
        <v>0</v>
      </c>
      <c r="CB78" s="24">
        <f t="shared" si="110"/>
        <v>0</v>
      </c>
      <c r="CC78" s="24">
        <f t="shared" si="110"/>
        <v>0</v>
      </c>
      <c r="CD78" s="24">
        <f t="shared" si="110"/>
        <v>609401</v>
      </c>
      <c r="CE78" s="24">
        <f t="shared" si="110"/>
        <v>609401</v>
      </c>
      <c r="CF78" s="24">
        <f t="shared" si="110"/>
        <v>387308</v>
      </c>
      <c r="CG78" s="24">
        <f t="shared" si="110"/>
        <v>0</v>
      </c>
      <c r="CH78" s="24">
        <f t="shared" si="110"/>
        <v>387308</v>
      </c>
      <c r="CI78" s="24">
        <f t="shared" si="110"/>
        <v>64465</v>
      </c>
      <c r="CJ78" s="24">
        <f t="shared" si="110"/>
        <v>0</v>
      </c>
      <c r="CK78" s="24">
        <f t="shared" si="110"/>
        <v>0</v>
      </c>
      <c r="CL78" s="24">
        <f t="shared" si="110"/>
        <v>64465</v>
      </c>
      <c r="CM78" s="24">
        <f t="shared" si="110"/>
        <v>0</v>
      </c>
      <c r="CN78" s="24">
        <f t="shared" si="110"/>
        <v>157628</v>
      </c>
      <c r="CO78" s="24">
        <f t="shared" si="110"/>
        <v>0</v>
      </c>
      <c r="CP78" s="24">
        <f t="shared" si="110"/>
        <v>0</v>
      </c>
      <c r="CQ78" s="24">
        <f t="shared" si="110"/>
        <v>157628</v>
      </c>
      <c r="CR78" s="24"/>
      <c r="CS78" s="24"/>
      <c r="CT78" s="24">
        <f t="shared" si="110"/>
        <v>0</v>
      </c>
      <c r="CU78" s="24">
        <f t="shared" si="110"/>
        <v>0</v>
      </c>
      <c r="CV78" s="24">
        <f t="shared" si="110"/>
        <v>0</v>
      </c>
      <c r="CW78" s="24">
        <f t="shared" si="110"/>
        <v>0</v>
      </c>
      <c r="CX78" s="24">
        <f t="shared" si="110"/>
        <v>0</v>
      </c>
      <c r="CY78" s="24">
        <f t="shared" si="110"/>
        <v>0</v>
      </c>
      <c r="CZ78" s="25">
        <f t="shared" si="110"/>
        <v>0</v>
      </c>
    </row>
    <row r="79" spans="1:104" ht="15.6" x14ac:dyDescent="0.3">
      <c r="A79" s="26"/>
      <c r="B79" s="27" t="s">
        <v>1</v>
      </c>
      <c r="C79" s="27" t="s">
        <v>172</v>
      </c>
      <c r="D79" s="28" t="s">
        <v>173</v>
      </c>
      <c r="E79" s="23">
        <f>SUM(F79+CD79+CW79)</f>
        <v>20905280</v>
      </c>
      <c r="F79" s="24">
        <f>SUM(G79+BD79)</f>
        <v>20295879</v>
      </c>
      <c r="G79" s="24">
        <f>SUM(H79+I79+J79+Q79+T79+U79+V79+AF79+AE79)</f>
        <v>20295879</v>
      </c>
      <c r="H79" s="29">
        <v>16667159</v>
      </c>
      <c r="I79" s="29">
        <v>634426</v>
      </c>
      <c r="J79" s="24">
        <f t="shared" ref="J79:J151" si="111">SUM(K79:P79)</f>
        <v>2001789</v>
      </c>
      <c r="K79" s="29">
        <f>2860-229</f>
        <v>2631</v>
      </c>
      <c r="L79" s="29">
        <f>636354-92</f>
        <v>636262</v>
      </c>
      <c r="M79" s="29">
        <v>0</v>
      </c>
      <c r="N79" s="29">
        <v>0</v>
      </c>
      <c r="O79" s="29">
        <f>501631+172180+130000</f>
        <v>803811</v>
      </c>
      <c r="P79" s="29">
        <f>371844+180000+10000-2759</f>
        <v>559085</v>
      </c>
      <c r="Q79" s="24">
        <f t="shared" ref="Q79:Q151" si="112">SUM(R79:S79)</f>
        <v>0</v>
      </c>
      <c r="R79" s="30"/>
      <c r="S79" s="30"/>
      <c r="T79" s="30"/>
      <c r="U79" s="29">
        <f>251496-80000-38532</f>
        <v>132964</v>
      </c>
      <c r="V79" s="24">
        <f>SUM(W79:AD79)</f>
        <v>472470</v>
      </c>
      <c r="W79" s="29">
        <f>45967-65</f>
        <v>45902</v>
      </c>
      <c r="X79" s="29">
        <f>255216+2079</f>
        <v>257295</v>
      </c>
      <c r="Y79" s="29">
        <v>137456</v>
      </c>
      <c r="Z79" s="29">
        <f>21770+1976</f>
        <v>23746</v>
      </c>
      <c r="AA79" s="29">
        <v>8071</v>
      </c>
      <c r="AB79" s="29">
        <v>0</v>
      </c>
      <c r="AC79" s="29">
        <v>0</v>
      </c>
      <c r="AD79" s="29">
        <v>0</v>
      </c>
      <c r="AE79" s="24">
        <v>0</v>
      </c>
      <c r="AF79" s="24">
        <f>SUM(AG79:BC79)</f>
        <v>387071</v>
      </c>
      <c r="AG79" s="24">
        <v>0</v>
      </c>
      <c r="AH79" s="24"/>
      <c r="AI79" s="29">
        <v>3950</v>
      </c>
      <c r="AJ79" s="29">
        <v>0</v>
      </c>
      <c r="AK79" s="29">
        <v>400</v>
      </c>
      <c r="AL79" s="29">
        <v>0</v>
      </c>
      <c r="AM79" s="29">
        <v>13795</v>
      </c>
      <c r="AN79" s="29">
        <v>0</v>
      </c>
      <c r="AO79" s="29">
        <v>0</v>
      </c>
      <c r="AP79" s="29">
        <f>14550-361</f>
        <v>14189</v>
      </c>
      <c r="AQ79" s="29">
        <v>0</v>
      </c>
      <c r="AR79" s="29">
        <v>0</v>
      </c>
      <c r="AS79" s="29">
        <v>0</v>
      </c>
      <c r="AT79" s="29">
        <f>364388-50000-90000-3496</f>
        <v>220892</v>
      </c>
      <c r="AU79" s="29">
        <f>32850-4050</f>
        <v>28800</v>
      </c>
      <c r="AV79" s="29">
        <v>0</v>
      </c>
      <c r="AW79" s="29">
        <v>0</v>
      </c>
      <c r="AX79" s="29">
        <v>0</v>
      </c>
      <c r="AY79" s="29">
        <f>38982-11837</f>
        <v>27145</v>
      </c>
      <c r="AZ79" s="29">
        <v>828</v>
      </c>
      <c r="BA79" s="29">
        <v>54168</v>
      </c>
      <c r="BB79" s="29">
        <v>0</v>
      </c>
      <c r="BC79" s="29">
        <f>25795-2891</f>
        <v>22904</v>
      </c>
      <c r="BD79" s="24">
        <f>SUM(BE79+BI79+BM79+BO79+BR79)</f>
        <v>0</v>
      </c>
      <c r="BE79" s="24">
        <f>SUM(BF79:BH79)</f>
        <v>0</v>
      </c>
      <c r="BF79" s="24">
        <v>0</v>
      </c>
      <c r="BG79" s="24">
        <v>0</v>
      </c>
      <c r="BH79" s="24">
        <v>0</v>
      </c>
      <c r="BI79" s="24">
        <f>SUM(BL79:BL79)</f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</v>
      </c>
      <c r="BO79" s="24">
        <f t="shared" ref="BO79:BO151" si="113">SUM(BP79)</f>
        <v>0</v>
      </c>
      <c r="BP79" s="24">
        <v>0</v>
      </c>
      <c r="BQ79" s="24">
        <v>0</v>
      </c>
      <c r="BR79" s="24">
        <f>SUM(BS79:CC79)</f>
        <v>0</v>
      </c>
      <c r="BS79" s="24">
        <v>0</v>
      </c>
      <c r="BT79" s="24">
        <v>0</v>
      </c>
      <c r="BU79" s="24">
        <v>0</v>
      </c>
      <c r="BV79" s="24">
        <v>0</v>
      </c>
      <c r="BW79" s="24">
        <v>0</v>
      </c>
      <c r="BX79" s="24">
        <v>0</v>
      </c>
      <c r="BY79" s="24">
        <v>0</v>
      </c>
      <c r="BZ79" s="24">
        <v>0</v>
      </c>
      <c r="CA79" s="24">
        <v>0</v>
      </c>
      <c r="CB79" s="24"/>
      <c r="CC79" s="24">
        <v>0</v>
      </c>
      <c r="CD79" s="24">
        <f>SUM(CE79+CV79)</f>
        <v>609401</v>
      </c>
      <c r="CE79" s="24">
        <f>SUM(CF79+CI79+CN79)</f>
        <v>609401</v>
      </c>
      <c r="CF79" s="24">
        <f t="shared" ref="CF79:CF151" si="114">SUM(CG79:CH79)</f>
        <v>387308</v>
      </c>
      <c r="CG79" s="24">
        <v>0</v>
      </c>
      <c r="CH79" s="29">
        <f>881581-344273-180000+30000</f>
        <v>387308</v>
      </c>
      <c r="CI79" s="24">
        <f>SUM(CJ79:CM79)</f>
        <v>64465</v>
      </c>
      <c r="CJ79" s="24">
        <v>0</v>
      </c>
      <c r="CK79" s="24">
        <v>0</v>
      </c>
      <c r="CL79" s="24">
        <f>0+64465</f>
        <v>64465</v>
      </c>
      <c r="CM79" s="24">
        <v>0</v>
      </c>
      <c r="CN79" s="24">
        <f>SUM(CO79:CS79)</f>
        <v>157628</v>
      </c>
      <c r="CO79" s="30"/>
      <c r="CP79" s="30"/>
      <c r="CQ79" s="24">
        <f>0+107628+50000</f>
        <v>157628</v>
      </c>
      <c r="CR79" s="24"/>
      <c r="CS79" s="24"/>
      <c r="CT79" s="24"/>
      <c r="CU79" s="24"/>
      <c r="CV79" s="24">
        <v>0</v>
      </c>
      <c r="CW79" s="24">
        <f t="shared" ref="CW79:CW151" si="115">SUM(CX79)</f>
        <v>0</v>
      </c>
      <c r="CX79" s="24">
        <f t="shared" ref="CX79:CX151" si="116">SUM(CY79:CZ79)</f>
        <v>0</v>
      </c>
      <c r="CY79" s="24">
        <v>0</v>
      </c>
      <c r="CZ79" s="25">
        <v>0</v>
      </c>
    </row>
    <row r="80" spans="1:104" ht="31.2" x14ac:dyDescent="0.3">
      <c r="A80" s="20"/>
      <c r="B80" s="21" t="s">
        <v>618</v>
      </c>
      <c r="C80" s="21" t="s">
        <v>1</v>
      </c>
      <c r="D80" s="22" t="s">
        <v>174</v>
      </c>
      <c r="E80" s="23">
        <f t="shared" ref="E80:AL80" si="117">SUM(E81)</f>
        <v>24992519</v>
      </c>
      <c r="F80" s="24">
        <f t="shared" si="117"/>
        <v>23991916</v>
      </c>
      <c r="G80" s="24">
        <f t="shared" si="117"/>
        <v>23991916</v>
      </c>
      <c r="H80" s="24">
        <f t="shared" si="117"/>
        <v>20114648</v>
      </c>
      <c r="I80" s="24">
        <f t="shared" si="117"/>
        <v>1242172</v>
      </c>
      <c r="J80" s="24">
        <f t="shared" si="117"/>
        <v>1196260</v>
      </c>
      <c r="K80" s="24">
        <f t="shared" si="117"/>
        <v>0</v>
      </c>
      <c r="L80" s="24">
        <f t="shared" si="117"/>
        <v>286580</v>
      </c>
      <c r="M80" s="24">
        <f t="shared" si="117"/>
        <v>0</v>
      </c>
      <c r="N80" s="24">
        <f t="shared" si="117"/>
        <v>0</v>
      </c>
      <c r="O80" s="24">
        <f t="shared" si="117"/>
        <v>495336</v>
      </c>
      <c r="P80" s="24">
        <f t="shared" si="117"/>
        <v>414344</v>
      </c>
      <c r="Q80" s="24">
        <f t="shared" si="117"/>
        <v>627</v>
      </c>
      <c r="R80" s="24">
        <f t="shared" si="117"/>
        <v>627</v>
      </c>
      <c r="S80" s="24">
        <f t="shared" si="117"/>
        <v>0</v>
      </c>
      <c r="T80" s="24">
        <f t="shared" si="117"/>
        <v>0</v>
      </c>
      <c r="U80" s="24">
        <f t="shared" si="117"/>
        <v>153997</v>
      </c>
      <c r="V80" s="24">
        <f t="shared" si="117"/>
        <v>333469</v>
      </c>
      <c r="W80" s="24">
        <f t="shared" si="117"/>
        <v>129253</v>
      </c>
      <c r="X80" s="24">
        <f t="shared" si="117"/>
        <v>43408</v>
      </c>
      <c r="Y80" s="24">
        <f t="shared" si="117"/>
        <v>93465</v>
      </c>
      <c r="Z80" s="24">
        <f t="shared" si="117"/>
        <v>23153</v>
      </c>
      <c r="AA80" s="24">
        <f t="shared" si="117"/>
        <v>9700</v>
      </c>
      <c r="AB80" s="24">
        <f t="shared" si="117"/>
        <v>14535</v>
      </c>
      <c r="AC80" s="24">
        <f t="shared" si="117"/>
        <v>0</v>
      </c>
      <c r="AD80" s="24">
        <f t="shared" si="117"/>
        <v>19955</v>
      </c>
      <c r="AE80" s="24">
        <f t="shared" si="117"/>
        <v>0</v>
      </c>
      <c r="AF80" s="24">
        <f t="shared" si="117"/>
        <v>950743</v>
      </c>
      <c r="AG80" s="24">
        <f t="shared" si="117"/>
        <v>0</v>
      </c>
      <c r="AH80" s="24">
        <f t="shared" si="117"/>
        <v>0</v>
      </c>
      <c r="AI80" s="24">
        <f t="shared" si="117"/>
        <v>10727</v>
      </c>
      <c r="AJ80" s="24">
        <f t="shared" si="117"/>
        <v>474789</v>
      </c>
      <c r="AK80" s="24">
        <f t="shared" si="117"/>
        <v>0</v>
      </c>
      <c r="AL80" s="24">
        <f t="shared" si="117"/>
        <v>0</v>
      </c>
      <c r="AM80" s="24">
        <f t="shared" ref="AM80:CZ80" si="118">SUM(AM81)</f>
        <v>0</v>
      </c>
      <c r="AN80" s="24">
        <f t="shared" si="118"/>
        <v>349</v>
      </c>
      <c r="AO80" s="24">
        <f t="shared" si="118"/>
        <v>43230</v>
      </c>
      <c r="AP80" s="24">
        <f t="shared" si="118"/>
        <v>18042</v>
      </c>
      <c r="AQ80" s="24">
        <f t="shared" si="118"/>
        <v>284</v>
      </c>
      <c r="AR80" s="24"/>
      <c r="AS80" s="24">
        <f t="shared" si="118"/>
        <v>0</v>
      </c>
      <c r="AT80" s="24">
        <f t="shared" si="118"/>
        <v>247249</v>
      </c>
      <c r="AU80" s="24">
        <f t="shared" si="118"/>
        <v>0</v>
      </c>
      <c r="AV80" s="24"/>
      <c r="AW80" s="24"/>
      <c r="AX80" s="24">
        <f t="shared" si="118"/>
        <v>0</v>
      </c>
      <c r="AY80" s="24">
        <f t="shared" si="118"/>
        <v>0</v>
      </c>
      <c r="AZ80" s="24">
        <f t="shared" si="118"/>
        <v>0</v>
      </c>
      <c r="BA80" s="24">
        <f t="shared" si="118"/>
        <v>0</v>
      </c>
      <c r="BB80" s="24"/>
      <c r="BC80" s="24">
        <f t="shared" si="118"/>
        <v>156073</v>
      </c>
      <c r="BD80" s="24">
        <f t="shared" si="118"/>
        <v>0</v>
      </c>
      <c r="BE80" s="24">
        <f t="shared" si="118"/>
        <v>0</v>
      </c>
      <c r="BF80" s="24">
        <f t="shared" si="118"/>
        <v>0</v>
      </c>
      <c r="BG80" s="24">
        <f t="shared" si="118"/>
        <v>0</v>
      </c>
      <c r="BH80" s="24">
        <f t="shared" si="118"/>
        <v>0</v>
      </c>
      <c r="BI80" s="24">
        <f t="shared" si="118"/>
        <v>0</v>
      </c>
      <c r="BJ80" s="24">
        <f t="shared" si="118"/>
        <v>0</v>
      </c>
      <c r="BK80" s="24">
        <f t="shared" si="118"/>
        <v>0</v>
      </c>
      <c r="BL80" s="24">
        <f t="shared" si="118"/>
        <v>0</v>
      </c>
      <c r="BM80" s="24">
        <f t="shared" si="118"/>
        <v>0</v>
      </c>
      <c r="BN80" s="24">
        <f t="shared" si="118"/>
        <v>0</v>
      </c>
      <c r="BO80" s="24">
        <f t="shared" si="118"/>
        <v>0</v>
      </c>
      <c r="BP80" s="24">
        <f t="shared" si="118"/>
        <v>0</v>
      </c>
      <c r="BQ80" s="24">
        <f t="shared" si="118"/>
        <v>0</v>
      </c>
      <c r="BR80" s="24">
        <f t="shared" si="118"/>
        <v>0</v>
      </c>
      <c r="BS80" s="24">
        <f t="shared" si="118"/>
        <v>0</v>
      </c>
      <c r="BT80" s="24">
        <f t="shared" si="118"/>
        <v>0</v>
      </c>
      <c r="BU80" s="24">
        <f t="shared" si="118"/>
        <v>0</v>
      </c>
      <c r="BV80" s="24">
        <f t="shared" si="118"/>
        <v>0</v>
      </c>
      <c r="BW80" s="24">
        <f t="shared" si="118"/>
        <v>0</v>
      </c>
      <c r="BX80" s="24">
        <f t="shared" si="118"/>
        <v>0</v>
      </c>
      <c r="BY80" s="24">
        <f t="shared" si="118"/>
        <v>0</v>
      </c>
      <c r="BZ80" s="24">
        <f t="shared" si="118"/>
        <v>0</v>
      </c>
      <c r="CA80" s="24">
        <f t="shared" si="118"/>
        <v>0</v>
      </c>
      <c r="CB80" s="24">
        <f t="shared" si="118"/>
        <v>0</v>
      </c>
      <c r="CC80" s="24">
        <f t="shared" si="118"/>
        <v>0</v>
      </c>
      <c r="CD80" s="24">
        <f t="shared" si="118"/>
        <v>1000603</v>
      </c>
      <c r="CE80" s="24">
        <f t="shared" si="118"/>
        <v>1000603</v>
      </c>
      <c r="CF80" s="24">
        <f t="shared" si="118"/>
        <v>515235</v>
      </c>
      <c r="CG80" s="24">
        <f t="shared" si="118"/>
        <v>0</v>
      </c>
      <c r="CH80" s="24">
        <f t="shared" si="118"/>
        <v>515235</v>
      </c>
      <c r="CI80" s="24">
        <f t="shared" si="118"/>
        <v>186337</v>
      </c>
      <c r="CJ80" s="24">
        <f t="shared" si="118"/>
        <v>0</v>
      </c>
      <c r="CK80" s="24">
        <f t="shared" si="118"/>
        <v>0</v>
      </c>
      <c r="CL80" s="24">
        <f t="shared" si="118"/>
        <v>186337</v>
      </c>
      <c r="CM80" s="24">
        <f t="shared" si="118"/>
        <v>0</v>
      </c>
      <c r="CN80" s="24">
        <f t="shared" si="118"/>
        <v>299031</v>
      </c>
      <c r="CO80" s="24">
        <f t="shared" si="118"/>
        <v>0</v>
      </c>
      <c r="CP80" s="24">
        <f t="shared" si="118"/>
        <v>0</v>
      </c>
      <c r="CQ80" s="24">
        <f t="shared" si="118"/>
        <v>299031</v>
      </c>
      <c r="CR80" s="24"/>
      <c r="CS80" s="24"/>
      <c r="CT80" s="24">
        <f>SUM(CT81)</f>
        <v>0</v>
      </c>
      <c r="CU80" s="24">
        <f>SUM(CU81)</f>
        <v>0</v>
      </c>
      <c r="CV80" s="24">
        <f t="shared" si="118"/>
        <v>0</v>
      </c>
      <c r="CW80" s="24">
        <f t="shared" si="118"/>
        <v>0</v>
      </c>
      <c r="CX80" s="24">
        <f t="shared" si="118"/>
        <v>0</v>
      </c>
      <c r="CY80" s="24">
        <f t="shared" si="118"/>
        <v>0</v>
      </c>
      <c r="CZ80" s="25">
        <f t="shared" si="118"/>
        <v>0</v>
      </c>
    </row>
    <row r="81" spans="1:104" ht="15.6" x14ac:dyDescent="0.3">
      <c r="A81" s="26"/>
      <c r="B81" s="27" t="s">
        <v>1</v>
      </c>
      <c r="C81" s="27" t="s">
        <v>175</v>
      </c>
      <c r="D81" s="28" t="s">
        <v>176</v>
      </c>
      <c r="E81" s="23">
        <f>SUM(F81+CD81+CW81)</f>
        <v>24992519</v>
      </c>
      <c r="F81" s="24">
        <f>SUM(G81+BD81)</f>
        <v>23991916</v>
      </c>
      <c r="G81" s="24">
        <f>SUM(H81+I81+J81+Q81+T81+U81+V81+AF81+AE81)</f>
        <v>23991916</v>
      </c>
      <c r="H81" s="29">
        <f>22614648-2500000</f>
        <v>20114648</v>
      </c>
      <c r="I81" s="29">
        <v>1242172</v>
      </c>
      <c r="J81" s="24">
        <f t="shared" si="111"/>
        <v>1196260</v>
      </c>
      <c r="K81" s="29">
        <v>0</v>
      </c>
      <c r="L81" s="29">
        <f>590309-303729</f>
        <v>286580</v>
      </c>
      <c r="M81" s="29">
        <v>0</v>
      </c>
      <c r="N81" s="29">
        <v>0</v>
      </c>
      <c r="O81" s="29">
        <f>688414-193078</f>
        <v>495336</v>
      </c>
      <c r="P81" s="29">
        <f>445807-31463</f>
        <v>414344</v>
      </c>
      <c r="Q81" s="24">
        <f t="shared" si="112"/>
        <v>627</v>
      </c>
      <c r="R81" s="29">
        <v>627</v>
      </c>
      <c r="S81" s="29">
        <v>0</v>
      </c>
      <c r="T81" s="29">
        <v>0</v>
      </c>
      <c r="U81" s="29">
        <f>203997-50000</f>
        <v>153997</v>
      </c>
      <c r="V81" s="24">
        <f>SUM(W81:AD81)</f>
        <v>333469</v>
      </c>
      <c r="W81" s="29">
        <v>129253</v>
      </c>
      <c r="X81" s="29">
        <f>43198+210</f>
        <v>43408</v>
      </c>
      <c r="Y81" s="29">
        <v>93465</v>
      </c>
      <c r="Z81" s="29">
        <f>14658+8495</f>
        <v>23153</v>
      </c>
      <c r="AA81" s="29">
        <v>9700</v>
      </c>
      <c r="AB81" s="29">
        <f>187566-173031</f>
        <v>14535</v>
      </c>
      <c r="AC81" s="29">
        <v>0</v>
      </c>
      <c r="AD81" s="29">
        <f>19947+8</f>
        <v>19955</v>
      </c>
      <c r="AE81" s="24"/>
      <c r="AF81" s="24">
        <f>SUM(AG81:BC81)</f>
        <v>950743</v>
      </c>
      <c r="AG81" s="24">
        <v>0</v>
      </c>
      <c r="AH81" s="24"/>
      <c r="AI81" s="29">
        <v>10727</v>
      </c>
      <c r="AJ81" s="29">
        <f>669474-194685</f>
        <v>474789</v>
      </c>
      <c r="AK81" s="29">
        <v>0</v>
      </c>
      <c r="AL81" s="29">
        <v>0</v>
      </c>
      <c r="AM81" s="29">
        <v>0</v>
      </c>
      <c r="AN81" s="29">
        <v>349</v>
      </c>
      <c r="AO81" s="29">
        <f>121650-69925-8495</f>
        <v>43230</v>
      </c>
      <c r="AP81" s="29">
        <v>18042</v>
      </c>
      <c r="AQ81" s="29">
        <v>284</v>
      </c>
      <c r="AR81" s="29">
        <v>0</v>
      </c>
      <c r="AS81" s="29">
        <v>0</v>
      </c>
      <c r="AT81" s="29">
        <v>247249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9">
        <v>0</v>
      </c>
      <c r="BC81" s="29">
        <f>161639-5566</f>
        <v>156073</v>
      </c>
      <c r="BD81" s="24">
        <f>SUM(BE81+BI81+BM81+BO81+BR81)</f>
        <v>0</v>
      </c>
      <c r="BE81" s="24">
        <f>SUM(BF81:BH81)</f>
        <v>0</v>
      </c>
      <c r="BF81" s="24">
        <v>0</v>
      </c>
      <c r="BG81" s="24">
        <v>0</v>
      </c>
      <c r="BH81" s="24">
        <v>0</v>
      </c>
      <c r="BI81" s="24">
        <f>SUM(BL81:BL81)</f>
        <v>0</v>
      </c>
      <c r="BJ81" s="24">
        <v>0</v>
      </c>
      <c r="BK81" s="24">
        <v>0</v>
      </c>
      <c r="BL81" s="24">
        <v>0</v>
      </c>
      <c r="BM81" s="24">
        <v>0</v>
      </c>
      <c r="BN81" s="24">
        <v>0</v>
      </c>
      <c r="BO81" s="24">
        <f t="shared" si="113"/>
        <v>0</v>
      </c>
      <c r="BP81" s="24">
        <v>0</v>
      </c>
      <c r="BQ81" s="24">
        <v>0</v>
      </c>
      <c r="BR81" s="24">
        <f>SUM(BS81:CC81)</f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24">
        <v>0</v>
      </c>
      <c r="CB81" s="24">
        <f>9759-9759</f>
        <v>0</v>
      </c>
      <c r="CC81" s="24">
        <v>0</v>
      </c>
      <c r="CD81" s="24">
        <f>SUM(CE81+CV81)</f>
        <v>1000603</v>
      </c>
      <c r="CE81" s="24">
        <f>SUM(CF81+CI81+CN81)</f>
        <v>1000603</v>
      </c>
      <c r="CF81" s="24">
        <f t="shared" si="114"/>
        <v>515235</v>
      </c>
      <c r="CG81" s="24">
        <v>0</v>
      </c>
      <c r="CH81" s="29">
        <f>706844-191609</f>
        <v>515235</v>
      </c>
      <c r="CI81" s="24">
        <f>SUM(CJ81:CM81)</f>
        <v>186337</v>
      </c>
      <c r="CJ81" s="24">
        <v>0</v>
      </c>
      <c r="CK81" s="24">
        <v>0</v>
      </c>
      <c r="CL81" s="29">
        <v>186337</v>
      </c>
      <c r="CM81" s="29"/>
      <c r="CN81" s="24">
        <f>SUM(CO81:CS81)</f>
        <v>299031</v>
      </c>
      <c r="CO81" s="24"/>
      <c r="CP81" s="24"/>
      <c r="CQ81" s="29">
        <v>299031</v>
      </c>
      <c r="CR81" s="24"/>
      <c r="CS81" s="24"/>
      <c r="CT81" s="24"/>
      <c r="CU81" s="24"/>
      <c r="CV81" s="24">
        <v>0</v>
      </c>
      <c r="CW81" s="24">
        <f t="shared" si="115"/>
        <v>0</v>
      </c>
      <c r="CX81" s="24">
        <f t="shared" si="116"/>
        <v>0</v>
      </c>
      <c r="CY81" s="24">
        <v>0</v>
      </c>
      <c r="CZ81" s="25">
        <v>0</v>
      </c>
    </row>
    <row r="82" spans="1:104" ht="15.6" x14ac:dyDescent="0.3">
      <c r="A82" s="20"/>
      <c r="B82" s="21" t="s">
        <v>177</v>
      </c>
      <c r="C82" s="21" t="s">
        <v>1</v>
      </c>
      <c r="D82" s="22" t="s">
        <v>178</v>
      </c>
      <c r="E82" s="23">
        <f t="shared" ref="E82:AL84" si="119">SUM(E83)</f>
        <v>8901729</v>
      </c>
      <c r="F82" s="24">
        <f t="shared" si="119"/>
        <v>8746686</v>
      </c>
      <c r="G82" s="24">
        <f t="shared" si="119"/>
        <v>8746686</v>
      </c>
      <c r="H82" s="24">
        <f t="shared" si="119"/>
        <v>6543367</v>
      </c>
      <c r="I82" s="24">
        <f t="shared" si="119"/>
        <v>1570272</v>
      </c>
      <c r="J82" s="24">
        <f t="shared" si="119"/>
        <v>285086</v>
      </c>
      <c r="K82" s="24">
        <f t="shared" si="119"/>
        <v>0</v>
      </c>
      <c r="L82" s="24">
        <f t="shared" si="119"/>
        <v>0</v>
      </c>
      <c r="M82" s="24">
        <f t="shared" si="119"/>
        <v>0</v>
      </c>
      <c r="N82" s="24">
        <f t="shared" si="119"/>
        <v>0</v>
      </c>
      <c r="O82" s="24">
        <f t="shared" si="119"/>
        <v>229544</v>
      </c>
      <c r="P82" s="24">
        <f t="shared" si="119"/>
        <v>55542</v>
      </c>
      <c r="Q82" s="24">
        <f t="shared" si="119"/>
        <v>0</v>
      </c>
      <c r="R82" s="24">
        <f t="shared" si="119"/>
        <v>0</v>
      </c>
      <c r="S82" s="24">
        <f t="shared" si="119"/>
        <v>0</v>
      </c>
      <c r="T82" s="24">
        <f t="shared" si="119"/>
        <v>0</v>
      </c>
      <c r="U82" s="24">
        <f t="shared" si="119"/>
        <v>111529</v>
      </c>
      <c r="V82" s="24">
        <f t="shared" si="119"/>
        <v>143038</v>
      </c>
      <c r="W82" s="24">
        <f t="shared" si="119"/>
        <v>0</v>
      </c>
      <c r="X82" s="24">
        <f t="shared" si="119"/>
        <v>87549</v>
      </c>
      <c r="Y82" s="24">
        <f t="shared" si="119"/>
        <v>43145</v>
      </c>
      <c r="Z82" s="24">
        <f t="shared" si="119"/>
        <v>7383</v>
      </c>
      <c r="AA82" s="24">
        <f t="shared" si="119"/>
        <v>4961</v>
      </c>
      <c r="AB82" s="24">
        <f t="shared" si="119"/>
        <v>0</v>
      </c>
      <c r="AC82" s="24">
        <f t="shared" si="119"/>
        <v>0</v>
      </c>
      <c r="AD82" s="24">
        <f t="shared" si="119"/>
        <v>0</v>
      </c>
      <c r="AE82" s="24">
        <f t="shared" si="119"/>
        <v>0</v>
      </c>
      <c r="AF82" s="24">
        <f t="shared" si="119"/>
        <v>93394</v>
      </c>
      <c r="AG82" s="24">
        <f t="shared" si="119"/>
        <v>0</v>
      </c>
      <c r="AH82" s="24">
        <f t="shared" si="119"/>
        <v>0</v>
      </c>
      <c r="AI82" s="24">
        <f t="shared" si="119"/>
        <v>13677</v>
      </c>
      <c r="AJ82" s="24">
        <f t="shared" si="119"/>
        <v>51113</v>
      </c>
      <c r="AK82" s="24">
        <f t="shared" si="119"/>
        <v>0</v>
      </c>
      <c r="AL82" s="24">
        <f t="shared" si="119"/>
        <v>0</v>
      </c>
      <c r="AM82" s="24">
        <f t="shared" ref="AM82:CY84" si="120">SUM(AM83)</f>
        <v>0</v>
      </c>
      <c r="AN82" s="24">
        <f t="shared" si="120"/>
        <v>0</v>
      </c>
      <c r="AO82" s="24">
        <f t="shared" si="120"/>
        <v>0</v>
      </c>
      <c r="AP82" s="24">
        <f t="shared" si="120"/>
        <v>12000</v>
      </c>
      <c r="AQ82" s="24">
        <f t="shared" si="120"/>
        <v>0</v>
      </c>
      <c r="AR82" s="24"/>
      <c r="AS82" s="24">
        <f t="shared" si="120"/>
        <v>0</v>
      </c>
      <c r="AT82" s="24">
        <f t="shared" si="120"/>
        <v>16604</v>
      </c>
      <c r="AU82" s="24">
        <f t="shared" si="120"/>
        <v>0</v>
      </c>
      <c r="AV82" s="24"/>
      <c r="AW82" s="24"/>
      <c r="AX82" s="24">
        <f t="shared" si="120"/>
        <v>0</v>
      </c>
      <c r="AY82" s="24">
        <f t="shared" si="120"/>
        <v>0</v>
      </c>
      <c r="AZ82" s="24">
        <f t="shared" si="120"/>
        <v>0</v>
      </c>
      <c r="BA82" s="24">
        <f t="shared" si="120"/>
        <v>0</v>
      </c>
      <c r="BB82" s="24"/>
      <c r="BC82" s="24">
        <f t="shared" si="120"/>
        <v>0</v>
      </c>
      <c r="BD82" s="24">
        <f t="shared" si="120"/>
        <v>0</v>
      </c>
      <c r="BE82" s="24">
        <f t="shared" si="120"/>
        <v>0</v>
      </c>
      <c r="BF82" s="24">
        <f t="shared" si="120"/>
        <v>0</v>
      </c>
      <c r="BG82" s="24">
        <f t="shared" si="120"/>
        <v>0</v>
      </c>
      <c r="BH82" s="24">
        <f t="shared" si="120"/>
        <v>0</v>
      </c>
      <c r="BI82" s="24">
        <f t="shared" si="120"/>
        <v>0</v>
      </c>
      <c r="BJ82" s="24">
        <f t="shared" si="120"/>
        <v>0</v>
      </c>
      <c r="BK82" s="24">
        <f t="shared" si="120"/>
        <v>0</v>
      </c>
      <c r="BL82" s="24">
        <f t="shared" si="120"/>
        <v>0</v>
      </c>
      <c r="BM82" s="24">
        <f t="shared" si="120"/>
        <v>0</v>
      </c>
      <c r="BN82" s="24">
        <f t="shared" si="120"/>
        <v>0</v>
      </c>
      <c r="BO82" s="24">
        <f t="shared" si="120"/>
        <v>0</v>
      </c>
      <c r="BP82" s="24">
        <f t="shared" si="120"/>
        <v>0</v>
      </c>
      <c r="BQ82" s="24">
        <f t="shared" si="120"/>
        <v>0</v>
      </c>
      <c r="BR82" s="24">
        <f t="shared" si="120"/>
        <v>0</v>
      </c>
      <c r="BS82" s="24">
        <f t="shared" si="120"/>
        <v>0</v>
      </c>
      <c r="BT82" s="24">
        <f t="shared" si="120"/>
        <v>0</v>
      </c>
      <c r="BU82" s="24">
        <f t="shared" si="120"/>
        <v>0</v>
      </c>
      <c r="BV82" s="24">
        <f t="shared" si="120"/>
        <v>0</v>
      </c>
      <c r="BW82" s="24">
        <f t="shared" si="120"/>
        <v>0</v>
      </c>
      <c r="BX82" s="24">
        <f t="shared" si="120"/>
        <v>0</v>
      </c>
      <c r="BY82" s="24">
        <f t="shared" si="120"/>
        <v>0</v>
      </c>
      <c r="BZ82" s="24">
        <f t="shared" si="120"/>
        <v>0</v>
      </c>
      <c r="CA82" s="24">
        <f t="shared" si="120"/>
        <v>0</v>
      </c>
      <c r="CB82" s="24">
        <f t="shared" si="120"/>
        <v>0</v>
      </c>
      <c r="CC82" s="24">
        <f t="shared" si="120"/>
        <v>0</v>
      </c>
      <c r="CD82" s="24">
        <f t="shared" si="120"/>
        <v>155043</v>
      </c>
      <c r="CE82" s="24">
        <f t="shared" si="120"/>
        <v>155043</v>
      </c>
      <c r="CF82" s="24">
        <f t="shared" si="120"/>
        <v>155043</v>
      </c>
      <c r="CG82" s="24">
        <f t="shared" si="120"/>
        <v>0</v>
      </c>
      <c r="CH82" s="24">
        <f t="shared" si="120"/>
        <v>155043</v>
      </c>
      <c r="CI82" s="24">
        <f t="shared" si="120"/>
        <v>0</v>
      </c>
      <c r="CJ82" s="24">
        <f t="shared" si="120"/>
        <v>0</v>
      </c>
      <c r="CK82" s="24">
        <f t="shared" si="120"/>
        <v>0</v>
      </c>
      <c r="CL82" s="24">
        <f t="shared" si="120"/>
        <v>0</v>
      </c>
      <c r="CM82" s="24">
        <f t="shared" si="120"/>
        <v>0</v>
      </c>
      <c r="CN82" s="24">
        <f t="shared" si="120"/>
        <v>0</v>
      </c>
      <c r="CO82" s="24">
        <f t="shared" si="120"/>
        <v>0</v>
      </c>
      <c r="CP82" s="24">
        <f t="shared" si="120"/>
        <v>0</v>
      </c>
      <c r="CQ82" s="24">
        <f t="shared" si="120"/>
        <v>0</v>
      </c>
      <c r="CR82" s="24"/>
      <c r="CS82" s="24"/>
      <c r="CT82" s="24">
        <f t="shared" si="120"/>
        <v>0</v>
      </c>
      <c r="CU82" s="24">
        <f t="shared" si="120"/>
        <v>0</v>
      </c>
      <c r="CV82" s="24">
        <f t="shared" si="120"/>
        <v>0</v>
      </c>
      <c r="CW82" s="24">
        <f t="shared" si="120"/>
        <v>0</v>
      </c>
      <c r="CX82" s="24">
        <f t="shared" si="120"/>
        <v>0</v>
      </c>
      <c r="CY82" s="24">
        <f t="shared" si="120"/>
        <v>0</v>
      </c>
      <c r="CZ82" s="25">
        <f t="shared" ref="CZ82:CZ84" si="121">SUM(CZ83)</f>
        <v>0</v>
      </c>
    </row>
    <row r="83" spans="1:104" ht="31.2" x14ac:dyDescent="0.3">
      <c r="A83" s="26" t="s">
        <v>1</v>
      </c>
      <c r="B83" s="27" t="s">
        <v>1</v>
      </c>
      <c r="C83" s="27" t="s">
        <v>179</v>
      </c>
      <c r="D83" s="28" t="s">
        <v>180</v>
      </c>
      <c r="E83" s="23">
        <f>SUM(F83+CD83+CW83)</f>
        <v>8901729</v>
      </c>
      <c r="F83" s="24">
        <f>SUM(G83+BD83)</f>
        <v>8746686</v>
      </c>
      <c r="G83" s="24">
        <f>SUM(H83+I83+J83+Q83+T83+U83+V83+AF83+AE83)</f>
        <v>8746686</v>
      </c>
      <c r="H83" s="29">
        <f>5113993+1813374-384000</f>
        <v>6543367</v>
      </c>
      <c r="I83" s="29">
        <f>1031492+538780</f>
        <v>1570272</v>
      </c>
      <c r="J83" s="24">
        <f t="shared" si="111"/>
        <v>285086</v>
      </c>
      <c r="K83" s="24">
        <v>0</v>
      </c>
      <c r="L83" s="24">
        <f>60905-60905</f>
        <v>0</v>
      </c>
      <c r="M83" s="24">
        <v>0</v>
      </c>
      <c r="N83" s="24">
        <v>0</v>
      </c>
      <c r="O83" s="29">
        <f>230946-1402</f>
        <v>229544</v>
      </c>
      <c r="P83" s="29">
        <v>55542</v>
      </c>
      <c r="Q83" s="24">
        <f t="shared" si="112"/>
        <v>0</v>
      </c>
      <c r="R83" s="24"/>
      <c r="S83" s="24">
        <v>0</v>
      </c>
      <c r="T83" s="24">
        <v>0</v>
      </c>
      <c r="U83" s="29">
        <f>196529-85000</f>
        <v>111529</v>
      </c>
      <c r="V83" s="24">
        <f>SUM(W83:AD83)</f>
        <v>143038</v>
      </c>
      <c r="W83" s="29">
        <f>89-89</f>
        <v>0</v>
      </c>
      <c r="X83" s="29">
        <f>87098+451</f>
        <v>87549</v>
      </c>
      <c r="Y83" s="29">
        <v>43145</v>
      </c>
      <c r="Z83" s="29">
        <f>5981+1402</f>
        <v>7383</v>
      </c>
      <c r="AA83" s="29">
        <v>4961</v>
      </c>
      <c r="AB83" s="29">
        <v>0</v>
      </c>
      <c r="AC83" s="29">
        <v>0</v>
      </c>
      <c r="AD83" s="29">
        <v>0</v>
      </c>
      <c r="AE83" s="24"/>
      <c r="AF83" s="24">
        <f>SUM(AG83:BC83)</f>
        <v>93394</v>
      </c>
      <c r="AG83" s="24">
        <v>0</v>
      </c>
      <c r="AH83" s="24"/>
      <c r="AI83" s="29">
        <v>13677</v>
      </c>
      <c r="AJ83" s="29">
        <v>51113</v>
      </c>
      <c r="AK83" s="29">
        <v>0</v>
      </c>
      <c r="AL83" s="29">
        <v>0</v>
      </c>
      <c r="AM83" s="29">
        <v>0</v>
      </c>
      <c r="AN83" s="29">
        <v>0</v>
      </c>
      <c r="AO83" s="29">
        <f>2385-2385</f>
        <v>0</v>
      </c>
      <c r="AP83" s="29">
        <f>15627-3627</f>
        <v>12000</v>
      </c>
      <c r="AQ83" s="29">
        <v>0</v>
      </c>
      <c r="AR83" s="29">
        <v>0</v>
      </c>
      <c r="AS83" s="29">
        <v>0</v>
      </c>
      <c r="AT83" s="29">
        <v>16604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4">
        <f>SUM(BE83+BI83+BM83+BO83+BR83)</f>
        <v>0</v>
      </c>
      <c r="BE83" s="24">
        <f>SUM(BF83:BH83)</f>
        <v>0</v>
      </c>
      <c r="BF83" s="24">
        <v>0</v>
      </c>
      <c r="BG83" s="24">
        <v>0</v>
      </c>
      <c r="BH83" s="24">
        <v>0</v>
      </c>
      <c r="BI83" s="24">
        <f>SUM(BL83:BL83)</f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0</v>
      </c>
      <c r="BO83" s="24">
        <f t="shared" si="113"/>
        <v>0</v>
      </c>
      <c r="BP83" s="24">
        <v>0</v>
      </c>
      <c r="BQ83" s="24">
        <v>0</v>
      </c>
      <c r="BR83" s="24">
        <f>SUM(BS83:CC83)</f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0</v>
      </c>
      <c r="BY83" s="24">
        <v>0</v>
      </c>
      <c r="BZ83" s="24">
        <v>0</v>
      </c>
      <c r="CA83" s="24">
        <v>0</v>
      </c>
      <c r="CB83" s="24">
        <f>6518-6518</f>
        <v>0</v>
      </c>
      <c r="CC83" s="24">
        <v>0</v>
      </c>
      <c r="CD83" s="24">
        <f>SUM(CE83+CV83)</f>
        <v>155043</v>
      </c>
      <c r="CE83" s="24">
        <f>SUM(CF83+CI83+CN83)</f>
        <v>155043</v>
      </c>
      <c r="CF83" s="24">
        <f t="shared" si="114"/>
        <v>155043</v>
      </c>
      <c r="CG83" s="24">
        <v>0</v>
      </c>
      <c r="CH83" s="29">
        <v>155043</v>
      </c>
      <c r="CI83" s="24">
        <f>SUM(CJ83:CM83)</f>
        <v>0</v>
      </c>
      <c r="CJ83" s="24">
        <v>0</v>
      </c>
      <c r="CK83" s="24">
        <v>0</v>
      </c>
      <c r="CL83" s="24">
        <v>0</v>
      </c>
      <c r="CM83" s="24">
        <v>0</v>
      </c>
      <c r="CN83" s="24">
        <f>SUM(CO83:CS83)</f>
        <v>0</v>
      </c>
      <c r="CO83" s="24">
        <v>0</v>
      </c>
      <c r="CP83" s="24">
        <v>0</v>
      </c>
      <c r="CQ83" s="24">
        <v>0</v>
      </c>
      <c r="CR83" s="24"/>
      <c r="CS83" s="24"/>
      <c r="CT83" s="24"/>
      <c r="CU83" s="24"/>
      <c r="CV83" s="24">
        <v>0</v>
      </c>
      <c r="CW83" s="24">
        <f t="shared" si="115"/>
        <v>0</v>
      </c>
      <c r="CX83" s="24">
        <f t="shared" si="116"/>
        <v>0</v>
      </c>
      <c r="CY83" s="24">
        <v>0</v>
      </c>
      <c r="CZ83" s="25">
        <v>0</v>
      </c>
    </row>
    <row r="84" spans="1:104" ht="15.6" x14ac:dyDescent="0.3">
      <c r="A84" s="20"/>
      <c r="B84" s="21" t="s">
        <v>181</v>
      </c>
      <c r="C84" s="21" t="s">
        <v>1</v>
      </c>
      <c r="D84" s="37" t="s">
        <v>425</v>
      </c>
      <c r="E84" s="23">
        <f t="shared" si="119"/>
        <v>66316436</v>
      </c>
      <c r="F84" s="24">
        <f t="shared" si="119"/>
        <v>62349906</v>
      </c>
      <c r="G84" s="24">
        <f t="shared" si="119"/>
        <v>61127606</v>
      </c>
      <c r="H84" s="24">
        <f t="shared" si="119"/>
        <v>33349463</v>
      </c>
      <c r="I84" s="24">
        <f t="shared" si="119"/>
        <v>368519</v>
      </c>
      <c r="J84" s="24">
        <f t="shared" si="119"/>
        <v>5922372</v>
      </c>
      <c r="K84" s="24">
        <f t="shared" si="119"/>
        <v>122036</v>
      </c>
      <c r="L84" s="24">
        <f t="shared" si="119"/>
        <v>2071015</v>
      </c>
      <c r="M84" s="24">
        <f t="shared" si="119"/>
        <v>0</v>
      </c>
      <c r="N84" s="24">
        <f t="shared" si="119"/>
        <v>79783</v>
      </c>
      <c r="O84" s="24">
        <f t="shared" si="119"/>
        <v>2906763</v>
      </c>
      <c r="P84" s="24">
        <f t="shared" si="119"/>
        <v>742775</v>
      </c>
      <c r="Q84" s="24">
        <f t="shared" si="119"/>
        <v>46094</v>
      </c>
      <c r="R84" s="24">
        <f t="shared" si="119"/>
        <v>39367</v>
      </c>
      <c r="S84" s="24">
        <f t="shared" si="119"/>
        <v>6727</v>
      </c>
      <c r="T84" s="24">
        <f t="shared" si="119"/>
        <v>23352</v>
      </c>
      <c r="U84" s="24">
        <f t="shared" si="119"/>
        <v>410816</v>
      </c>
      <c r="V84" s="24">
        <f t="shared" si="119"/>
        <v>1114400</v>
      </c>
      <c r="W84" s="24">
        <f t="shared" si="119"/>
        <v>151757</v>
      </c>
      <c r="X84" s="24">
        <f t="shared" si="119"/>
        <v>3664</v>
      </c>
      <c r="Y84" s="24">
        <f t="shared" si="119"/>
        <v>759097</v>
      </c>
      <c r="Z84" s="24">
        <f t="shared" si="119"/>
        <v>53092</v>
      </c>
      <c r="AA84" s="24">
        <f t="shared" si="119"/>
        <v>71959</v>
      </c>
      <c r="AB84" s="24">
        <f t="shared" si="119"/>
        <v>12000</v>
      </c>
      <c r="AC84" s="24">
        <f t="shared" si="119"/>
        <v>0</v>
      </c>
      <c r="AD84" s="24">
        <f t="shared" si="119"/>
        <v>62831</v>
      </c>
      <c r="AE84" s="24">
        <f t="shared" si="119"/>
        <v>0</v>
      </c>
      <c r="AF84" s="24">
        <f t="shared" si="119"/>
        <v>19892590</v>
      </c>
      <c r="AG84" s="24">
        <f t="shared" si="119"/>
        <v>0</v>
      </c>
      <c r="AH84" s="24">
        <f t="shared" si="119"/>
        <v>0</v>
      </c>
      <c r="AI84" s="24">
        <f t="shared" si="119"/>
        <v>135000</v>
      </c>
      <c r="AJ84" s="24">
        <f t="shared" si="119"/>
        <v>314100</v>
      </c>
      <c r="AK84" s="24">
        <f t="shared" si="119"/>
        <v>0</v>
      </c>
      <c r="AL84" s="24">
        <f t="shared" si="119"/>
        <v>1888</v>
      </c>
      <c r="AM84" s="24">
        <f t="shared" si="120"/>
        <v>325157</v>
      </c>
      <c r="AN84" s="24">
        <f t="shared" si="120"/>
        <v>3770</v>
      </c>
      <c r="AO84" s="24">
        <f t="shared" si="120"/>
        <v>54876</v>
      </c>
      <c r="AP84" s="24">
        <f t="shared" si="120"/>
        <v>12186</v>
      </c>
      <c r="AQ84" s="24">
        <f t="shared" si="120"/>
        <v>0</v>
      </c>
      <c r="AR84" s="24"/>
      <c r="AS84" s="24">
        <f t="shared" si="120"/>
        <v>67500</v>
      </c>
      <c r="AT84" s="24">
        <f t="shared" si="120"/>
        <v>0</v>
      </c>
      <c r="AU84" s="24">
        <f t="shared" si="120"/>
        <v>0</v>
      </c>
      <c r="AV84" s="24"/>
      <c r="AW84" s="24"/>
      <c r="AX84" s="24">
        <f t="shared" si="120"/>
        <v>0</v>
      </c>
      <c r="AY84" s="24">
        <f t="shared" si="120"/>
        <v>17137313</v>
      </c>
      <c r="AZ84" s="24">
        <f t="shared" si="120"/>
        <v>0</v>
      </c>
      <c r="BA84" s="24">
        <f t="shared" si="120"/>
        <v>308600</v>
      </c>
      <c r="BB84" s="24">
        <f t="shared" si="120"/>
        <v>984000</v>
      </c>
      <c r="BC84" s="24">
        <f t="shared" si="120"/>
        <v>548200</v>
      </c>
      <c r="BD84" s="24">
        <f t="shared" si="120"/>
        <v>1222300</v>
      </c>
      <c r="BE84" s="24">
        <f t="shared" si="120"/>
        <v>0</v>
      </c>
      <c r="BF84" s="24">
        <f t="shared" si="120"/>
        <v>0</v>
      </c>
      <c r="BG84" s="24">
        <f t="shared" si="120"/>
        <v>0</v>
      </c>
      <c r="BH84" s="24">
        <f t="shared" si="120"/>
        <v>0</v>
      </c>
      <c r="BI84" s="24">
        <f t="shared" si="120"/>
        <v>0</v>
      </c>
      <c r="BJ84" s="24">
        <f t="shared" si="120"/>
        <v>0</v>
      </c>
      <c r="BK84" s="24">
        <f t="shared" si="120"/>
        <v>0</v>
      </c>
      <c r="BL84" s="24">
        <f t="shared" si="120"/>
        <v>0</v>
      </c>
      <c r="BM84" s="24">
        <f t="shared" si="120"/>
        <v>0</v>
      </c>
      <c r="BN84" s="24">
        <f t="shared" si="120"/>
        <v>0</v>
      </c>
      <c r="BO84" s="24">
        <f t="shared" si="120"/>
        <v>323300</v>
      </c>
      <c r="BP84" s="24">
        <f t="shared" si="120"/>
        <v>323300</v>
      </c>
      <c r="BQ84" s="24">
        <f t="shared" si="120"/>
        <v>0</v>
      </c>
      <c r="BR84" s="24">
        <f t="shared" si="120"/>
        <v>899000</v>
      </c>
      <c r="BS84" s="24">
        <f t="shared" si="120"/>
        <v>0</v>
      </c>
      <c r="BT84" s="24">
        <f t="shared" si="120"/>
        <v>0</v>
      </c>
      <c r="BU84" s="24">
        <f t="shared" si="120"/>
        <v>0</v>
      </c>
      <c r="BV84" s="24">
        <f t="shared" si="120"/>
        <v>0</v>
      </c>
      <c r="BW84" s="24">
        <f t="shared" si="120"/>
        <v>0</v>
      </c>
      <c r="BX84" s="24">
        <f t="shared" si="120"/>
        <v>0</v>
      </c>
      <c r="BY84" s="24">
        <f t="shared" si="120"/>
        <v>0</v>
      </c>
      <c r="BZ84" s="24">
        <f t="shared" si="120"/>
        <v>0</v>
      </c>
      <c r="CA84" s="24">
        <f t="shared" si="120"/>
        <v>0</v>
      </c>
      <c r="CB84" s="24">
        <f t="shared" si="120"/>
        <v>899000</v>
      </c>
      <c r="CC84" s="24">
        <f t="shared" si="120"/>
        <v>0</v>
      </c>
      <c r="CD84" s="24">
        <f t="shared" si="120"/>
        <v>3966530</v>
      </c>
      <c r="CE84" s="24">
        <f t="shared" si="120"/>
        <v>3966530</v>
      </c>
      <c r="CF84" s="24">
        <f t="shared" si="120"/>
        <v>3036618</v>
      </c>
      <c r="CG84" s="24">
        <f t="shared" si="120"/>
        <v>0</v>
      </c>
      <c r="CH84" s="24">
        <f t="shared" si="120"/>
        <v>3036618</v>
      </c>
      <c r="CI84" s="24">
        <f t="shared" si="120"/>
        <v>644912</v>
      </c>
      <c r="CJ84" s="24">
        <f t="shared" si="120"/>
        <v>0</v>
      </c>
      <c r="CK84" s="24">
        <f t="shared" si="120"/>
        <v>0</v>
      </c>
      <c r="CL84" s="24">
        <f t="shared" si="120"/>
        <v>644912</v>
      </c>
      <c r="CM84" s="24">
        <f t="shared" si="120"/>
        <v>0</v>
      </c>
      <c r="CN84" s="24">
        <f t="shared" si="120"/>
        <v>285000</v>
      </c>
      <c r="CO84" s="24">
        <f t="shared" si="120"/>
        <v>0</v>
      </c>
      <c r="CP84" s="24">
        <f t="shared" si="120"/>
        <v>0</v>
      </c>
      <c r="CQ84" s="24">
        <f t="shared" si="120"/>
        <v>285000</v>
      </c>
      <c r="CR84" s="24"/>
      <c r="CS84" s="24"/>
      <c r="CT84" s="24">
        <f t="shared" si="120"/>
        <v>0</v>
      </c>
      <c r="CU84" s="24">
        <f t="shared" si="120"/>
        <v>0</v>
      </c>
      <c r="CV84" s="24">
        <f t="shared" si="120"/>
        <v>0</v>
      </c>
      <c r="CW84" s="24">
        <f t="shared" si="120"/>
        <v>0</v>
      </c>
      <c r="CX84" s="24">
        <f t="shared" si="120"/>
        <v>0</v>
      </c>
      <c r="CY84" s="24">
        <f t="shared" si="120"/>
        <v>0</v>
      </c>
      <c r="CZ84" s="25">
        <f t="shared" si="121"/>
        <v>0</v>
      </c>
    </row>
    <row r="85" spans="1:104" ht="31.2" x14ac:dyDescent="0.3">
      <c r="A85" s="26"/>
      <c r="B85" s="27" t="s">
        <v>1</v>
      </c>
      <c r="C85" s="27" t="s">
        <v>182</v>
      </c>
      <c r="D85" s="38" t="s">
        <v>183</v>
      </c>
      <c r="E85" s="23">
        <f>SUM(F85+CD85+CW85)</f>
        <v>66316436</v>
      </c>
      <c r="F85" s="24">
        <f>SUM(G85+BD85)</f>
        <v>62349906</v>
      </c>
      <c r="G85" s="24">
        <f>SUM(H85+I85+J85+Q85+T85+U85+V85+AF85+AE85)</f>
        <v>61127606</v>
      </c>
      <c r="H85" s="29">
        <f>35749463-2400000</f>
        <v>33349463</v>
      </c>
      <c r="I85" s="29">
        <f>1388519-1020000</f>
        <v>368519</v>
      </c>
      <c r="J85" s="24">
        <f t="shared" ref="J85" si="122">SUM(K85:P85)</f>
        <v>5922372</v>
      </c>
      <c r="K85" s="29">
        <v>122036</v>
      </c>
      <c r="L85" s="29">
        <f>2351015-280000</f>
        <v>2071015</v>
      </c>
      <c r="M85" s="29">
        <v>0</v>
      </c>
      <c r="N85" s="29">
        <v>79783</v>
      </c>
      <c r="O85" s="29">
        <f>3027763-121000</f>
        <v>2906763</v>
      </c>
      <c r="P85" s="29">
        <v>742775</v>
      </c>
      <c r="Q85" s="24">
        <f t="shared" ref="Q85" si="123">SUM(R85:S85)</f>
        <v>46094</v>
      </c>
      <c r="R85" s="29">
        <f>67367-28000</f>
        <v>39367</v>
      </c>
      <c r="S85" s="29">
        <f>108727-102000</f>
        <v>6727</v>
      </c>
      <c r="T85" s="29">
        <v>23352</v>
      </c>
      <c r="U85" s="29">
        <f>675816-265000</f>
        <v>410816</v>
      </c>
      <c r="V85" s="24">
        <f>SUM(W85:AD85)</f>
        <v>1114400</v>
      </c>
      <c r="W85" s="29">
        <v>151757</v>
      </c>
      <c r="X85" s="29">
        <f>3645+19</f>
        <v>3664</v>
      </c>
      <c r="Y85" s="29">
        <v>759097</v>
      </c>
      <c r="Z85" s="29">
        <v>53092</v>
      </c>
      <c r="AA85" s="29">
        <v>71959</v>
      </c>
      <c r="AB85" s="29">
        <v>12000</v>
      </c>
      <c r="AC85" s="29">
        <v>0</v>
      </c>
      <c r="AD85" s="29">
        <f>62806+25</f>
        <v>62831</v>
      </c>
      <c r="AE85" s="24"/>
      <c r="AF85" s="24">
        <f>SUM(AG85:BC85)</f>
        <v>19892590</v>
      </c>
      <c r="AG85" s="24">
        <v>0</v>
      </c>
      <c r="AH85" s="24"/>
      <c r="AI85" s="29">
        <v>135000</v>
      </c>
      <c r="AJ85" s="29">
        <v>314100</v>
      </c>
      <c r="AK85" s="29">
        <v>0</v>
      </c>
      <c r="AL85" s="29">
        <v>1888</v>
      </c>
      <c r="AM85" s="29">
        <v>325157</v>
      </c>
      <c r="AN85" s="29">
        <v>3770</v>
      </c>
      <c r="AO85" s="29">
        <v>54876</v>
      </c>
      <c r="AP85" s="29">
        <f>13386-1200</f>
        <v>12186</v>
      </c>
      <c r="AQ85" s="29">
        <v>0</v>
      </c>
      <c r="AR85" s="29">
        <v>0</v>
      </c>
      <c r="AS85" s="29">
        <v>67500</v>
      </c>
      <c r="AT85" s="29">
        <v>0</v>
      </c>
      <c r="AU85" s="29">
        <v>0</v>
      </c>
      <c r="AV85" s="29">
        <v>0</v>
      </c>
      <c r="AW85" s="29">
        <v>0</v>
      </c>
      <c r="AX85" s="29">
        <v>0</v>
      </c>
      <c r="AY85" s="29">
        <f>19287313-2150000</f>
        <v>17137313</v>
      </c>
      <c r="AZ85" s="29">
        <v>0</v>
      </c>
      <c r="BA85" s="29">
        <f>381600-73000</f>
        <v>308600</v>
      </c>
      <c r="BB85" s="29">
        <v>984000</v>
      </c>
      <c r="BC85" s="29">
        <v>548200</v>
      </c>
      <c r="BD85" s="24">
        <f>SUM(BE85+BI85+BM85+BO85+BR85)</f>
        <v>1222300</v>
      </c>
      <c r="BE85" s="24">
        <f>SUM(BF85:BH85)</f>
        <v>0</v>
      </c>
      <c r="BF85" s="24">
        <v>0</v>
      </c>
      <c r="BG85" s="24">
        <v>0</v>
      </c>
      <c r="BH85" s="24">
        <v>0</v>
      </c>
      <c r="BI85" s="24">
        <f>SUM(BL85:BL85)</f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f t="shared" ref="BO85" si="124">SUM(BP85)</f>
        <v>323300</v>
      </c>
      <c r="BP85" s="29">
        <f>716300-393000</f>
        <v>323300</v>
      </c>
      <c r="BQ85" s="24">
        <v>0</v>
      </c>
      <c r="BR85" s="24">
        <f>SUM(BS85:CC85)</f>
        <v>899000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9">
        <f>999000-100000</f>
        <v>899000</v>
      </c>
      <c r="CC85" s="24">
        <v>0</v>
      </c>
      <c r="CD85" s="24">
        <f>SUM(CE85+CV85)</f>
        <v>3966530</v>
      </c>
      <c r="CE85" s="24">
        <f>SUM(CF85+CI85+CN85)</f>
        <v>3966530</v>
      </c>
      <c r="CF85" s="24">
        <f t="shared" ref="CF85" si="125">SUM(CG85:CH85)</f>
        <v>3036618</v>
      </c>
      <c r="CG85" s="24">
        <v>0</v>
      </c>
      <c r="CH85" s="29">
        <f>4051530-1014912</f>
        <v>3036618</v>
      </c>
      <c r="CI85" s="24">
        <f>SUM(CJ85:CM85)</f>
        <v>644912</v>
      </c>
      <c r="CJ85" s="24">
        <v>0</v>
      </c>
      <c r="CK85" s="24">
        <v>0</v>
      </c>
      <c r="CL85" s="29">
        <f>900000-255088</f>
        <v>644912</v>
      </c>
      <c r="CM85" s="29"/>
      <c r="CN85" s="24">
        <f>SUM(CO85:CS85)</f>
        <v>285000</v>
      </c>
      <c r="CO85" s="30"/>
      <c r="CP85" s="30"/>
      <c r="CQ85" s="29">
        <f>650000-365000</f>
        <v>285000</v>
      </c>
      <c r="CR85" s="24"/>
      <c r="CS85" s="24"/>
      <c r="CT85" s="24"/>
      <c r="CU85" s="24"/>
      <c r="CV85" s="24">
        <v>0</v>
      </c>
      <c r="CW85" s="24">
        <f t="shared" ref="CW85" si="126">SUM(CX85)</f>
        <v>0</v>
      </c>
      <c r="CX85" s="24">
        <f t="shared" ref="CX85" si="127">SUM(CY85:CZ85)</f>
        <v>0</v>
      </c>
      <c r="CY85" s="24">
        <v>0</v>
      </c>
      <c r="CZ85" s="25">
        <v>0</v>
      </c>
    </row>
    <row r="86" spans="1:104" ht="15.6" x14ac:dyDescent="0.3">
      <c r="A86" s="20"/>
      <c r="B86" s="21" t="s">
        <v>184</v>
      </c>
      <c r="C86" s="21" t="s">
        <v>1</v>
      </c>
      <c r="D86" s="22" t="s">
        <v>185</v>
      </c>
      <c r="E86" s="23">
        <f t="shared" ref="E86:AL86" si="128">SUM(E87)</f>
        <v>29623387</v>
      </c>
      <c r="F86" s="24">
        <f t="shared" si="128"/>
        <v>29331936</v>
      </c>
      <c r="G86" s="24">
        <f t="shared" si="128"/>
        <v>29325608</v>
      </c>
      <c r="H86" s="24">
        <f t="shared" si="128"/>
        <v>23352224</v>
      </c>
      <c r="I86" s="24">
        <f t="shared" si="128"/>
        <v>131819</v>
      </c>
      <c r="J86" s="24">
        <f t="shared" si="128"/>
        <v>3759829</v>
      </c>
      <c r="K86" s="24">
        <f t="shared" si="128"/>
        <v>96523</v>
      </c>
      <c r="L86" s="24">
        <f t="shared" si="128"/>
        <v>202526</v>
      </c>
      <c r="M86" s="24">
        <f t="shared" si="128"/>
        <v>34230</v>
      </c>
      <c r="N86" s="24">
        <f t="shared" si="128"/>
        <v>0</v>
      </c>
      <c r="O86" s="24">
        <f t="shared" si="128"/>
        <v>3244894</v>
      </c>
      <c r="P86" s="24">
        <f t="shared" si="128"/>
        <v>181656</v>
      </c>
      <c r="Q86" s="24">
        <f t="shared" si="128"/>
        <v>638710</v>
      </c>
      <c r="R86" s="24">
        <f t="shared" si="128"/>
        <v>4418</v>
      </c>
      <c r="S86" s="24">
        <f t="shared" si="128"/>
        <v>634292</v>
      </c>
      <c r="T86" s="24">
        <f t="shared" si="128"/>
        <v>0</v>
      </c>
      <c r="U86" s="24">
        <f t="shared" si="128"/>
        <v>28608</v>
      </c>
      <c r="V86" s="24">
        <f t="shared" si="128"/>
        <v>216826</v>
      </c>
      <c r="W86" s="24">
        <f t="shared" si="128"/>
        <v>77367</v>
      </c>
      <c r="X86" s="24">
        <f t="shared" si="128"/>
        <v>0</v>
      </c>
      <c r="Y86" s="24">
        <f t="shared" si="128"/>
        <v>102697</v>
      </c>
      <c r="Z86" s="24">
        <f t="shared" si="128"/>
        <v>20822</v>
      </c>
      <c r="AA86" s="24">
        <f t="shared" si="128"/>
        <v>4163</v>
      </c>
      <c r="AB86" s="24">
        <f t="shared" si="128"/>
        <v>0</v>
      </c>
      <c r="AC86" s="24">
        <f t="shared" si="128"/>
        <v>0</v>
      </c>
      <c r="AD86" s="24">
        <f t="shared" si="128"/>
        <v>11777</v>
      </c>
      <c r="AE86" s="24">
        <f t="shared" si="128"/>
        <v>0</v>
      </c>
      <c r="AF86" s="24">
        <f t="shared" si="128"/>
        <v>1197592</v>
      </c>
      <c r="AG86" s="24">
        <f t="shared" si="128"/>
        <v>0</v>
      </c>
      <c r="AH86" s="24">
        <f t="shared" si="128"/>
        <v>0</v>
      </c>
      <c r="AI86" s="24">
        <f t="shared" si="128"/>
        <v>0</v>
      </c>
      <c r="AJ86" s="24">
        <f t="shared" si="128"/>
        <v>0</v>
      </c>
      <c r="AK86" s="24">
        <f t="shared" si="128"/>
        <v>0</v>
      </c>
      <c r="AL86" s="24">
        <f t="shared" si="128"/>
        <v>0</v>
      </c>
      <c r="AM86" s="24">
        <f t="shared" ref="AM86:CZ86" si="129">SUM(AM87)</f>
        <v>0</v>
      </c>
      <c r="AN86" s="24">
        <f t="shared" si="129"/>
        <v>0</v>
      </c>
      <c r="AO86" s="24">
        <f t="shared" si="129"/>
        <v>38561</v>
      </c>
      <c r="AP86" s="24">
        <f t="shared" si="129"/>
        <v>13480</v>
      </c>
      <c r="AQ86" s="24">
        <f t="shared" si="129"/>
        <v>0</v>
      </c>
      <c r="AR86" s="24"/>
      <c r="AS86" s="24">
        <f t="shared" si="129"/>
        <v>140600</v>
      </c>
      <c r="AT86" s="24">
        <f t="shared" si="129"/>
        <v>0</v>
      </c>
      <c r="AU86" s="24">
        <f t="shared" si="129"/>
        <v>19200</v>
      </c>
      <c r="AV86" s="24"/>
      <c r="AW86" s="24"/>
      <c r="AX86" s="24">
        <f t="shared" si="129"/>
        <v>0</v>
      </c>
      <c r="AY86" s="24">
        <f t="shared" si="129"/>
        <v>950751</v>
      </c>
      <c r="AZ86" s="24">
        <f t="shared" si="129"/>
        <v>0</v>
      </c>
      <c r="BA86" s="24">
        <f t="shared" si="129"/>
        <v>0</v>
      </c>
      <c r="BB86" s="24"/>
      <c r="BC86" s="24">
        <f t="shared" si="129"/>
        <v>35000</v>
      </c>
      <c r="BD86" s="24">
        <f t="shared" si="129"/>
        <v>6328</v>
      </c>
      <c r="BE86" s="24">
        <f t="shared" si="129"/>
        <v>0</v>
      </c>
      <c r="BF86" s="24">
        <f t="shared" si="129"/>
        <v>0</v>
      </c>
      <c r="BG86" s="24">
        <f t="shared" si="129"/>
        <v>0</v>
      </c>
      <c r="BH86" s="24">
        <f t="shared" si="129"/>
        <v>0</v>
      </c>
      <c r="BI86" s="24">
        <f t="shared" si="129"/>
        <v>0</v>
      </c>
      <c r="BJ86" s="24">
        <f t="shared" si="129"/>
        <v>0</v>
      </c>
      <c r="BK86" s="24">
        <f t="shared" si="129"/>
        <v>0</v>
      </c>
      <c r="BL86" s="24">
        <f t="shared" si="129"/>
        <v>0</v>
      </c>
      <c r="BM86" s="24">
        <f t="shared" si="129"/>
        <v>0</v>
      </c>
      <c r="BN86" s="24">
        <f t="shared" si="129"/>
        <v>0</v>
      </c>
      <c r="BO86" s="24">
        <f t="shared" si="129"/>
        <v>6328</v>
      </c>
      <c r="BP86" s="24">
        <f t="shared" si="129"/>
        <v>6328</v>
      </c>
      <c r="BQ86" s="24">
        <f t="shared" si="129"/>
        <v>0</v>
      </c>
      <c r="BR86" s="24">
        <f t="shared" si="129"/>
        <v>0</v>
      </c>
      <c r="BS86" s="24">
        <f t="shared" si="129"/>
        <v>0</v>
      </c>
      <c r="BT86" s="24">
        <f t="shared" si="129"/>
        <v>0</v>
      </c>
      <c r="BU86" s="24">
        <f t="shared" si="129"/>
        <v>0</v>
      </c>
      <c r="BV86" s="24">
        <f t="shared" si="129"/>
        <v>0</v>
      </c>
      <c r="BW86" s="24">
        <f t="shared" si="129"/>
        <v>0</v>
      </c>
      <c r="BX86" s="24">
        <f t="shared" si="129"/>
        <v>0</v>
      </c>
      <c r="BY86" s="24">
        <f t="shared" si="129"/>
        <v>0</v>
      </c>
      <c r="BZ86" s="24">
        <f t="shared" si="129"/>
        <v>0</v>
      </c>
      <c r="CA86" s="24">
        <f t="shared" si="129"/>
        <v>0</v>
      </c>
      <c r="CB86" s="24">
        <f t="shared" si="129"/>
        <v>0</v>
      </c>
      <c r="CC86" s="24">
        <f t="shared" si="129"/>
        <v>0</v>
      </c>
      <c r="CD86" s="24">
        <f t="shared" si="129"/>
        <v>291451</v>
      </c>
      <c r="CE86" s="24">
        <f t="shared" si="129"/>
        <v>291451</v>
      </c>
      <c r="CF86" s="24">
        <f t="shared" si="129"/>
        <v>291451</v>
      </c>
      <c r="CG86" s="24">
        <f t="shared" si="129"/>
        <v>0</v>
      </c>
      <c r="CH86" s="24">
        <f t="shared" si="129"/>
        <v>291451</v>
      </c>
      <c r="CI86" s="24">
        <f t="shared" si="129"/>
        <v>0</v>
      </c>
      <c r="CJ86" s="24">
        <f t="shared" si="129"/>
        <v>0</v>
      </c>
      <c r="CK86" s="24">
        <f t="shared" si="129"/>
        <v>0</v>
      </c>
      <c r="CL86" s="24">
        <f t="shared" si="129"/>
        <v>0</v>
      </c>
      <c r="CM86" s="24">
        <f t="shared" si="129"/>
        <v>0</v>
      </c>
      <c r="CN86" s="24">
        <f t="shared" si="129"/>
        <v>0</v>
      </c>
      <c r="CO86" s="24">
        <f t="shared" si="129"/>
        <v>0</v>
      </c>
      <c r="CP86" s="24">
        <f t="shared" si="129"/>
        <v>0</v>
      </c>
      <c r="CQ86" s="24">
        <f t="shared" si="129"/>
        <v>0</v>
      </c>
      <c r="CR86" s="24"/>
      <c r="CS86" s="24"/>
      <c r="CT86" s="24">
        <f t="shared" si="129"/>
        <v>0</v>
      </c>
      <c r="CU86" s="24">
        <f t="shared" si="129"/>
        <v>0</v>
      </c>
      <c r="CV86" s="24">
        <f t="shared" si="129"/>
        <v>0</v>
      </c>
      <c r="CW86" s="24">
        <f t="shared" si="129"/>
        <v>0</v>
      </c>
      <c r="CX86" s="24">
        <f t="shared" si="129"/>
        <v>0</v>
      </c>
      <c r="CY86" s="24">
        <f t="shared" si="129"/>
        <v>0</v>
      </c>
      <c r="CZ86" s="25">
        <f t="shared" si="129"/>
        <v>0</v>
      </c>
    </row>
    <row r="87" spans="1:104" ht="15.6" x14ac:dyDescent="0.3">
      <c r="A87" s="26" t="s">
        <v>1</v>
      </c>
      <c r="B87" s="27" t="s">
        <v>1</v>
      </c>
      <c r="C87" s="27" t="s">
        <v>186</v>
      </c>
      <c r="D87" s="28" t="s">
        <v>187</v>
      </c>
      <c r="E87" s="23">
        <f>SUM(F87+CD87+CW87)</f>
        <v>29623387</v>
      </c>
      <c r="F87" s="24">
        <f>SUM(G87+BD87)</f>
        <v>29331936</v>
      </c>
      <c r="G87" s="24">
        <f>SUM(H87+I87+J87+Q87+T87+U87+V87+AF87+AE87)</f>
        <v>29325608</v>
      </c>
      <c r="H87" s="29">
        <f>23687224-120000-215000</f>
        <v>23352224</v>
      </c>
      <c r="I87" s="29">
        <f>18505+160714-47400</f>
        <v>131819</v>
      </c>
      <c r="J87" s="24">
        <f t="shared" si="111"/>
        <v>3759829</v>
      </c>
      <c r="K87" s="29">
        <v>96523</v>
      </c>
      <c r="L87" s="29">
        <v>202526</v>
      </c>
      <c r="M87" s="29">
        <v>34230</v>
      </c>
      <c r="N87" s="29">
        <v>0</v>
      </c>
      <c r="O87" s="29">
        <f>2685344+559550</f>
        <v>3244894</v>
      </c>
      <c r="P87" s="29">
        <v>181656</v>
      </c>
      <c r="Q87" s="24">
        <f t="shared" si="112"/>
        <v>638710</v>
      </c>
      <c r="R87" s="29">
        <v>4418</v>
      </c>
      <c r="S87" s="29">
        <f>648292-14000</f>
        <v>634292</v>
      </c>
      <c r="T87" s="29">
        <v>0</v>
      </c>
      <c r="U87" s="29">
        <f>108326-79718</f>
        <v>28608</v>
      </c>
      <c r="V87" s="24">
        <f>SUM(W87:AD87)</f>
        <v>216826</v>
      </c>
      <c r="W87" s="29">
        <v>77367</v>
      </c>
      <c r="X87" s="29">
        <v>0</v>
      </c>
      <c r="Y87" s="29">
        <f>92979+9718</f>
        <v>102697</v>
      </c>
      <c r="Z87" s="29">
        <v>20822</v>
      </c>
      <c r="AA87" s="29">
        <v>4163</v>
      </c>
      <c r="AB87" s="29">
        <v>0</v>
      </c>
      <c r="AC87" s="29">
        <v>0</v>
      </c>
      <c r="AD87" s="29">
        <f>11772+5</f>
        <v>11777</v>
      </c>
      <c r="AE87" s="24"/>
      <c r="AF87" s="24">
        <f>SUM(AG87:BC87)</f>
        <v>1197592</v>
      </c>
      <c r="AG87" s="24">
        <v>0</v>
      </c>
      <c r="AH87" s="24">
        <v>0</v>
      </c>
      <c r="AI87" s="24">
        <v>0</v>
      </c>
      <c r="AJ87" s="24"/>
      <c r="AK87" s="29">
        <v>0</v>
      </c>
      <c r="AL87" s="29">
        <v>0</v>
      </c>
      <c r="AM87" s="29">
        <v>0</v>
      </c>
      <c r="AN87" s="29">
        <v>0</v>
      </c>
      <c r="AO87" s="29">
        <v>38561</v>
      </c>
      <c r="AP87" s="29">
        <f>52380-38900</f>
        <v>13480</v>
      </c>
      <c r="AQ87" s="29">
        <v>0</v>
      </c>
      <c r="AR87" s="29">
        <v>0</v>
      </c>
      <c r="AS87" s="29">
        <v>140600</v>
      </c>
      <c r="AT87" s="29">
        <v>0</v>
      </c>
      <c r="AU87" s="29">
        <v>19200</v>
      </c>
      <c r="AV87" s="29">
        <v>0</v>
      </c>
      <c r="AW87" s="29">
        <v>0</v>
      </c>
      <c r="AX87" s="29">
        <v>0</v>
      </c>
      <c r="AY87" s="29">
        <f>954751-4000</f>
        <v>950751</v>
      </c>
      <c r="AZ87" s="29">
        <v>0</v>
      </c>
      <c r="BA87" s="29">
        <v>0</v>
      </c>
      <c r="BB87" s="29">
        <v>0</v>
      </c>
      <c r="BC87" s="29">
        <v>35000</v>
      </c>
      <c r="BD87" s="24">
        <f>SUM(BE87+BI87+BM87+BO87+BR87)</f>
        <v>6328</v>
      </c>
      <c r="BE87" s="24">
        <f>SUM(BF87:BH87)</f>
        <v>0</v>
      </c>
      <c r="BF87" s="24">
        <v>0</v>
      </c>
      <c r="BG87" s="24">
        <v>0</v>
      </c>
      <c r="BH87" s="24">
        <v>0</v>
      </c>
      <c r="BI87" s="24">
        <f>SUM(BL87:BL87)</f>
        <v>0</v>
      </c>
      <c r="BJ87" s="24">
        <v>0</v>
      </c>
      <c r="BK87" s="24">
        <v>0</v>
      </c>
      <c r="BL87" s="24">
        <v>0</v>
      </c>
      <c r="BM87" s="24">
        <v>0</v>
      </c>
      <c r="BN87" s="24">
        <v>0</v>
      </c>
      <c r="BO87" s="24">
        <f t="shared" si="113"/>
        <v>6328</v>
      </c>
      <c r="BP87" s="24">
        <v>6328</v>
      </c>
      <c r="BQ87" s="24"/>
      <c r="BR87" s="24">
        <f>SUM(BS87:CC87)</f>
        <v>0</v>
      </c>
      <c r="BS87" s="24">
        <v>0</v>
      </c>
      <c r="BT87" s="24">
        <v>0</v>
      </c>
      <c r="BU87" s="24">
        <v>0</v>
      </c>
      <c r="BV87" s="24">
        <v>0</v>
      </c>
      <c r="BW87" s="24">
        <v>0</v>
      </c>
      <c r="BX87" s="24">
        <v>0</v>
      </c>
      <c r="BY87" s="24">
        <v>0</v>
      </c>
      <c r="BZ87" s="24">
        <v>0</v>
      </c>
      <c r="CA87" s="24">
        <v>0</v>
      </c>
      <c r="CB87" s="24">
        <v>0</v>
      </c>
      <c r="CC87" s="24"/>
      <c r="CD87" s="24">
        <f>SUM(CE87+CV87)</f>
        <v>291451</v>
      </c>
      <c r="CE87" s="24">
        <f>SUM(CF87+CI87+CN87)</f>
        <v>291451</v>
      </c>
      <c r="CF87" s="24">
        <f t="shared" si="114"/>
        <v>291451</v>
      </c>
      <c r="CG87" s="24">
        <v>0</v>
      </c>
      <c r="CH87" s="29">
        <v>291451</v>
      </c>
      <c r="CI87" s="24">
        <f>SUM(CJ87:CM87)</f>
        <v>0</v>
      </c>
      <c r="CJ87" s="24">
        <v>0</v>
      </c>
      <c r="CK87" s="24">
        <v>0</v>
      </c>
      <c r="CL87" s="24">
        <v>0</v>
      </c>
      <c r="CM87" s="24">
        <v>0</v>
      </c>
      <c r="CN87" s="24">
        <f>SUM(CO87:CS87)</f>
        <v>0</v>
      </c>
      <c r="CO87" s="24"/>
      <c r="CP87" s="24"/>
      <c r="CQ87" s="24"/>
      <c r="CR87" s="24"/>
      <c r="CS87" s="24"/>
      <c r="CT87" s="24">
        <v>0</v>
      </c>
      <c r="CU87" s="24">
        <v>0</v>
      </c>
      <c r="CV87" s="24">
        <v>0</v>
      </c>
      <c r="CW87" s="24">
        <f t="shared" si="115"/>
        <v>0</v>
      </c>
      <c r="CX87" s="24">
        <f t="shared" si="116"/>
        <v>0</v>
      </c>
      <c r="CY87" s="24">
        <v>0</v>
      </c>
      <c r="CZ87" s="25">
        <v>0</v>
      </c>
    </row>
    <row r="88" spans="1:104" ht="46.8" x14ac:dyDescent="0.3">
      <c r="A88" s="31" t="s">
        <v>188</v>
      </c>
      <c r="B88" s="32" t="s">
        <v>1</v>
      </c>
      <c r="C88" s="32" t="s">
        <v>1</v>
      </c>
      <c r="D88" s="33" t="s">
        <v>189</v>
      </c>
      <c r="E88" s="34">
        <f>SUM(E89+E92)</f>
        <v>18640507</v>
      </c>
      <c r="F88" s="35">
        <f t="shared" ref="F88:BX88" si="130">SUM(F89+F92)</f>
        <v>18636876</v>
      </c>
      <c r="G88" s="35">
        <f t="shared" si="130"/>
        <v>18629657</v>
      </c>
      <c r="H88" s="35">
        <f t="shared" si="130"/>
        <v>7948283</v>
      </c>
      <c r="I88" s="35">
        <f t="shared" si="130"/>
        <v>1959699</v>
      </c>
      <c r="J88" s="35">
        <f t="shared" si="130"/>
        <v>17725</v>
      </c>
      <c r="K88" s="35">
        <f t="shared" si="130"/>
        <v>0</v>
      </c>
      <c r="L88" s="35">
        <f t="shared" si="130"/>
        <v>0</v>
      </c>
      <c r="M88" s="35">
        <f t="shared" si="130"/>
        <v>0</v>
      </c>
      <c r="N88" s="35">
        <f t="shared" si="130"/>
        <v>0</v>
      </c>
      <c r="O88" s="35">
        <f t="shared" si="130"/>
        <v>13110</v>
      </c>
      <c r="P88" s="35">
        <f t="shared" si="130"/>
        <v>4615</v>
      </c>
      <c r="Q88" s="35">
        <f t="shared" si="130"/>
        <v>0</v>
      </c>
      <c r="R88" s="35">
        <f t="shared" si="130"/>
        <v>0</v>
      </c>
      <c r="S88" s="35">
        <f t="shared" si="130"/>
        <v>0</v>
      </c>
      <c r="T88" s="35">
        <f t="shared" si="130"/>
        <v>0</v>
      </c>
      <c r="U88" s="35">
        <f t="shared" si="130"/>
        <v>56052</v>
      </c>
      <c r="V88" s="35">
        <f t="shared" si="130"/>
        <v>605227</v>
      </c>
      <c r="W88" s="35">
        <f t="shared" si="130"/>
        <v>0</v>
      </c>
      <c r="X88" s="35">
        <f t="shared" si="130"/>
        <v>395451</v>
      </c>
      <c r="Y88" s="35">
        <f t="shared" si="130"/>
        <v>122534</v>
      </c>
      <c r="Z88" s="35">
        <f t="shared" si="130"/>
        <v>85418</v>
      </c>
      <c r="AA88" s="35">
        <f t="shared" si="130"/>
        <v>1824</v>
      </c>
      <c r="AB88" s="35">
        <f t="shared" si="130"/>
        <v>0</v>
      </c>
      <c r="AC88" s="35">
        <f t="shared" si="130"/>
        <v>0</v>
      </c>
      <c r="AD88" s="35">
        <f t="shared" si="130"/>
        <v>0</v>
      </c>
      <c r="AE88" s="35">
        <f t="shared" si="130"/>
        <v>0</v>
      </c>
      <c r="AF88" s="35">
        <f t="shared" si="130"/>
        <v>8042671</v>
      </c>
      <c r="AG88" s="35">
        <f t="shared" si="130"/>
        <v>0</v>
      </c>
      <c r="AH88" s="35">
        <f t="shared" si="130"/>
        <v>7338080</v>
      </c>
      <c r="AI88" s="35">
        <f t="shared" si="130"/>
        <v>0</v>
      </c>
      <c r="AJ88" s="35">
        <f t="shared" si="130"/>
        <v>0</v>
      </c>
      <c r="AK88" s="35">
        <f t="shared" si="130"/>
        <v>0</v>
      </c>
      <c r="AL88" s="35">
        <f t="shared" si="130"/>
        <v>1176</v>
      </c>
      <c r="AM88" s="35">
        <f t="shared" si="130"/>
        <v>0</v>
      </c>
      <c r="AN88" s="35">
        <f t="shared" si="130"/>
        <v>0</v>
      </c>
      <c r="AO88" s="35">
        <f t="shared" si="130"/>
        <v>0</v>
      </c>
      <c r="AP88" s="35">
        <f t="shared" si="130"/>
        <v>0</v>
      </c>
      <c r="AQ88" s="35">
        <f t="shared" si="130"/>
        <v>0</v>
      </c>
      <c r="AR88" s="35"/>
      <c r="AS88" s="35">
        <f t="shared" si="130"/>
        <v>0</v>
      </c>
      <c r="AT88" s="35">
        <f t="shared" si="130"/>
        <v>0</v>
      </c>
      <c r="AU88" s="35">
        <f t="shared" si="130"/>
        <v>0</v>
      </c>
      <c r="AV88" s="35"/>
      <c r="AW88" s="35"/>
      <c r="AX88" s="35">
        <f t="shared" si="130"/>
        <v>0</v>
      </c>
      <c r="AY88" s="35">
        <f t="shared" si="130"/>
        <v>0</v>
      </c>
      <c r="AZ88" s="35">
        <f t="shared" si="130"/>
        <v>0</v>
      </c>
      <c r="BA88" s="35">
        <f t="shared" si="130"/>
        <v>434241</v>
      </c>
      <c r="BB88" s="35"/>
      <c r="BC88" s="35">
        <f t="shared" si="130"/>
        <v>269174</v>
      </c>
      <c r="BD88" s="35">
        <f t="shared" si="130"/>
        <v>7219</v>
      </c>
      <c r="BE88" s="35">
        <f t="shared" si="130"/>
        <v>0</v>
      </c>
      <c r="BF88" s="35">
        <f t="shared" si="130"/>
        <v>0</v>
      </c>
      <c r="BG88" s="35">
        <f t="shared" si="130"/>
        <v>0</v>
      </c>
      <c r="BH88" s="35">
        <f t="shared" si="130"/>
        <v>0</v>
      </c>
      <c r="BI88" s="35">
        <f t="shared" si="130"/>
        <v>0</v>
      </c>
      <c r="BJ88" s="35">
        <f t="shared" si="130"/>
        <v>0</v>
      </c>
      <c r="BK88" s="35">
        <f t="shared" ref="BK88" si="131">SUM(BK89+BK92)</f>
        <v>0</v>
      </c>
      <c r="BL88" s="35">
        <f t="shared" si="130"/>
        <v>0</v>
      </c>
      <c r="BM88" s="35">
        <f t="shared" si="130"/>
        <v>0</v>
      </c>
      <c r="BN88" s="35">
        <f t="shared" si="130"/>
        <v>0</v>
      </c>
      <c r="BO88" s="35">
        <f t="shared" si="130"/>
        <v>0</v>
      </c>
      <c r="BP88" s="35">
        <f t="shared" si="130"/>
        <v>0</v>
      </c>
      <c r="BQ88" s="35">
        <f t="shared" ref="BQ88" si="132">SUM(BQ89+BQ92)</f>
        <v>0</v>
      </c>
      <c r="BR88" s="35">
        <f t="shared" si="130"/>
        <v>7219</v>
      </c>
      <c r="BS88" s="35">
        <f t="shared" si="130"/>
        <v>0</v>
      </c>
      <c r="BT88" s="35">
        <f t="shared" si="130"/>
        <v>0</v>
      </c>
      <c r="BU88" s="35">
        <f t="shared" si="130"/>
        <v>7219</v>
      </c>
      <c r="BV88" s="35">
        <f t="shared" si="130"/>
        <v>0</v>
      </c>
      <c r="BW88" s="35">
        <f t="shared" si="130"/>
        <v>0</v>
      </c>
      <c r="BX88" s="35">
        <f t="shared" si="130"/>
        <v>0</v>
      </c>
      <c r="BY88" s="35">
        <f t="shared" ref="BY88:CZ88" si="133">SUM(BY89+BY92)</f>
        <v>0</v>
      </c>
      <c r="BZ88" s="35">
        <f t="shared" si="133"/>
        <v>0</v>
      </c>
      <c r="CA88" s="35">
        <f t="shared" si="133"/>
        <v>0</v>
      </c>
      <c r="CB88" s="35">
        <f t="shared" si="133"/>
        <v>0</v>
      </c>
      <c r="CC88" s="35">
        <f t="shared" si="133"/>
        <v>0</v>
      </c>
      <c r="CD88" s="35">
        <f t="shared" si="133"/>
        <v>3631</v>
      </c>
      <c r="CE88" s="35">
        <f t="shared" si="133"/>
        <v>3631</v>
      </c>
      <c r="CF88" s="35">
        <f t="shared" si="133"/>
        <v>3631</v>
      </c>
      <c r="CG88" s="35">
        <f t="shared" si="133"/>
        <v>0</v>
      </c>
      <c r="CH88" s="35">
        <f t="shared" si="133"/>
        <v>3631</v>
      </c>
      <c r="CI88" s="35">
        <f t="shared" si="133"/>
        <v>0</v>
      </c>
      <c r="CJ88" s="35">
        <f t="shared" si="133"/>
        <v>0</v>
      </c>
      <c r="CK88" s="35">
        <f t="shared" ref="CK88:CL88" si="134">SUM(CK89+CK92)</f>
        <v>0</v>
      </c>
      <c r="CL88" s="35">
        <f t="shared" si="134"/>
        <v>0</v>
      </c>
      <c r="CM88" s="35">
        <f t="shared" si="133"/>
        <v>0</v>
      </c>
      <c r="CN88" s="35">
        <f t="shared" si="133"/>
        <v>0</v>
      </c>
      <c r="CO88" s="35">
        <f t="shared" si="133"/>
        <v>0</v>
      </c>
      <c r="CP88" s="35">
        <f t="shared" ref="CP88" si="135">SUM(CP89+CP92)</f>
        <v>0</v>
      </c>
      <c r="CQ88" s="35">
        <f t="shared" si="133"/>
        <v>0</v>
      </c>
      <c r="CR88" s="35"/>
      <c r="CS88" s="35"/>
      <c r="CT88" s="35">
        <f t="shared" si="133"/>
        <v>0</v>
      </c>
      <c r="CU88" s="35">
        <f t="shared" si="133"/>
        <v>0</v>
      </c>
      <c r="CV88" s="35">
        <f t="shared" si="133"/>
        <v>0</v>
      </c>
      <c r="CW88" s="35">
        <f t="shared" si="133"/>
        <v>0</v>
      </c>
      <c r="CX88" s="35">
        <f t="shared" si="133"/>
        <v>0</v>
      </c>
      <c r="CY88" s="35">
        <f t="shared" si="133"/>
        <v>0</v>
      </c>
      <c r="CZ88" s="36">
        <f t="shared" si="133"/>
        <v>0</v>
      </c>
    </row>
    <row r="89" spans="1:104" ht="15.6" x14ac:dyDescent="0.3">
      <c r="A89" s="20"/>
      <c r="B89" s="21" t="s">
        <v>190</v>
      </c>
      <c r="C89" s="21" t="s">
        <v>1</v>
      </c>
      <c r="D89" s="22" t="s">
        <v>191</v>
      </c>
      <c r="E89" s="23">
        <f t="shared" ref="E89:AL89" si="136">SUM(E90:E91)</f>
        <v>10932969</v>
      </c>
      <c r="F89" s="24">
        <f t="shared" si="136"/>
        <v>10929338</v>
      </c>
      <c r="G89" s="24">
        <f t="shared" si="136"/>
        <v>10922119</v>
      </c>
      <c r="H89" s="24">
        <f t="shared" si="136"/>
        <v>7651862</v>
      </c>
      <c r="I89" s="24">
        <f t="shared" si="136"/>
        <v>1891078</v>
      </c>
      <c r="J89" s="24">
        <f t="shared" si="136"/>
        <v>13309</v>
      </c>
      <c r="K89" s="24">
        <f t="shared" si="136"/>
        <v>0</v>
      </c>
      <c r="L89" s="24">
        <f t="shared" si="136"/>
        <v>0</v>
      </c>
      <c r="M89" s="24">
        <f t="shared" si="136"/>
        <v>0</v>
      </c>
      <c r="N89" s="24">
        <f t="shared" si="136"/>
        <v>0</v>
      </c>
      <c r="O89" s="24">
        <f t="shared" si="136"/>
        <v>13110</v>
      </c>
      <c r="P89" s="24">
        <f t="shared" si="136"/>
        <v>199</v>
      </c>
      <c r="Q89" s="24">
        <f t="shared" si="136"/>
        <v>0</v>
      </c>
      <c r="R89" s="24">
        <f t="shared" si="136"/>
        <v>0</v>
      </c>
      <c r="S89" s="24">
        <f t="shared" si="136"/>
        <v>0</v>
      </c>
      <c r="T89" s="24">
        <f t="shared" si="136"/>
        <v>0</v>
      </c>
      <c r="U89" s="24">
        <f t="shared" si="136"/>
        <v>56052</v>
      </c>
      <c r="V89" s="24">
        <f t="shared" si="136"/>
        <v>605227</v>
      </c>
      <c r="W89" s="24">
        <f t="shared" si="136"/>
        <v>0</v>
      </c>
      <c r="X89" s="24">
        <f t="shared" si="136"/>
        <v>395451</v>
      </c>
      <c r="Y89" s="24">
        <f t="shared" si="136"/>
        <v>122534</v>
      </c>
      <c r="Z89" s="24">
        <f t="shared" si="136"/>
        <v>85418</v>
      </c>
      <c r="AA89" s="24">
        <f t="shared" si="136"/>
        <v>1824</v>
      </c>
      <c r="AB89" s="24">
        <f t="shared" si="136"/>
        <v>0</v>
      </c>
      <c r="AC89" s="24">
        <f t="shared" si="136"/>
        <v>0</v>
      </c>
      <c r="AD89" s="24">
        <f t="shared" ref="AD89:AE89" si="137">SUM(AD90:AD91)</f>
        <v>0</v>
      </c>
      <c r="AE89" s="24">
        <f t="shared" si="137"/>
        <v>0</v>
      </c>
      <c r="AF89" s="24">
        <f t="shared" si="136"/>
        <v>704591</v>
      </c>
      <c r="AG89" s="24">
        <f t="shared" si="136"/>
        <v>0</v>
      </c>
      <c r="AH89" s="24">
        <f t="shared" ref="AH89" si="138">SUM(AH90:AH91)</f>
        <v>0</v>
      </c>
      <c r="AI89" s="24">
        <f t="shared" si="136"/>
        <v>0</v>
      </c>
      <c r="AJ89" s="24">
        <f t="shared" si="136"/>
        <v>0</v>
      </c>
      <c r="AK89" s="24">
        <f t="shared" si="136"/>
        <v>0</v>
      </c>
      <c r="AL89" s="24">
        <f t="shared" si="136"/>
        <v>1176</v>
      </c>
      <c r="AM89" s="24">
        <f t="shared" ref="AM89:CZ89" si="139">SUM(AM90:AM91)</f>
        <v>0</v>
      </c>
      <c r="AN89" s="24">
        <f t="shared" si="139"/>
        <v>0</v>
      </c>
      <c r="AO89" s="24">
        <f t="shared" si="139"/>
        <v>0</v>
      </c>
      <c r="AP89" s="24">
        <f t="shared" si="139"/>
        <v>0</v>
      </c>
      <c r="AQ89" s="24">
        <f t="shared" si="139"/>
        <v>0</v>
      </c>
      <c r="AR89" s="24"/>
      <c r="AS89" s="24">
        <f t="shared" si="139"/>
        <v>0</v>
      </c>
      <c r="AT89" s="24">
        <f t="shared" si="139"/>
        <v>0</v>
      </c>
      <c r="AU89" s="24">
        <f t="shared" si="139"/>
        <v>0</v>
      </c>
      <c r="AV89" s="24"/>
      <c r="AW89" s="24"/>
      <c r="AX89" s="24">
        <f t="shared" si="139"/>
        <v>0</v>
      </c>
      <c r="AY89" s="24">
        <f t="shared" si="139"/>
        <v>0</v>
      </c>
      <c r="AZ89" s="24">
        <f t="shared" si="139"/>
        <v>0</v>
      </c>
      <c r="BA89" s="24">
        <f t="shared" si="139"/>
        <v>434241</v>
      </c>
      <c r="BB89" s="24"/>
      <c r="BC89" s="24">
        <f t="shared" si="139"/>
        <v>269174</v>
      </c>
      <c r="BD89" s="24">
        <f t="shared" si="139"/>
        <v>7219</v>
      </c>
      <c r="BE89" s="24">
        <f t="shared" si="139"/>
        <v>0</v>
      </c>
      <c r="BF89" s="24">
        <f t="shared" si="139"/>
        <v>0</v>
      </c>
      <c r="BG89" s="24">
        <f t="shared" si="139"/>
        <v>0</v>
      </c>
      <c r="BH89" s="24">
        <f t="shared" si="139"/>
        <v>0</v>
      </c>
      <c r="BI89" s="24">
        <f t="shared" si="139"/>
        <v>0</v>
      </c>
      <c r="BJ89" s="24">
        <f t="shared" si="139"/>
        <v>0</v>
      </c>
      <c r="BK89" s="24">
        <f t="shared" ref="BK89" si="140">SUM(BK90:BK91)</f>
        <v>0</v>
      </c>
      <c r="BL89" s="24">
        <f t="shared" si="139"/>
        <v>0</v>
      </c>
      <c r="BM89" s="24">
        <f t="shared" si="139"/>
        <v>0</v>
      </c>
      <c r="BN89" s="24">
        <f t="shared" si="139"/>
        <v>0</v>
      </c>
      <c r="BO89" s="24">
        <f t="shared" si="139"/>
        <v>0</v>
      </c>
      <c r="BP89" s="24">
        <f t="shared" si="139"/>
        <v>0</v>
      </c>
      <c r="BQ89" s="24">
        <f t="shared" ref="BQ89" si="141">SUM(BQ90:BQ91)</f>
        <v>0</v>
      </c>
      <c r="BR89" s="24">
        <f t="shared" si="139"/>
        <v>7219</v>
      </c>
      <c r="BS89" s="24">
        <f t="shared" si="139"/>
        <v>0</v>
      </c>
      <c r="BT89" s="24">
        <f t="shared" si="139"/>
        <v>0</v>
      </c>
      <c r="BU89" s="24">
        <f t="shared" si="139"/>
        <v>7219</v>
      </c>
      <c r="BV89" s="24">
        <f t="shared" si="139"/>
        <v>0</v>
      </c>
      <c r="BW89" s="24">
        <f t="shared" si="139"/>
        <v>0</v>
      </c>
      <c r="BX89" s="24">
        <f t="shared" si="139"/>
        <v>0</v>
      </c>
      <c r="BY89" s="24">
        <f t="shared" si="139"/>
        <v>0</v>
      </c>
      <c r="BZ89" s="24">
        <f t="shared" si="139"/>
        <v>0</v>
      </c>
      <c r="CA89" s="24">
        <f t="shared" si="139"/>
        <v>0</v>
      </c>
      <c r="CB89" s="24">
        <f t="shared" si="139"/>
        <v>0</v>
      </c>
      <c r="CC89" s="24">
        <f t="shared" si="139"/>
        <v>0</v>
      </c>
      <c r="CD89" s="24">
        <f t="shared" si="139"/>
        <v>3631</v>
      </c>
      <c r="CE89" s="24">
        <f t="shared" si="139"/>
        <v>3631</v>
      </c>
      <c r="CF89" s="24">
        <f t="shared" si="139"/>
        <v>3631</v>
      </c>
      <c r="CG89" s="24">
        <f t="shared" si="139"/>
        <v>0</v>
      </c>
      <c r="CH89" s="24">
        <f t="shared" si="139"/>
        <v>3631</v>
      </c>
      <c r="CI89" s="24">
        <f t="shared" si="139"/>
        <v>0</v>
      </c>
      <c r="CJ89" s="24">
        <f t="shared" si="139"/>
        <v>0</v>
      </c>
      <c r="CK89" s="24">
        <f t="shared" ref="CK89:CL89" si="142">SUM(CK90:CK91)</f>
        <v>0</v>
      </c>
      <c r="CL89" s="24">
        <f t="shared" si="142"/>
        <v>0</v>
      </c>
      <c r="CM89" s="24">
        <f t="shared" si="139"/>
        <v>0</v>
      </c>
      <c r="CN89" s="24">
        <f t="shared" si="139"/>
        <v>0</v>
      </c>
      <c r="CO89" s="24">
        <f t="shared" si="139"/>
        <v>0</v>
      </c>
      <c r="CP89" s="24">
        <f t="shared" ref="CP89" si="143">SUM(CP90:CP91)</f>
        <v>0</v>
      </c>
      <c r="CQ89" s="24">
        <f t="shared" si="139"/>
        <v>0</v>
      </c>
      <c r="CR89" s="24"/>
      <c r="CS89" s="24"/>
      <c r="CT89" s="24">
        <f t="shared" si="139"/>
        <v>0</v>
      </c>
      <c r="CU89" s="24">
        <f t="shared" si="139"/>
        <v>0</v>
      </c>
      <c r="CV89" s="24">
        <f t="shared" si="139"/>
        <v>0</v>
      </c>
      <c r="CW89" s="24">
        <f t="shared" si="139"/>
        <v>0</v>
      </c>
      <c r="CX89" s="24">
        <f t="shared" si="139"/>
        <v>0</v>
      </c>
      <c r="CY89" s="24">
        <f t="shared" si="139"/>
        <v>0</v>
      </c>
      <c r="CZ89" s="25">
        <f t="shared" si="139"/>
        <v>0</v>
      </c>
    </row>
    <row r="90" spans="1:104" ht="31.2" x14ac:dyDescent="0.3">
      <c r="A90" s="26"/>
      <c r="B90" s="27" t="s">
        <v>1</v>
      </c>
      <c r="C90" s="27" t="s">
        <v>94</v>
      </c>
      <c r="D90" s="28" t="s">
        <v>192</v>
      </c>
      <c r="E90" s="23">
        <f>SUM(F90+CD90+CW90)</f>
        <v>9378906</v>
      </c>
      <c r="F90" s="24">
        <f>SUM(G90+BD90)</f>
        <v>9378906</v>
      </c>
      <c r="G90" s="24">
        <f>SUM(H90+I90+J90+Q90+T90+U90+V90+AF90+AE90)</f>
        <v>9371687</v>
      </c>
      <c r="H90" s="29">
        <v>6450242</v>
      </c>
      <c r="I90" s="29">
        <v>1617424</v>
      </c>
      <c r="J90" s="24">
        <f t="shared" si="111"/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4">
        <f t="shared" si="112"/>
        <v>0</v>
      </c>
      <c r="R90" s="24">
        <v>0</v>
      </c>
      <c r="S90" s="24">
        <v>0</v>
      </c>
      <c r="T90" s="24">
        <v>0</v>
      </c>
      <c r="U90" s="29">
        <v>38273</v>
      </c>
      <c r="V90" s="24">
        <f t="shared" ref="V90:V91" si="144">SUM(W90:AD90)</f>
        <v>597469</v>
      </c>
      <c r="W90" s="30"/>
      <c r="X90" s="29">
        <f>393417+2034</f>
        <v>395451</v>
      </c>
      <c r="Y90" s="29">
        <f>135797-12026-8995</f>
        <v>114776</v>
      </c>
      <c r="Z90" s="29">
        <v>85418</v>
      </c>
      <c r="AA90" s="29">
        <v>1824</v>
      </c>
      <c r="AB90" s="30"/>
      <c r="AC90" s="30"/>
      <c r="AD90" s="30"/>
      <c r="AE90" s="24">
        <v>0</v>
      </c>
      <c r="AF90" s="24">
        <f>SUM(AG90:BC90)</f>
        <v>668279</v>
      </c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24"/>
      <c r="AS90" s="30"/>
      <c r="AT90" s="30"/>
      <c r="AU90" s="24">
        <v>0</v>
      </c>
      <c r="AV90" s="24"/>
      <c r="AW90" s="24"/>
      <c r="AX90" s="24">
        <v>0</v>
      </c>
      <c r="AY90" s="24">
        <v>0</v>
      </c>
      <c r="AZ90" s="24">
        <v>0</v>
      </c>
      <c r="BA90" s="29">
        <v>399105</v>
      </c>
      <c r="BB90" s="29">
        <v>0</v>
      </c>
      <c r="BC90" s="29">
        <v>269174</v>
      </c>
      <c r="BD90" s="24">
        <f>SUM(BE90+BI90+BM90+BO90+BR90)</f>
        <v>7219</v>
      </c>
      <c r="BE90" s="24">
        <f>SUM(BF90:BH90)</f>
        <v>0</v>
      </c>
      <c r="BF90" s="24">
        <v>0</v>
      </c>
      <c r="BG90" s="24">
        <v>0</v>
      </c>
      <c r="BH90" s="24">
        <v>0</v>
      </c>
      <c r="BI90" s="24">
        <f>SUM(BL90:BL90)</f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0</v>
      </c>
      <c r="BO90" s="24">
        <f t="shared" si="113"/>
        <v>0</v>
      </c>
      <c r="BP90" s="24">
        <v>0</v>
      </c>
      <c r="BQ90" s="24">
        <v>0</v>
      </c>
      <c r="BR90" s="24">
        <f>SUM(BS90:CC90)</f>
        <v>7219</v>
      </c>
      <c r="BS90" s="24">
        <v>0</v>
      </c>
      <c r="BT90" s="24">
        <v>0</v>
      </c>
      <c r="BU90" s="29">
        <f>16839-9620</f>
        <v>7219</v>
      </c>
      <c r="BV90" s="24">
        <v>0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0</v>
      </c>
      <c r="CD90" s="24">
        <f>SUM(CE90+CV90)</f>
        <v>0</v>
      </c>
      <c r="CE90" s="24">
        <f>SUM(CF90+CI90+CN90)</f>
        <v>0</v>
      </c>
      <c r="CF90" s="24">
        <f t="shared" si="114"/>
        <v>0</v>
      </c>
      <c r="CG90" s="24">
        <v>0</v>
      </c>
      <c r="CH90" s="24">
        <v>0</v>
      </c>
      <c r="CI90" s="24">
        <f>SUM(CJ90:CM90)</f>
        <v>0</v>
      </c>
      <c r="CJ90" s="24">
        <v>0</v>
      </c>
      <c r="CK90" s="24">
        <v>0</v>
      </c>
      <c r="CL90" s="24">
        <v>0</v>
      </c>
      <c r="CM90" s="24">
        <v>0</v>
      </c>
      <c r="CN90" s="24">
        <f>SUM(CO90:CS90)</f>
        <v>0</v>
      </c>
      <c r="CO90" s="24">
        <v>0</v>
      </c>
      <c r="CP90" s="24">
        <v>0</v>
      </c>
      <c r="CQ90" s="24">
        <v>0</v>
      </c>
      <c r="CR90" s="24"/>
      <c r="CS90" s="24"/>
      <c r="CT90" s="24">
        <v>0</v>
      </c>
      <c r="CU90" s="24">
        <v>0</v>
      </c>
      <c r="CV90" s="24">
        <v>0</v>
      </c>
      <c r="CW90" s="24">
        <f t="shared" si="115"/>
        <v>0</v>
      </c>
      <c r="CX90" s="24">
        <f t="shared" si="116"/>
        <v>0</v>
      </c>
      <c r="CY90" s="24">
        <v>0</v>
      </c>
      <c r="CZ90" s="25">
        <v>0</v>
      </c>
    </row>
    <row r="91" spans="1:104" ht="31.2" x14ac:dyDescent="0.3">
      <c r="A91" s="26"/>
      <c r="B91" s="27" t="s">
        <v>1</v>
      </c>
      <c r="C91" s="27" t="s">
        <v>102</v>
      </c>
      <c r="D91" s="28" t="s">
        <v>193</v>
      </c>
      <c r="E91" s="23">
        <f>SUM(F91+CD91+CW91)</f>
        <v>1554063</v>
      </c>
      <c r="F91" s="24">
        <f>SUM(G91+BD91)</f>
        <v>1550432</v>
      </c>
      <c r="G91" s="24">
        <f>SUM(H91+I91+J91+Q91+T91+U91+V91+AF91+AE91)</f>
        <v>1550432</v>
      </c>
      <c r="H91" s="29">
        <v>1201620</v>
      </c>
      <c r="I91" s="29">
        <v>273654</v>
      </c>
      <c r="J91" s="24">
        <f t="shared" si="111"/>
        <v>13309</v>
      </c>
      <c r="K91" s="29">
        <v>0</v>
      </c>
      <c r="L91" s="29">
        <f>3944-3944</f>
        <v>0</v>
      </c>
      <c r="M91" s="29">
        <v>0</v>
      </c>
      <c r="N91" s="29">
        <v>0</v>
      </c>
      <c r="O91" s="29">
        <f>46721-33611</f>
        <v>13110</v>
      </c>
      <c r="P91" s="29">
        <f>1378-1179</f>
        <v>199</v>
      </c>
      <c r="Q91" s="24">
        <f t="shared" si="112"/>
        <v>0</v>
      </c>
      <c r="R91" s="24"/>
      <c r="S91" s="24">
        <v>0</v>
      </c>
      <c r="T91" s="24">
        <v>0</v>
      </c>
      <c r="U91" s="29">
        <v>17779</v>
      </c>
      <c r="V91" s="24">
        <f t="shared" si="144"/>
        <v>7758</v>
      </c>
      <c r="W91" s="30"/>
      <c r="X91" s="29">
        <v>0</v>
      </c>
      <c r="Y91" s="29">
        <v>7758</v>
      </c>
      <c r="Z91" s="29">
        <v>0</v>
      </c>
      <c r="AA91" s="29">
        <v>0</v>
      </c>
      <c r="AB91" s="30"/>
      <c r="AC91" s="30"/>
      <c r="AD91" s="30"/>
      <c r="AE91" s="24"/>
      <c r="AF91" s="24">
        <f>SUM(AG91:BC91)</f>
        <v>36312</v>
      </c>
      <c r="AG91" s="29">
        <f>781-781</f>
        <v>0</v>
      </c>
      <c r="AH91" s="30"/>
      <c r="AI91" s="30"/>
      <c r="AJ91" s="30"/>
      <c r="AK91" s="30"/>
      <c r="AL91" s="30">
        <f>1740-564</f>
        <v>1176</v>
      </c>
      <c r="AM91" s="30"/>
      <c r="AN91" s="30"/>
      <c r="AO91" s="30"/>
      <c r="AP91" s="30"/>
      <c r="AQ91" s="30"/>
      <c r="AR91" s="24"/>
      <c r="AS91" s="30"/>
      <c r="AT91" s="30"/>
      <c r="AU91" s="24">
        <v>0</v>
      </c>
      <c r="AV91" s="24"/>
      <c r="AW91" s="24"/>
      <c r="AX91" s="24">
        <v>0</v>
      </c>
      <c r="AY91" s="24">
        <v>0</v>
      </c>
      <c r="AZ91" s="24">
        <v>0</v>
      </c>
      <c r="BA91" s="29">
        <v>35136</v>
      </c>
      <c r="BB91" s="29">
        <v>0</v>
      </c>
      <c r="BC91" s="29">
        <v>0</v>
      </c>
      <c r="BD91" s="24">
        <f>SUM(BE91+BI91+BM91+BO91+BR91)</f>
        <v>0</v>
      </c>
      <c r="BE91" s="24">
        <f>SUM(BF91:BH91)</f>
        <v>0</v>
      </c>
      <c r="BF91" s="24">
        <v>0</v>
      </c>
      <c r="BG91" s="24">
        <v>0</v>
      </c>
      <c r="BH91" s="24">
        <v>0</v>
      </c>
      <c r="BI91" s="24">
        <f>SUM(BL91:BL91)</f>
        <v>0</v>
      </c>
      <c r="BJ91" s="24">
        <v>0</v>
      </c>
      <c r="BK91" s="24">
        <v>0</v>
      </c>
      <c r="BL91" s="24">
        <v>0</v>
      </c>
      <c r="BM91" s="24">
        <v>0</v>
      </c>
      <c r="BN91" s="24">
        <v>0</v>
      </c>
      <c r="BO91" s="24">
        <f t="shared" si="113"/>
        <v>0</v>
      </c>
      <c r="BP91" s="24">
        <v>0</v>
      </c>
      <c r="BQ91" s="24">
        <v>0</v>
      </c>
      <c r="BR91" s="24">
        <f>SUM(BS91:CC91)</f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4">
        <v>0</v>
      </c>
      <c r="CD91" s="24">
        <f>SUM(CE91+CV91)</f>
        <v>3631</v>
      </c>
      <c r="CE91" s="24">
        <f>SUM(CF91+CI91+CN91)</f>
        <v>3631</v>
      </c>
      <c r="CF91" s="24">
        <f t="shared" si="114"/>
        <v>3631</v>
      </c>
      <c r="CG91" s="24">
        <v>0</v>
      </c>
      <c r="CH91" s="29">
        <v>3631</v>
      </c>
      <c r="CI91" s="24">
        <f>SUM(CJ91:CM91)</f>
        <v>0</v>
      </c>
      <c r="CJ91" s="24">
        <v>0</v>
      </c>
      <c r="CK91" s="24">
        <v>0</v>
      </c>
      <c r="CL91" s="24">
        <v>0</v>
      </c>
      <c r="CM91" s="24">
        <v>0</v>
      </c>
      <c r="CN91" s="24">
        <f>SUM(CO91:CS91)</f>
        <v>0</v>
      </c>
      <c r="CO91" s="24">
        <v>0</v>
      </c>
      <c r="CP91" s="24">
        <v>0</v>
      </c>
      <c r="CQ91" s="24">
        <v>0</v>
      </c>
      <c r="CR91" s="24"/>
      <c r="CS91" s="24"/>
      <c r="CT91" s="24">
        <v>0</v>
      </c>
      <c r="CU91" s="24">
        <v>0</v>
      </c>
      <c r="CV91" s="24">
        <v>0</v>
      </c>
      <c r="CW91" s="24">
        <f t="shared" si="115"/>
        <v>0</v>
      </c>
      <c r="CX91" s="24">
        <f t="shared" si="116"/>
        <v>0</v>
      </c>
      <c r="CY91" s="24">
        <v>0</v>
      </c>
      <c r="CZ91" s="25">
        <v>0</v>
      </c>
    </row>
    <row r="92" spans="1:104" ht="31.2" x14ac:dyDescent="0.3">
      <c r="A92" s="20"/>
      <c r="B92" s="21" t="s">
        <v>194</v>
      </c>
      <c r="C92" s="21" t="s">
        <v>1</v>
      </c>
      <c r="D92" s="22" t="s">
        <v>195</v>
      </c>
      <c r="E92" s="23">
        <f t="shared" ref="E92:AU92" si="145">SUM(E93:E101)</f>
        <v>7707538</v>
      </c>
      <c r="F92" s="24">
        <f t="shared" si="145"/>
        <v>7707538</v>
      </c>
      <c r="G92" s="24">
        <f t="shared" si="145"/>
        <v>7707538</v>
      </c>
      <c r="H92" s="24">
        <f t="shared" si="145"/>
        <v>296421</v>
      </c>
      <c r="I92" s="24">
        <f t="shared" si="145"/>
        <v>68621</v>
      </c>
      <c r="J92" s="24">
        <f t="shared" si="145"/>
        <v>4416</v>
      </c>
      <c r="K92" s="24">
        <f t="shared" si="145"/>
        <v>0</v>
      </c>
      <c r="L92" s="24">
        <f t="shared" si="145"/>
        <v>0</v>
      </c>
      <c r="M92" s="24">
        <f t="shared" si="145"/>
        <v>0</v>
      </c>
      <c r="N92" s="24">
        <f t="shared" si="145"/>
        <v>0</v>
      </c>
      <c r="O92" s="24">
        <f t="shared" si="145"/>
        <v>0</v>
      </c>
      <c r="P92" s="24">
        <f t="shared" si="145"/>
        <v>4416</v>
      </c>
      <c r="Q92" s="24">
        <f t="shared" si="145"/>
        <v>0</v>
      </c>
      <c r="R92" s="24">
        <f t="shared" si="145"/>
        <v>0</v>
      </c>
      <c r="S92" s="24">
        <f t="shared" si="145"/>
        <v>0</v>
      </c>
      <c r="T92" s="24">
        <f t="shared" si="145"/>
        <v>0</v>
      </c>
      <c r="U92" s="24">
        <f t="shared" si="145"/>
        <v>0</v>
      </c>
      <c r="V92" s="24">
        <f t="shared" si="145"/>
        <v>0</v>
      </c>
      <c r="W92" s="24">
        <f t="shared" si="145"/>
        <v>0</v>
      </c>
      <c r="X92" s="24">
        <f t="shared" si="145"/>
        <v>0</v>
      </c>
      <c r="Y92" s="24">
        <f t="shared" si="145"/>
        <v>0</v>
      </c>
      <c r="Z92" s="24">
        <f t="shared" si="145"/>
        <v>0</v>
      </c>
      <c r="AA92" s="24">
        <f t="shared" si="145"/>
        <v>0</v>
      </c>
      <c r="AB92" s="24">
        <f t="shared" si="145"/>
        <v>0</v>
      </c>
      <c r="AC92" s="24">
        <f t="shared" si="145"/>
        <v>0</v>
      </c>
      <c r="AD92" s="24">
        <f t="shared" si="145"/>
        <v>0</v>
      </c>
      <c r="AE92" s="24">
        <f t="shared" si="145"/>
        <v>0</v>
      </c>
      <c r="AF92" s="24">
        <f t="shared" si="145"/>
        <v>7338080</v>
      </c>
      <c r="AG92" s="24">
        <f t="shared" si="145"/>
        <v>0</v>
      </c>
      <c r="AH92" s="24">
        <f t="shared" si="145"/>
        <v>7338080</v>
      </c>
      <c r="AI92" s="24">
        <f t="shared" si="145"/>
        <v>0</v>
      </c>
      <c r="AJ92" s="24">
        <f t="shared" si="145"/>
        <v>0</v>
      </c>
      <c r="AK92" s="24">
        <f t="shared" si="145"/>
        <v>0</v>
      </c>
      <c r="AL92" s="24">
        <f t="shared" si="145"/>
        <v>0</v>
      </c>
      <c r="AM92" s="24">
        <f t="shared" si="145"/>
        <v>0</v>
      </c>
      <c r="AN92" s="24">
        <f t="shared" si="145"/>
        <v>0</v>
      </c>
      <c r="AO92" s="24">
        <f t="shared" si="145"/>
        <v>0</v>
      </c>
      <c r="AP92" s="24">
        <f t="shared" si="145"/>
        <v>0</v>
      </c>
      <c r="AQ92" s="24">
        <f t="shared" si="145"/>
        <v>0</v>
      </c>
      <c r="AR92" s="24"/>
      <c r="AS92" s="24">
        <f t="shared" si="145"/>
        <v>0</v>
      </c>
      <c r="AT92" s="24">
        <f t="shared" si="145"/>
        <v>0</v>
      </c>
      <c r="AU92" s="24">
        <f t="shared" si="145"/>
        <v>0</v>
      </c>
      <c r="AV92" s="24"/>
      <c r="AW92" s="24"/>
      <c r="AX92" s="24">
        <f>SUM(AX93:AX101)</f>
        <v>0</v>
      </c>
      <c r="AY92" s="24">
        <f>SUM(AY93:AY101)</f>
        <v>0</v>
      </c>
      <c r="AZ92" s="24">
        <f>SUM(AZ93:AZ101)</f>
        <v>0</v>
      </c>
      <c r="BA92" s="24">
        <f>SUM(BA93:BA101)</f>
        <v>0</v>
      </c>
      <c r="BB92" s="24"/>
      <c r="BC92" s="24">
        <f t="shared" ref="BC92:CQ92" si="146">SUM(BC93:BC101)</f>
        <v>0</v>
      </c>
      <c r="BD92" s="24">
        <f t="shared" si="146"/>
        <v>0</v>
      </c>
      <c r="BE92" s="24">
        <f t="shared" si="146"/>
        <v>0</v>
      </c>
      <c r="BF92" s="24">
        <f t="shared" si="146"/>
        <v>0</v>
      </c>
      <c r="BG92" s="24">
        <f t="shared" si="146"/>
        <v>0</v>
      </c>
      <c r="BH92" s="24">
        <f t="shared" si="146"/>
        <v>0</v>
      </c>
      <c r="BI92" s="24">
        <f t="shared" si="146"/>
        <v>0</v>
      </c>
      <c r="BJ92" s="24">
        <f t="shared" si="146"/>
        <v>0</v>
      </c>
      <c r="BK92" s="24">
        <f t="shared" ref="BK92" si="147">SUM(BK93:BK101)</f>
        <v>0</v>
      </c>
      <c r="BL92" s="24">
        <f t="shared" si="146"/>
        <v>0</v>
      </c>
      <c r="BM92" s="24">
        <f t="shared" si="146"/>
        <v>0</v>
      </c>
      <c r="BN92" s="24">
        <f t="shared" si="146"/>
        <v>0</v>
      </c>
      <c r="BO92" s="24">
        <f t="shared" si="146"/>
        <v>0</v>
      </c>
      <c r="BP92" s="24">
        <f t="shared" si="146"/>
        <v>0</v>
      </c>
      <c r="BQ92" s="24">
        <f t="shared" si="146"/>
        <v>0</v>
      </c>
      <c r="BR92" s="24">
        <f t="shared" si="146"/>
        <v>0</v>
      </c>
      <c r="BS92" s="24">
        <f t="shared" si="146"/>
        <v>0</v>
      </c>
      <c r="BT92" s="24">
        <f t="shared" si="146"/>
        <v>0</v>
      </c>
      <c r="BU92" s="24">
        <f t="shared" si="146"/>
        <v>0</v>
      </c>
      <c r="BV92" s="24">
        <f t="shared" si="146"/>
        <v>0</v>
      </c>
      <c r="BW92" s="24">
        <f t="shared" si="146"/>
        <v>0</v>
      </c>
      <c r="BX92" s="24">
        <f t="shared" si="146"/>
        <v>0</v>
      </c>
      <c r="BY92" s="24">
        <f t="shared" si="146"/>
        <v>0</v>
      </c>
      <c r="BZ92" s="24">
        <f t="shared" si="146"/>
        <v>0</v>
      </c>
      <c r="CA92" s="24">
        <f t="shared" si="146"/>
        <v>0</v>
      </c>
      <c r="CB92" s="24">
        <f t="shared" si="146"/>
        <v>0</v>
      </c>
      <c r="CC92" s="24">
        <f t="shared" si="146"/>
        <v>0</v>
      </c>
      <c r="CD92" s="24">
        <f t="shared" si="146"/>
        <v>0</v>
      </c>
      <c r="CE92" s="24">
        <f t="shared" si="146"/>
        <v>0</v>
      </c>
      <c r="CF92" s="24">
        <f t="shared" si="146"/>
        <v>0</v>
      </c>
      <c r="CG92" s="24">
        <f t="shared" si="146"/>
        <v>0</v>
      </c>
      <c r="CH92" s="24">
        <f t="shared" si="146"/>
        <v>0</v>
      </c>
      <c r="CI92" s="24">
        <f t="shared" si="146"/>
        <v>0</v>
      </c>
      <c r="CJ92" s="24">
        <f t="shared" si="146"/>
        <v>0</v>
      </c>
      <c r="CK92" s="24">
        <f t="shared" si="146"/>
        <v>0</v>
      </c>
      <c r="CL92" s="24">
        <f t="shared" si="146"/>
        <v>0</v>
      </c>
      <c r="CM92" s="24">
        <f t="shared" si="146"/>
        <v>0</v>
      </c>
      <c r="CN92" s="24">
        <f t="shared" si="146"/>
        <v>0</v>
      </c>
      <c r="CO92" s="24">
        <f t="shared" si="146"/>
        <v>0</v>
      </c>
      <c r="CP92" s="24">
        <f t="shared" si="146"/>
        <v>0</v>
      </c>
      <c r="CQ92" s="24">
        <f t="shared" si="146"/>
        <v>0</v>
      </c>
      <c r="CR92" s="24"/>
      <c r="CS92" s="24"/>
      <c r="CT92" s="24">
        <f t="shared" ref="CT92:CZ92" si="148">SUM(CT93:CT101)</f>
        <v>0</v>
      </c>
      <c r="CU92" s="24">
        <f t="shared" si="148"/>
        <v>0</v>
      </c>
      <c r="CV92" s="24">
        <f t="shared" si="148"/>
        <v>0</v>
      </c>
      <c r="CW92" s="24">
        <f t="shared" si="148"/>
        <v>0</v>
      </c>
      <c r="CX92" s="24">
        <f t="shared" si="148"/>
        <v>0</v>
      </c>
      <c r="CY92" s="24">
        <f t="shared" si="148"/>
        <v>0</v>
      </c>
      <c r="CZ92" s="25">
        <f t="shared" si="148"/>
        <v>0</v>
      </c>
    </row>
    <row r="93" spans="1:104" ht="15.6" x14ac:dyDescent="0.3">
      <c r="A93" s="26" t="s">
        <v>1</v>
      </c>
      <c r="B93" s="27" t="s">
        <v>1</v>
      </c>
      <c r="C93" s="27" t="s">
        <v>86</v>
      </c>
      <c r="D93" s="28" t="s">
        <v>426</v>
      </c>
      <c r="E93" s="23">
        <f t="shared" ref="E93:E101" si="149">SUM(F93+CD93+CW93)</f>
        <v>222820</v>
      </c>
      <c r="F93" s="24">
        <f t="shared" ref="F93:F101" si="150">SUM(G93+BD93)</f>
        <v>222820</v>
      </c>
      <c r="G93" s="24">
        <f t="shared" ref="G93:G101" si="151">SUM(H93+I93+J93+Q93+T93+U93+V93+AF93+AE93)</f>
        <v>222820</v>
      </c>
      <c r="H93" s="24">
        <v>0</v>
      </c>
      <c r="I93" s="24">
        <v>0</v>
      </c>
      <c r="J93" s="24">
        <f>SUM(K93:P93)</f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f>SUM(R93:S93)</f>
        <v>0</v>
      </c>
      <c r="R93" s="24">
        <v>0</v>
      </c>
      <c r="S93" s="24">
        <v>0</v>
      </c>
      <c r="T93" s="24">
        <v>0</v>
      </c>
      <c r="U93" s="24">
        <v>0</v>
      </c>
      <c r="V93" s="24">
        <f t="shared" ref="V93:V101" si="152">SUM(W93:AD93)</f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f t="shared" ref="AF93:AF101" si="153">SUM(AG93:BC93)</f>
        <v>222820</v>
      </c>
      <c r="AG93" s="30"/>
      <c r="AH93" s="29">
        <f>707379-484559</f>
        <v>222820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/>
      <c r="AS93" s="24">
        <v>0</v>
      </c>
      <c r="AT93" s="24">
        <v>0</v>
      </c>
      <c r="AU93" s="24">
        <v>0</v>
      </c>
      <c r="AV93" s="24"/>
      <c r="AW93" s="24"/>
      <c r="AX93" s="24">
        <v>0</v>
      </c>
      <c r="AY93" s="24">
        <v>0</v>
      </c>
      <c r="AZ93" s="24">
        <v>0</v>
      </c>
      <c r="BA93" s="24">
        <v>0</v>
      </c>
      <c r="BB93" s="24"/>
      <c r="BC93" s="24">
        <v>0</v>
      </c>
      <c r="BD93" s="24">
        <f t="shared" ref="BD93:BD101" si="154">SUM(BE93+BI93+BM93+BO93+BR93)</f>
        <v>0</v>
      </c>
      <c r="BE93" s="24">
        <f t="shared" ref="BE93:BE101" si="155">SUM(BF93:BH93)</f>
        <v>0</v>
      </c>
      <c r="BF93" s="24">
        <v>0</v>
      </c>
      <c r="BG93" s="24">
        <v>0</v>
      </c>
      <c r="BH93" s="24">
        <v>0</v>
      </c>
      <c r="BI93" s="24">
        <f t="shared" ref="BI93:BI101" si="156">SUM(BL93:BL93)</f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0</v>
      </c>
      <c r="BO93" s="24">
        <f>SUM(BP93)</f>
        <v>0</v>
      </c>
      <c r="BP93" s="24">
        <v>0</v>
      </c>
      <c r="BQ93" s="24">
        <v>0</v>
      </c>
      <c r="BR93" s="24">
        <f t="shared" ref="BR93:BR101" si="157">SUM(BS93:CC93)</f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f t="shared" ref="CD93:CD101" si="158">SUM(CE93+CV93)</f>
        <v>0</v>
      </c>
      <c r="CE93" s="24">
        <f t="shared" ref="CE93:CE101" si="159">SUM(CF93+CI93+CN93)</f>
        <v>0</v>
      </c>
      <c r="CF93" s="24">
        <f>SUM(CG93:CH93)</f>
        <v>0</v>
      </c>
      <c r="CG93" s="24">
        <v>0</v>
      </c>
      <c r="CH93" s="24">
        <v>0</v>
      </c>
      <c r="CI93" s="24">
        <f t="shared" ref="CI93:CI101" si="160">SUM(CJ93:CM93)</f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f t="shared" ref="CN93:CN101" si="161">SUM(CO93:CS93)</f>
        <v>0</v>
      </c>
      <c r="CO93" s="24">
        <v>0</v>
      </c>
      <c r="CP93" s="24">
        <v>0</v>
      </c>
      <c r="CQ93" s="24">
        <v>0</v>
      </c>
      <c r="CR93" s="24"/>
      <c r="CS93" s="24"/>
      <c r="CT93" s="24">
        <v>0</v>
      </c>
      <c r="CU93" s="24">
        <v>0</v>
      </c>
      <c r="CV93" s="24">
        <v>0</v>
      </c>
      <c r="CW93" s="24">
        <f>SUM(CX93)</f>
        <v>0</v>
      </c>
      <c r="CX93" s="24">
        <f>SUM(CY93:CZ93)</f>
        <v>0</v>
      </c>
      <c r="CY93" s="24">
        <v>0</v>
      </c>
      <c r="CZ93" s="25">
        <v>0</v>
      </c>
    </row>
    <row r="94" spans="1:104" ht="15.6" x14ac:dyDescent="0.3">
      <c r="A94" s="26" t="s">
        <v>1</v>
      </c>
      <c r="B94" s="27" t="s">
        <v>1</v>
      </c>
      <c r="C94" s="27" t="s">
        <v>88</v>
      </c>
      <c r="D94" s="28" t="s">
        <v>196</v>
      </c>
      <c r="E94" s="23">
        <f t="shared" si="149"/>
        <v>3643918</v>
      </c>
      <c r="F94" s="24">
        <f t="shared" si="150"/>
        <v>3643918</v>
      </c>
      <c r="G94" s="24">
        <f t="shared" si="151"/>
        <v>3643918</v>
      </c>
      <c r="H94" s="24">
        <v>0</v>
      </c>
      <c r="I94" s="24">
        <v>0</v>
      </c>
      <c r="J94" s="24">
        <f>SUM(K94:P94)</f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f>SUM(R94:S94)</f>
        <v>0</v>
      </c>
      <c r="R94" s="24">
        <v>0</v>
      </c>
      <c r="S94" s="24">
        <v>0</v>
      </c>
      <c r="T94" s="24">
        <v>0</v>
      </c>
      <c r="U94" s="24">
        <v>0</v>
      </c>
      <c r="V94" s="24">
        <f t="shared" si="152"/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f t="shared" si="153"/>
        <v>3643918</v>
      </c>
      <c r="AG94" s="30"/>
      <c r="AH94" s="29">
        <v>3643918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/>
      <c r="AS94" s="24">
        <v>0</v>
      </c>
      <c r="AT94" s="24">
        <v>0</v>
      </c>
      <c r="AU94" s="24">
        <v>0</v>
      </c>
      <c r="AV94" s="24"/>
      <c r="AW94" s="24"/>
      <c r="AX94" s="24">
        <v>0</v>
      </c>
      <c r="AY94" s="24">
        <v>0</v>
      </c>
      <c r="AZ94" s="24">
        <v>0</v>
      </c>
      <c r="BA94" s="24">
        <v>0</v>
      </c>
      <c r="BB94" s="24"/>
      <c r="BC94" s="24">
        <v>0</v>
      </c>
      <c r="BD94" s="24">
        <f t="shared" si="154"/>
        <v>0</v>
      </c>
      <c r="BE94" s="24">
        <f t="shared" si="155"/>
        <v>0</v>
      </c>
      <c r="BF94" s="24">
        <v>0</v>
      </c>
      <c r="BG94" s="24">
        <v>0</v>
      </c>
      <c r="BH94" s="24">
        <v>0</v>
      </c>
      <c r="BI94" s="24">
        <f t="shared" si="156"/>
        <v>0</v>
      </c>
      <c r="BJ94" s="24">
        <v>0</v>
      </c>
      <c r="BK94" s="24">
        <v>0</v>
      </c>
      <c r="BL94" s="24">
        <v>0</v>
      </c>
      <c r="BM94" s="24">
        <v>0</v>
      </c>
      <c r="BN94" s="24">
        <v>0</v>
      </c>
      <c r="BO94" s="24">
        <f>SUM(BP94)</f>
        <v>0</v>
      </c>
      <c r="BP94" s="24">
        <v>0</v>
      </c>
      <c r="BQ94" s="24">
        <v>0</v>
      </c>
      <c r="BR94" s="24">
        <f t="shared" si="157"/>
        <v>0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0</v>
      </c>
      <c r="BZ94" s="24">
        <v>0</v>
      </c>
      <c r="CA94" s="24">
        <v>0</v>
      </c>
      <c r="CB94" s="24">
        <v>0</v>
      </c>
      <c r="CC94" s="24">
        <v>0</v>
      </c>
      <c r="CD94" s="24">
        <f t="shared" si="158"/>
        <v>0</v>
      </c>
      <c r="CE94" s="24">
        <f t="shared" si="159"/>
        <v>0</v>
      </c>
      <c r="CF94" s="24">
        <f>SUM(CG94:CH94)</f>
        <v>0</v>
      </c>
      <c r="CG94" s="24">
        <v>0</v>
      </c>
      <c r="CH94" s="24">
        <v>0</v>
      </c>
      <c r="CI94" s="24">
        <f t="shared" si="160"/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f t="shared" si="161"/>
        <v>0</v>
      </c>
      <c r="CO94" s="24">
        <v>0</v>
      </c>
      <c r="CP94" s="24">
        <v>0</v>
      </c>
      <c r="CQ94" s="24">
        <v>0</v>
      </c>
      <c r="CR94" s="24"/>
      <c r="CS94" s="24"/>
      <c r="CT94" s="24">
        <v>0</v>
      </c>
      <c r="CU94" s="24">
        <v>0</v>
      </c>
      <c r="CV94" s="24">
        <v>0</v>
      </c>
      <c r="CW94" s="24">
        <f>SUM(CX94)</f>
        <v>0</v>
      </c>
      <c r="CX94" s="24">
        <f>SUM(CY94:CZ94)</f>
        <v>0</v>
      </c>
      <c r="CY94" s="24">
        <v>0</v>
      </c>
      <c r="CZ94" s="25">
        <v>0</v>
      </c>
    </row>
    <row r="95" spans="1:104" ht="15.6" x14ac:dyDescent="0.3">
      <c r="A95" s="26" t="s">
        <v>1</v>
      </c>
      <c r="B95" s="27" t="s">
        <v>1</v>
      </c>
      <c r="C95" s="27" t="s">
        <v>90</v>
      </c>
      <c r="D95" s="28" t="s">
        <v>197</v>
      </c>
      <c r="E95" s="23">
        <f t="shared" si="149"/>
        <v>205843</v>
      </c>
      <c r="F95" s="24">
        <f t="shared" si="150"/>
        <v>205843</v>
      </c>
      <c r="G95" s="24">
        <f t="shared" si="151"/>
        <v>205843</v>
      </c>
      <c r="H95" s="24">
        <v>0</v>
      </c>
      <c r="I95" s="24">
        <v>0</v>
      </c>
      <c r="J95" s="24">
        <f t="shared" si="111"/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f t="shared" si="112"/>
        <v>0</v>
      </c>
      <c r="R95" s="24">
        <v>0</v>
      </c>
      <c r="S95" s="24">
        <v>0</v>
      </c>
      <c r="T95" s="24">
        <v>0</v>
      </c>
      <c r="U95" s="24">
        <v>0</v>
      </c>
      <c r="V95" s="24">
        <f t="shared" si="152"/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f t="shared" si="153"/>
        <v>205843</v>
      </c>
      <c r="AG95" s="30"/>
      <c r="AH95" s="29">
        <v>205843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/>
      <c r="AS95" s="24">
        <v>0</v>
      </c>
      <c r="AT95" s="24">
        <v>0</v>
      </c>
      <c r="AU95" s="24">
        <v>0</v>
      </c>
      <c r="AV95" s="24"/>
      <c r="AW95" s="24"/>
      <c r="AX95" s="24">
        <v>0</v>
      </c>
      <c r="AY95" s="24">
        <v>0</v>
      </c>
      <c r="AZ95" s="24">
        <v>0</v>
      </c>
      <c r="BA95" s="24">
        <v>0</v>
      </c>
      <c r="BB95" s="24"/>
      <c r="BC95" s="24">
        <v>0</v>
      </c>
      <c r="BD95" s="24">
        <f t="shared" si="154"/>
        <v>0</v>
      </c>
      <c r="BE95" s="24">
        <f t="shared" si="155"/>
        <v>0</v>
      </c>
      <c r="BF95" s="24">
        <v>0</v>
      </c>
      <c r="BG95" s="24">
        <v>0</v>
      </c>
      <c r="BH95" s="24">
        <v>0</v>
      </c>
      <c r="BI95" s="24">
        <f t="shared" si="156"/>
        <v>0</v>
      </c>
      <c r="BJ95" s="24">
        <v>0</v>
      </c>
      <c r="BK95" s="24">
        <v>0</v>
      </c>
      <c r="BL95" s="24">
        <v>0</v>
      </c>
      <c r="BM95" s="24">
        <v>0</v>
      </c>
      <c r="BN95" s="24">
        <v>0</v>
      </c>
      <c r="BO95" s="24">
        <f t="shared" si="113"/>
        <v>0</v>
      </c>
      <c r="BP95" s="24">
        <v>0</v>
      </c>
      <c r="BQ95" s="24">
        <v>0</v>
      </c>
      <c r="BR95" s="24">
        <f t="shared" si="157"/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>
        <v>0</v>
      </c>
      <c r="CD95" s="24">
        <f t="shared" si="158"/>
        <v>0</v>
      </c>
      <c r="CE95" s="24">
        <f t="shared" si="159"/>
        <v>0</v>
      </c>
      <c r="CF95" s="24">
        <f t="shared" si="114"/>
        <v>0</v>
      </c>
      <c r="CG95" s="24">
        <v>0</v>
      </c>
      <c r="CH95" s="24">
        <v>0</v>
      </c>
      <c r="CI95" s="24">
        <f t="shared" si="160"/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f t="shared" si="161"/>
        <v>0</v>
      </c>
      <c r="CO95" s="24">
        <v>0</v>
      </c>
      <c r="CP95" s="24">
        <v>0</v>
      </c>
      <c r="CQ95" s="24">
        <v>0</v>
      </c>
      <c r="CR95" s="24"/>
      <c r="CS95" s="24"/>
      <c r="CT95" s="24">
        <v>0</v>
      </c>
      <c r="CU95" s="24">
        <v>0</v>
      </c>
      <c r="CV95" s="24">
        <v>0</v>
      </c>
      <c r="CW95" s="24">
        <f t="shared" si="115"/>
        <v>0</v>
      </c>
      <c r="CX95" s="24">
        <f t="shared" si="116"/>
        <v>0</v>
      </c>
      <c r="CY95" s="24">
        <v>0</v>
      </c>
      <c r="CZ95" s="25">
        <v>0</v>
      </c>
    </row>
    <row r="96" spans="1:104" ht="31.2" x14ac:dyDescent="0.3">
      <c r="A96" s="26" t="s">
        <v>1</v>
      </c>
      <c r="B96" s="27" t="s">
        <v>1</v>
      </c>
      <c r="C96" s="27" t="s">
        <v>168</v>
      </c>
      <c r="D96" s="28" t="s">
        <v>169</v>
      </c>
      <c r="E96" s="23">
        <f t="shared" si="149"/>
        <v>598365</v>
      </c>
      <c r="F96" s="24">
        <f t="shared" si="150"/>
        <v>598365</v>
      </c>
      <c r="G96" s="24">
        <f t="shared" si="151"/>
        <v>598365</v>
      </c>
      <c r="H96" s="24">
        <v>0</v>
      </c>
      <c r="I96" s="24">
        <v>0</v>
      </c>
      <c r="J96" s="24">
        <f t="shared" si="111"/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f t="shared" si="112"/>
        <v>0</v>
      </c>
      <c r="R96" s="24">
        <v>0</v>
      </c>
      <c r="S96" s="24">
        <v>0</v>
      </c>
      <c r="T96" s="24">
        <v>0</v>
      </c>
      <c r="U96" s="24">
        <v>0</v>
      </c>
      <c r="V96" s="24">
        <f t="shared" si="152"/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f t="shared" si="153"/>
        <v>598365</v>
      </c>
      <c r="AG96" s="30"/>
      <c r="AH96" s="29">
        <v>598365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/>
      <c r="AS96" s="24">
        <v>0</v>
      </c>
      <c r="AT96" s="24">
        <v>0</v>
      </c>
      <c r="AU96" s="24">
        <v>0</v>
      </c>
      <c r="AV96" s="24"/>
      <c r="AW96" s="24"/>
      <c r="AX96" s="24">
        <v>0</v>
      </c>
      <c r="AY96" s="24">
        <v>0</v>
      </c>
      <c r="AZ96" s="24">
        <v>0</v>
      </c>
      <c r="BA96" s="24">
        <v>0</v>
      </c>
      <c r="BB96" s="24"/>
      <c r="BC96" s="24">
        <v>0</v>
      </c>
      <c r="BD96" s="24">
        <f t="shared" si="154"/>
        <v>0</v>
      </c>
      <c r="BE96" s="24">
        <f t="shared" si="155"/>
        <v>0</v>
      </c>
      <c r="BF96" s="24">
        <v>0</v>
      </c>
      <c r="BG96" s="24">
        <v>0</v>
      </c>
      <c r="BH96" s="24">
        <v>0</v>
      </c>
      <c r="BI96" s="24">
        <f t="shared" si="156"/>
        <v>0</v>
      </c>
      <c r="BJ96" s="24">
        <v>0</v>
      </c>
      <c r="BK96" s="24">
        <v>0</v>
      </c>
      <c r="BL96" s="24">
        <v>0</v>
      </c>
      <c r="BM96" s="24">
        <v>0</v>
      </c>
      <c r="BN96" s="24">
        <v>0</v>
      </c>
      <c r="BO96" s="24">
        <f t="shared" si="113"/>
        <v>0</v>
      </c>
      <c r="BP96" s="24">
        <v>0</v>
      </c>
      <c r="BQ96" s="24">
        <v>0</v>
      </c>
      <c r="BR96" s="24">
        <f t="shared" si="157"/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>
        <v>0</v>
      </c>
      <c r="CD96" s="24">
        <f t="shared" si="158"/>
        <v>0</v>
      </c>
      <c r="CE96" s="24">
        <f t="shared" si="159"/>
        <v>0</v>
      </c>
      <c r="CF96" s="24">
        <f t="shared" si="114"/>
        <v>0</v>
      </c>
      <c r="CG96" s="24">
        <v>0</v>
      </c>
      <c r="CH96" s="24">
        <v>0</v>
      </c>
      <c r="CI96" s="24">
        <f t="shared" si="160"/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f t="shared" si="161"/>
        <v>0</v>
      </c>
      <c r="CO96" s="24">
        <v>0</v>
      </c>
      <c r="CP96" s="24">
        <v>0</v>
      </c>
      <c r="CQ96" s="24">
        <v>0</v>
      </c>
      <c r="CR96" s="24"/>
      <c r="CS96" s="24"/>
      <c r="CT96" s="24">
        <v>0</v>
      </c>
      <c r="CU96" s="24">
        <v>0</v>
      </c>
      <c r="CV96" s="24">
        <v>0</v>
      </c>
      <c r="CW96" s="24">
        <f t="shared" si="115"/>
        <v>0</v>
      </c>
      <c r="CX96" s="24">
        <f t="shared" si="116"/>
        <v>0</v>
      </c>
      <c r="CY96" s="24">
        <v>0</v>
      </c>
      <c r="CZ96" s="25">
        <v>0</v>
      </c>
    </row>
    <row r="97" spans="1:218" ht="31.2" x14ac:dyDescent="0.3">
      <c r="A97" s="43"/>
      <c r="B97" s="44"/>
      <c r="C97" s="50" t="s">
        <v>92</v>
      </c>
      <c r="D97" s="51" t="s">
        <v>569</v>
      </c>
      <c r="E97" s="46">
        <f t="shared" si="149"/>
        <v>1081084</v>
      </c>
      <c r="F97" s="47">
        <f t="shared" si="150"/>
        <v>1081084</v>
      </c>
      <c r="G97" s="47">
        <f t="shared" ref="G97" si="162">SUM(H97+I97+J97+Q97+T97+U97+V97+AF97+AE97)</f>
        <v>1081084</v>
      </c>
      <c r="H97" s="42">
        <v>0</v>
      </c>
      <c r="I97" s="42">
        <v>0</v>
      </c>
      <c r="J97" s="47">
        <f t="shared" ref="J97" si="163">SUM(K97:P97)</f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7">
        <f t="shared" ref="Q97" si="164">SUM(R97:S97)</f>
        <v>0</v>
      </c>
      <c r="R97" s="47">
        <v>0</v>
      </c>
      <c r="S97" s="47">
        <v>0</v>
      </c>
      <c r="T97" s="47">
        <v>0</v>
      </c>
      <c r="U97" s="47">
        <v>0</v>
      </c>
      <c r="V97" s="47">
        <f t="shared" ref="V97" si="165">SUM(W97:AD97)</f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7">
        <v>0</v>
      </c>
      <c r="AF97" s="47">
        <f t="shared" si="153"/>
        <v>1081084</v>
      </c>
      <c r="AG97" s="48"/>
      <c r="AH97" s="42">
        <v>1081084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/>
      <c r="AS97" s="47">
        <v>0</v>
      </c>
      <c r="AT97" s="47">
        <v>0</v>
      </c>
      <c r="AU97" s="47">
        <v>0</v>
      </c>
      <c r="AV97" s="47"/>
      <c r="AW97" s="47"/>
      <c r="AX97" s="47">
        <v>0</v>
      </c>
      <c r="AY97" s="47">
        <v>0</v>
      </c>
      <c r="AZ97" s="47">
        <v>0</v>
      </c>
      <c r="BA97" s="47">
        <v>0</v>
      </c>
      <c r="BB97" s="47"/>
      <c r="BC97" s="47">
        <v>0</v>
      </c>
      <c r="BD97" s="47">
        <f t="shared" si="154"/>
        <v>0</v>
      </c>
      <c r="BE97" s="47">
        <f t="shared" ref="BE97" si="166">SUM(BF97:BH97)</f>
        <v>0</v>
      </c>
      <c r="BF97" s="47">
        <v>0</v>
      </c>
      <c r="BG97" s="47">
        <v>0</v>
      </c>
      <c r="BH97" s="47">
        <v>0</v>
      </c>
      <c r="BI97" s="47">
        <f t="shared" si="156"/>
        <v>0</v>
      </c>
      <c r="BJ97" s="47">
        <v>0</v>
      </c>
      <c r="BK97" s="47">
        <v>0</v>
      </c>
      <c r="BL97" s="47">
        <v>0</v>
      </c>
      <c r="BM97" s="47">
        <v>0</v>
      </c>
      <c r="BN97" s="47">
        <v>0</v>
      </c>
      <c r="BO97" s="47">
        <f t="shared" ref="BO97" si="167">SUM(BP97)</f>
        <v>0</v>
      </c>
      <c r="BP97" s="47">
        <v>0</v>
      </c>
      <c r="BQ97" s="47">
        <v>0</v>
      </c>
      <c r="BR97" s="47">
        <f t="shared" si="157"/>
        <v>0</v>
      </c>
      <c r="BS97" s="47">
        <v>0</v>
      </c>
      <c r="BT97" s="47">
        <v>0</v>
      </c>
      <c r="BU97" s="47">
        <v>0</v>
      </c>
      <c r="BV97" s="47">
        <v>0</v>
      </c>
      <c r="BW97" s="47">
        <v>0</v>
      </c>
      <c r="BX97" s="47">
        <v>0</v>
      </c>
      <c r="BY97" s="47">
        <v>0</v>
      </c>
      <c r="BZ97" s="47">
        <v>0</v>
      </c>
      <c r="CA97" s="47">
        <v>0</v>
      </c>
      <c r="CB97" s="47">
        <v>0</v>
      </c>
      <c r="CC97" s="47">
        <v>0</v>
      </c>
      <c r="CD97" s="47">
        <f t="shared" si="158"/>
        <v>0</v>
      </c>
      <c r="CE97" s="47">
        <f t="shared" si="159"/>
        <v>0</v>
      </c>
      <c r="CF97" s="47">
        <f t="shared" ref="CF97" si="168">SUM(CG97:CH97)</f>
        <v>0</v>
      </c>
      <c r="CG97" s="47">
        <v>0</v>
      </c>
      <c r="CH97" s="47">
        <v>0</v>
      </c>
      <c r="CI97" s="47">
        <f t="shared" si="160"/>
        <v>0</v>
      </c>
      <c r="CJ97" s="47">
        <v>0</v>
      </c>
      <c r="CK97" s="47">
        <v>0</v>
      </c>
      <c r="CL97" s="47">
        <v>0</v>
      </c>
      <c r="CM97" s="47">
        <v>0</v>
      </c>
      <c r="CN97" s="47">
        <f t="shared" si="161"/>
        <v>0</v>
      </c>
      <c r="CO97" s="47">
        <v>0</v>
      </c>
      <c r="CP97" s="47">
        <v>0</v>
      </c>
      <c r="CQ97" s="47">
        <v>0</v>
      </c>
      <c r="CR97" s="47"/>
      <c r="CS97" s="47"/>
      <c r="CT97" s="47">
        <v>0</v>
      </c>
      <c r="CU97" s="47">
        <v>0</v>
      </c>
      <c r="CV97" s="47">
        <v>0</v>
      </c>
      <c r="CW97" s="47">
        <f t="shared" ref="CW97" si="169">SUM(CX97)</f>
        <v>0</v>
      </c>
      <c r="CX97" s="47">
        <f t="shared" ref="CX97" si="170">SUM(CY97:CZ97)</f>
        <v>0</v>
      </c>
      <c r="CY97" s="47">
        <v>0</v>
      </c>
      <c r="CZ97" s="49">
        <v>0</v>
      </c>
    </row>
    <row r="98" spans="1:218" s="63" customFormat="1" ht="31.2" x14ac:dyDescent="0.3">
      <c r="A98" s="43" t="s">
        <v>1</v>
      </c>
      <c r="B98" s="44" t="s">
        <v>1</v>
      </c>
      <c r="C98" s="50" t="s">
        <v>94</v>
      </c>
      <c r="D98" s="51" t="s">
        <v>570</v>
      </c>
      <c r="E98" s="46">
        <f t="shared" si="149"/>
        <v>1026113</v>
      </c>
      <c r="F98" s="47">
        <f t="shared" si="150"/>
        <v>1026113</v>
      </c>
      <c r="G98" s="47">
        <f t="shared" si="151"/>
        <v>1026113</v>
      </c>
      <c r="H98" s="42">
        <v>0</v>
      </c>
      <c r="I98" s="42">
        <v>0</v>
      </c>
      <c r="J98" s="47">
        <f t="shared" si="111"/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7">
        <f t="shared" si="112"/>
        <v>0</v>
      </c>
      <c r="R98" s="47">
        <v>0</v>
      </c>
      <c r="S98" s="47">
        <v>0</v>
      </c>
      <c r="T98" s="47">
        <v>0</v>
      </c>
      <c r="U98" s="47">
        <v>0</v>
      </c>
      <c r="V98" s="47">
        <f t="shared" si="152"/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7">
        <v>0</v>
      </c>
      <c r="AF98" s="47">
        <f t="shared" si="153"/>
        <v>1026113</v>
      </c>
      <c r="AG98" s="48"/>
      <c r="AH98" s="42">
        <f>1421446-395333</f>
        <v>1026113</v>
      </c>
      <c r="AI98" s="47">
        <v>0</v>
      </c>
      <c r="AJ98" s="47">
        <v>0</v>
      </c>
      <c r="AK98" s="47">
        <v>0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7"/>
      <c r="AS98" s="47">
        <v>0</v>
      </c>
      <c r="AT98" s="47">
        <v>0</v>
      </c>
      <c r="AU98" s="47">
        <v>0</v>
      </c>
      <c r="AV98" s="47"/>
      <c r="AW98" s="47"/>
      <c r="AX98" s="47">
        <v>0</v>
      </c>
      <c r="AY98" s="47">
        <v>0</v>
      </c>
      <c r="AZ98" s="47">
        <v>0</v>
      </c>
      <c r="BA98" s="47">
        <v>0</v>
      </c>
      <c r="BB98" s="47"/>
      <c r="BC98" s="47">
        <v>0</v>
      </c>
      <c r="BD98" s="47">
        <f t="shared" si="154"/>
        <v>0</v>
      </c>
      <c r="BE98" s="47">
        <f t="shared" si="155"/>
        <v>0</v>
      </c>
      <c r="BF98" s="47">
        <v>0</v>
      </c>
      <c r="BG98" s="47">
        <v>0</v>
      </c>
      <c r="BH98" s="47">
        <v>0</v>
      </c>
      <c r="BI98" s="47">
        <f t="shared" si="156"/>
        <v>0</v>
      </c>
      <c r="BJ98" s="47">
        <v>0</v>
      </c>
      <c r="BK98" s="47">
        <v>0</v>
      </c>
      <c r="BL98" s="47">
        <v>0</v>
      </c>
      <c r="BM98" s="47">
        <v>0</v>
      </c>
      <c r="BN98" s="47">
        <v>0</v>
      </c>
      <c r="BO98" s="47">
        <f t="shared" si="113"/>
        <v>0</v>
      </c>
      <c r="BP98" s="47">
        <v>0</v>
      </c>
      <c r="BQ98" s="47">
        <v>0</v>
      </c>
      <c r="BR98" s="47">
        <f t="shared" si="157"/>
        <v>0</v>
      </c>
      <c r="BS98" s="47">
        <v>0</v>
      </c>
      <c r="BT98" s="47">
        <v>0</v>
      </c>
      <c r="BU98" s="47">
        <v>0</v>
      </c>
      <c r="BV98" s="47">
        <v>0</v>
      </c>
      <c r="BW98" s="47">
        <v>0</v>
      </c>
      <c r="BX98" s="47">
        <v>0</v>
      </c>
      <c r="BY98" s="47">
        <v>0</v>
      </c>
      <c r="BZ98" s="47">
        <v>0</v>
      </c>
      <c r="CA98" s="47">
        <v>0</v>
      </c>
      <c r="CB98" s="47">
        <v>0</v>
      </c>
      <c r="CC98" s="47">
        <v>0</v>
      </c>
      <c r="CD98" s="47">
        <f t="shared" si="158"/>
        <v>0</v>
      </c>
      <c r="CE98" s="47">
        <f t="shared" si="159"/>
        <v>0</v>
      </c>
      <c r="CF98" s="47">
        <f t="shared" si="114"/>
        <v>0</v>
      </c>
      <c r="CG98" s="47">
        <v>0</v>
      </c>
      <c r="CH98" s="47">
        <v>0</v>
      </c>
      <c r="CI98" s="47">
        <f t="shared" si="160"/>
        <v>0</v>
      </c>
      <c r="CJ98" s="47">
        <v>0</v>
      </c>
      <c r="CK98" s="47">
        <v>0</v>
      </c>
      <c r="CL98" s="47">
        <v>0</v>
      </c>
      <c r="CM98" s="47">
        <v>0</v>
      </c>
      <c r="CN98" s="47">
        <f t="shared" si="161"/>
        <v>0</v>
      </c>
      <c r="CO98" s="47">
        <v>0</v>
      </c>
      <c r="CP98" s="47">
        <v>0</v>
      </c>
      <c r="CQ98" s="47">
        <v>0</v>
      </c>
      <c r="CR98" s="47"/>
      <c r="CS98" s="47"/>
      <c r="CT98" s="47">
        <v>0</v>
      </c>
      <c r="CU98" s="47">
        <v>0</v>
      </c>
      <c r="CV98" s="47">
        <v>0</v>
      </c>
      <c r="CW98" s="47">
        <f t="shared" si="115"/>
        <v>0</v>
      </c>
      <c r="CX98" s="47">
        <f t="shared" si="116"/>
        <v>0</v>
      </c>
      <c r="CY98" s="47">
        <v>0</v>
      </c>
      <c r="CZ98" s="49">
        <v>0</v>
      </c>
      <c r="HJ98" s="61"/>
    </row>
    <row r="99" spans="1:218" s="63" customFormat="1" ht="31.2" x14ac:dyDescent="0.3">
      <c r="A99" s="43" t="s">
        <v>1</v>
      </c>
      <c r="B99" s="44" t="s">
        <v>1</v>
      </c>
      <c r="C99" s="44" t="s">
        <v>198</v>
      </c>
      <c r="D99" s="45" t="s">
        <v>427</v>
      </c>
      <c r="E99" s="46">
        <f t="shared" si="149"/>
        <v>369458</v>
      </c>
      <c r="F99" s="47">
        <f t="shared" si="150"/>
        <v>369458</v>
      </c>
      <c r="G99" s="47">
        <f t="shared" si="151"/>
        <v>369458</v>
      </c>
      <c r="H99" s="42">
        <v>296421</v>
      </c>
      <c r="I99" s="42">
        <v>68621</v>
      </c>
      <c r="J99" s="47">
        <f t="shared" si="111"/>
        <v>4416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4416</v>
      </c>
      <c r="Q99" s="47">
        <f t="shared" si="112"/>
        <v>0</v>
      </c>
      <c r="R99" s="47">
        <v>0</v>
      </c>
      <c r="S99" s="47"/>
      <c r="T99" s="47">
        <v>0</v>
      </c>
      <c r="U99" s="47">
        <v>0</v>
      </c>
      <c r="V99" s="47">
        <f t="shared" si="152"/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7">
        <v>0</v>
      </c>
      <c r="AF99" s="47">
        <f t="shared" si="153"/>
        <v>0</v>
      </c>
      <c r="AG99" s="48"/>
      <c r="AH99" s="42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/>
      <c r="AO99" s="47">
        <v>0</v>
      </c>
      <c r="AP99" s="47">
        <v>0</v>
      </c>
      <c r="AQ99" s="47">
        <v>0</v>
      </c>
      <c r="AR99" s="47"/>
      <c r="AS99" s="47">
        <v>0</v>
      </c>
      <c r="AT99" s="47">
        <v>0</v>
      </c>
      <c r="AU99" s="47">
        <v>0</v>
      </c>
      <c r="AV99" s="47"/>
      <c r="AW99" s="47"/>
      <c r="AX99" s="47">
        <v>0</v>
      </c>
      <c r="AY99" s="47">
        <v>0</v>
      </c>
      <c r="AZ99" s="47">
        <v>0</v>
      </c>
      <c r="BA99" s="47">
        <v>0</v>
      </c>
      <c r="BB99" s="47"/>
      <c r="BC99" s="47">
        <v>0</v>
      </c>
      <c r="BD99" s="47">
        <f t="shared" si="154"/>
        <v>0</v>
      </c>
      <c r="BE99" s="47">
        <f t="shared" si="155"/>
        <v>0</v>
      </c>
      <c r="BF99" s="47">
        <v>0</v>
      </c>
      <c r="BG99" s="47">
        <v>0</v>
      </c>
      <c r="BH99" s="47">
        <v>0</v>
      </c>
      <c r="BI99" s="47">
        <f t="shared" si="156"/>
        <v>0</v>
      </c>
      <c r="BJ99" s="47">
        <v>0</v>
      </c>
      <c r="BK99" s="47">
        <v>0</v>
      </c>
      <c r="BL99" s="47">
        <v>0</v>
      </c>
      <c r="BM99" s="47">
        <v>0</v>
      </c>
      <c r="BN99" s="47">
        <v>0</v>
      </c>
      <c r="BO99" s="47">
        <f t="shared" si="113"/>
        <v>0</v>
      </c>
      <c r="BP99" s="47">
        <v>0</v>
      </c>
      <c r="BQ99" s="47">
        <v>0</v>
      </c>
      <c r="BR99" s="47">
        <f t="shared" si="157"/>
        <v>0</v>
      </c>
      <c r="BS99" s="47">
        <v>0</v>
      </c>
      <c r="BT99" s="47">
        <v>0</v>
      </c>
      <c r="BU99" s="47">
        <v>0</v>
      </c>
      <c r="BV99" s="47">
        <v>0</v>
      </c>
      <c r="BW99" s="47">
        <v>0</v>
      </c>
      <c r="BX99" s="47">
        <v>0</v>
      </c>
      <c r="BY99" s="47">
        <v>0</v>
      </c>
      <c r="BZ99" s="47">
        <v>0</v>
      </c>
      <c r="CA99" s="47">
        <v>0</v>
      </c>
      <c r="CB99" s="47">
        <v>0</v>
      </c>
      <c r="CC99" s="47">
        <v>0</v>
      </c>
      <c r="CD99" s="47">
        <f t="shared" si="158"/>
        <v>0</v>
      </c>
      <c r="CE99" s="47">
        <f t="shared" si="159"/>
        <v>0</v>
      </c>
      <c r="CF99" s="47">
        <f t="shared" si="114"/>
        <v>0</v>
      </c>
      <c r="CG99" s="47">
        <v>0</v>
      </c>
      <c r="CH99" s="47"/>
      <c r="CI99" s="47">
        <f t="shared" si="160"/>
        <v>0</v>
      </c>
      <c r="CJ99" s="47">
        <v>0</v>
      </c>
      <c r="CK99" s="47">
        <v>0</v>
      </c>
      <c r="CL99" s="47">
        <v>0</v>
      </c>
      <c r="CM99" s="47">
        <v>0</v>
      </c>
      <c r="CN99" s="47">
        <f t="shared" si="161"/>
        <v>0</v>
      </c>
      <c r="CO99" s="47">
        <v>0</v>
      </c>
      <c r="CP99" s="47">
        <v>0</v>
      </c>
      <c r="CQ99" s="47">
        <v>0</v>
      </c>
      <c r="CR99" s="47"/>
      <c r="CS99" s="47"/>
      <c r="CT99" s="47">
        <v>0</v>
      </c>
      <c r="CU99" s="47">
        <v>0</v>
      </c>
      <c r="CV99" s="47">
        <v>0</v>
      </c>
      <c r="CW99" s="47">
        <f t="shared" si="115"/>
        <v>0</v>
      </c>
      <c r="CX99" s="47">
        <f t="shared" si="116"/>
        <v>0</v>
      </c>
      <c r="CY99" s="47">
        <v>0</v>
      </c>
      <c r="CZ99" s="49">
        <v>0</v>
      </c>
    </row>
    <row r="100" spans="1:218" s="63" customFormat="1" ht="15.6" x14ac:dyDescent="0.3">
      <c r="A100" s="43"/>
      <c r="B100" s="44"/>
      <c r="C100" s="50" t="s">
        <v>329</v>
      </c>
      <c r="D100" s="51" t="s">
        <v>571</v>
      </c>
      <c r="E100" s="46">
        <f t="shared" si="149"/>
        <v>275378</v>
      </c>
      <c r="F100" s="47">
        <f t="shared" si="150"/>
        <v>275378</v>
      </c>
      <c r="G100" s="47">
        <f t="shared" si="151"/>
        <v>275378</v>
      </c>
      <c r="H100" s="42">
        <v>0</v>
      </c>
      <c r="I100" s="42">
        <v>0</v>
      </c>
      <c r="J100" s="47">
        <f t="shared" si="111"/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7">
        <f t="shared" si="112"/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f t="shared" si="152"/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f t="shared" si="153"/>
        <v>275378</v>
      </c>
      <c r="AG100" s="48"/>
      <c r="AH100" s="42">
        <v>275378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0</v>
      </c>
      <c r="AQ100" s="47">
        <v>0</v>
      </c>
      <c r="AR100" s="47"/>
      <c r="AS100" s="47">
        <v>0</v>
      </c>
      <c r="AT100" s="47">
        <v>0</v>
      </c>
      <c r="AU100" s="47">
        <v>0</v>
      </c>
      <c r="AV100" s="47"/>
      <c r="AW100" s="47"/>
      <c r="AX100" s="47">
        <v>0</v>
      </c>
      <c r="AY100" s="47">
        <v>0</v>
      </c>
      <c r="AZ100" s="47">
        <v>0</v>
      </c>
      <c r="BA100" s="47">
        <v>0</v>
      </c>
      <c r="BB100" s="47"/>
      <c r="BC100" s="47">
        <v>0</v>
      </c>
      <c r="BD100" s="47">
        <f t="shared" si="154"/>
        <v>0</v>
      </c>
      <c r="BE100" s="47">
        <f t="shared" si="155"/>
        <v>0</v>
      </c>
      <c r="BF100" s="47">
        <v>0</v>
      </c>
      <c r="BG100" s="47">
        <v>0</v>
      </c>
      <c r="BH100" s="47">
        <v>0</v>
      </c>
      <c r="BI100" s="47">
        <f t="shared" si="156"/>
        <v>0</v>
      </c>
      <c r="BJ100" s="47">
        <v>0</v>
      </c>
      <c r="BK100" s="47">
        <v>0</v>
      </c>
      <c r="BL100" s="47">
        <v>0</v>
      </c>
      <c r="BM100" s="47">
        <v>0</v>
      </c>
      <c r="BN100" s="47">
        <v>0</v>
      </c>
      <c r="BO100" s="47">
        <f t="shared" si="113"/>
        <v>0</v>
      </c>
      <c r="BP100" s="47">
        <v>0</v>
      </c>
      <c r="BQ100" s="47">
        <v>0</v>
      </c>
      <c r="BR100" s="47">
        <f t="shared" si="157"/>
        <v>0</v>
      </c>
      <c r="BS100" s="47">
        <v>0</v>
      </c>
      <c r="BT100" s="47">
        <v>0</v>
      </c>
      <c r="BU100" s="47">
        <v>0</v>
      </c>
      <c r="BV100" s="47">
        <v>0</v>
      </c>
      <c r="BW100" s="47">
        <v>0</v>
      </c>
      <c r="BX100" s="47">
        <v>0</v>
      </c>
      <c r="BY100" s="47">
        <v>0</v>
      </c>
      <c r="BZ100" s="47">
        <v>0</v>
      </c>
      <c r="CA100" s="47">
        <v>0</v>
      </c>
      <c r="CB100" s="47">
        <v>0</v>
      </c>
      <c r="CC100" s="47">
        <v>0</v>
      </c>
      <c r="CD100" s="47">
        <f t="shared" si="158"/>
        <v>0</v>
      </c>
      <c r="CE100" s="47">
        <f t="shared" si="159"/>
        <v>0</v>
      </c>
      <c r="CF100" s="47">
        <f t="shared" si="114"/>
        <v>0</v>
      </c>
      <c r="CG100" s="47">
        <v>0</v>
      </c>
      <c r="CH100" s="47">
        <v>0</v>
      </c>
      <c r="CI100" s="47">
        <f t="shared" si="160"/>
        <v>0</v>
      </c>
      <c r="CJ100" s="47">
        <v>0</v>
      </c>
      <c r="CK100" s="47">
        <v>0</v>
      </c>
      <c r="CL100" s="47">
        <v>0</v>
      </c>
      <c r="CM100" s="47">
        <v>0</v>
      </c>
      <c r="CN100" s="47">
        <f t="shared" si="161"/>
        <v>0</v>
      </c>
      <c r="CO100" s="47">
        <v>0</v>
      </c>
      <c r="CP100" s="47">
        <v>0</v>
      </c>
      <c r="CQ100" s="47">
        <v>0</v>
      </c>
      <c r="CR100" s="47"/>
      <c r="CS100" s="47"/>
      <c r="CT100" s="47">
        <v>0</v>
      </c>
      <c r="CU100" s="47">
        <v>0</v>
      </c>
      <c r="CV100" s="47">
        <v>0</v>
      </c>
      <c r="CW100" s="47">
        <f t="shared" si="115"/>
        <v>0</v>
      </c>
      <c r="CX100" s="47">
        <f t="shared" si="116"/>
        <v>0</v>
      </c>
      <c r="CY100" s="47">
        <v>0</v>
      </c>
      <c r="CZ100" s="49">
        <v>0</v>
      </c>
    </row>
    <row r="101" spans="1:218" s="63" customFormat="1" ht="31.2" x14ac:dyDescent="0.3">
      <c r="A101" s="43"/>
      <c r="B101" s="44"/>
      <c r="C101" s="50" t="s">
        <v>106</v>
      </c>
      <c r="D101" s="51" t="s">
        <v>572</v>
      </c>
      <c r="E101" s="46">
        <f t="shared" si="149"/>
        <v>284559</v>
      </c>
      <c r="F101" s="47">
        <f t="shared" si="150"/>
        <v>284559</v>
      </c>
      <c r="G101" s="47">
        <f t="shared" si="151"/>
        <v>284559</v>
      </c>
      <c r="H101" s="42">
        <v>0</v>
      </c>
      <c r="I101" s="42">
        <v>0</v>
      </c>
      <c r="J101" s="47">
        <f t="shared" si="111"/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7">
        <f t="shared" si="112"/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f t="shared" si="152"/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f t="shared" si="153"/>
        <v>284559</v>
      </c>
      <c r="AG101" s="48"/>
      <c r="AH101" s="42">
        <v>284559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0</v>
      </c>
      <c r="AP101" s="47">
        <v>0</v>
      </c>
      <c r="AQ101" s="47">
        <v>0</v>
      </c>
      <c r="AR101" s="47"/>
      <c r="AS101" s="47">
        <v>0</v>
      </c>
      <c r="AT101" s="47">
        <v>0</v>
      </c>
      <c r="AU101" s="47">
        <v>0</v>
      </c>
      <c r="AV101" s="47"/>
      <c r="AW101" s="47"/>
      <c r="AX101" s="47">
        <v>0</v>
      </c>
      <c r="AY101" s="47">
        <v>0</v>
      </c>
      <c r="AZ101" s="47">
        <v>0</v>
      </c>
      <c r="BA101" s="47">
        <v>0</v>
      </c>
      <c r="BB101" s="47"/>
      <c r="BC101" s="47">
        <v>0</v>
      </c>
      <c r="BD101" s="47">
        <f t="shared" si="154"/>
        <v>0</v>
      </c>
      <c r="BE101" s="47">
        <f t="shared" si="155"/>
        <v>0</v>
      </c>
      <c r="BF101" s="47">
        <v>0</v>
      </c>
      <c r="BG101" s="47">
        <v>0</v>
      </c>
      <c r="BH101" s="47">
        <v>0</v>
      </c>
      <c r="BI101" s="47">
        <f t="shared" si="156"/>
        <v>0</v>
      </c>
      <c r="BJ101" s="47">
        <v>0</v>
      </c>
      <c r="BK101" s="47">
        <v>0</v>
      </c>
      <c r="BL101" s="47">
        <v>0</v>
      </c>
      <c r="BM101" s="47">
        <v>0</v>
      </c>
      <c r="BN101" s="47">
        <v>0</v>
      </c>
      <c r="BO101" s="47">
        <f t="shared" si="113"/>
        <v>0</v>
      </c>
      <c r="BP101" s="47">
        <v>0</v>
      </c>
      <c r="BQ101" s="47">
        <v>0</v>
      </c>
      <c r="BR101" s="47">
        <f t="shared" si="157"/>
        <v>0</v>
      </c>
      <c r="BS101" s="47">
        <v>0</v>
      </c>
      <c r="BT101" s="47">
        <v>0</v>
      </c>
      <c r="BU101" s="47">
        <v>0</v>
      </c>
      <c r="BV101" s="47">
        <v>0</v>
      </c>
      <c r="BW101" s="47">
        <v>0</v>
      </c>
      <c r="BX101" s="47">
        <v>0</v>
      </c>
      <c r="BY101" s="47">
        <v>0</v>
      </c>
      <c r="BZ101" s="47">
        <v>0</v>
      </c>
      <c r="CA101" s="47">
        <v>0</v>
      </c>
      <c r="CB101" s="47">
        <v>0</v>
      </c>
      <c r="CC101" s="47">
        <v>0</v>
      </c>
      <c r="CD101" s="47">
        <f t="shared" si="158"/>
        <v>0</v>
      </c>
      <c r="CE101" s="47">
        <f t="shared" si="159"/>
        <v>0</v>
      </c>
      <c r="CF101" s="47">
        <f t="shared" si="114"/>
        <v>0</v>
      </c>
      <c r="CG101" s="47">
        <v>0</v>
      </c>
      <c r="CH101" s="47">
        <v>0</v>
      </c>
      <c r="CI101" s="47">
        <f t="shared" si="160"/>
        <v>0</v>
      </c>
      <c r="CJ101" s="47">
        <v>0</v>
      </c>
      <c r="CK101" s="47">
        <v>0</v>
      </c>
      <c r="CL101" s="47">
        <v>0</v>
      </c>
      <c r="CM101" s="47">
        <v>0</v>
      </c>
      <c r="CN101" s="47">
        <f t="shared" si="161"/>
        <v>0</v>
      </c>
      <c r="CO101" s="47">
        <v>0</v>
      </c>
      <c r="CP101" s="47">
        <v>0</v>
      </c>
      <c r="CQ101" s="47">
        <v>0</v>
      </c>
      <c r="CR101" s="47"/>
      <c r="CS101" s="47"/>
      <c r="CT101" s="47">
        <v>0</v>
      </c>
      <c r="CU101" s="47">
        <v>0</v>
      </c>
      <c r="CV101" s="47">
        <v>0</v>
      </c>
      <c r="CW101" s="47">
        <f t="shared" si="115"/>
        <v>0</v>
      </c>
      <c r="CX101" s="47">
        <f t="shared" si="116"/>
        <v>0</v>
      </c>
      <c r="CY101" s="47">
        <v>0</v>
      </c>
      <c r="CZ101" s="49">
        <v>0</v>
      </c>
    </row>
    <row r="102" spans="1:218" s="63" customFormat="1" ht="31.2" x14ac:dyDescent="0.3">
      <c r="A102" s="31" t="s">
        <v>199</v>
      </c>
      <c r="B102" s="32" t="s">
        <v>1</v>
      </c>
      <c r="C102" s="32" t="s">
        <v>1</v>
      </c>
      <c r="D102" s="33" t="s">
        <v>200</v>
      </c>
      <c r="E102" s="34">
        <f>SUM(E103)</f>
        <v>193892135</v>
      </c>
      <c r="F102" s="35">
        <f t="shared" ref="F102:BX103" si="171">SUM(F103)</f>
        <v>193892135</v>
      </c>
      <c r="G102" s="35">
        <f t="shared" si="171"/>
        <v>0</v>
      </c>
      <c r="H102" s="35">
        <f t="shared" si="171"/>
        <v>0</v>
      </c>
      <c r="I102" s="35">
        <f t="shared" si="171"/>
        <v>0</v>
      </c>
      <c r="J102" s="35">
        <f t="shared" si="171"/>
        <v>0</v>
      </c>
      <c r="K102" s="35">
        <f t="shared" si="171"/>
        <v>0</v>
      </c>
      <c r="L102" s="35">
        <f t="shared" si="171"/>
        <v>0</v>
      </c>
      <c r="M102" s="35">
        <f t="shared" si="171"/>
        <v>0</v>
      </c>
      <c r="N102" s="35">
        <f t="shared" si="171"/>
        <v>0</v>
      </c>
      <c r="O102" s="35">
        <f t="shared" si="171"/>
        <v>0</v>
      </c>
      <c r="P102" s="35">
        <f t="shared" si="171"/>
        <v>0</v>
      </c>
      <c r="Q102" s="35">
        <f t="shared" si="171"/>
        <v>0</v>
      </c>
      <c r="R102" s="35">
        <f t="shared" si="171"/>
        <v>0</v>
      </c>
      <c r="S102" s="35">
        <f t="shared" si="171"/>
        <v>0</v>
      </c>
      <c r="T102" s="35">
        <f t="shared" si="171"/>
        <v>0</v>
      </c>
      <c r="U102" s="35">
        <f t="shared" si="171"/>
        <v>0</v>
      </c>
      <c r="V102" s="35">
        <f t="shared" si="171"/>
        <v>0</v>
      </c>
      <c r="W102" s="35">
        <f t="shared" si="171"/>
        <v>0</v>
      </c>
      <c r="X102" s="35">
        <f t="shared" si="171"/>
        <v>0</v>
      </c>
      <c r="Y102" s="35">
        <f t="shared" si="171"/>
        <v>0</v>
      </c>
      <c r="Z102" s="35">
        <f t="shared" si="171"/>
        <v>0</v>
      </c>
      <c r="AA102" s="35">
        <f t="shared" si="171"/>
        <v>0</v>
      </c>
      <c r="AB102" s="35">
        <f t="shared" si="171"/>
        <v>0</v>
      </c>
      <c r="AC102" s="35">
        <f t="shared" si="171"/>
        <v>0</v>
      </c>
      <c r="AD102" s="35">
        <f t="shared" si="171"/>
        <v>0</v>
      </c>
      <c r="AE102" s="35">
        <f t="shared" si="171"/>
        <v>0</v>
      </c>
      <c r="AF102" s="35">
        <f t="shared" si="171"/>
        <v>0</v>
      </c>
      <c r="AG102" s="35">
        <f t="shared" si="171"/>
        <v>0</v>
      </c>
      <c r="AH102" s="35">
        <f t="shared" si="171"/>
        <v>0</v>
      </c>
      <c r="AI102" s="35">
        <f t="shared" si="171"/>
        <v>0</v>
      </c>
      <c r="AJ102" s="35">
        <f t="shared" si="171"/>
        <v>0</v>
      </c>
      <c r="AK102" s="35">
        <f t="shared" si="171"/>
        <v>0</v>
      </c>
      <c r="AL102" s="35">
        <f t="shared" si="171"/>
        <v>0</v>
      </c>
      <c r="AM102" s="35">
        <f t="shared" si="171"/>
        <v>0</v>
      </c>
      <c r="AN102" s="35">
        <f t="shared" si="171"/>
        <v>0</v>
      </c>
      <c r="AO102" s="35">
        <f t="shared" si="171"/>
        <v>0</v>
      </c>
      <c r="AP102" s="35">
        <f t="shared" si="171"/>
        <v>0</v>
      </c>
      <c r="AQ102" s="35">
        <f t="shared" si="171"/>
        <v>0</v>
      </c>
      <c r="AR102" s="35"/>
      <c r="AS102" s="35">
        <f t="shared" si="171"/>
        <v>0</v>
      </c>
      <c r="AT102" s="35">
        <f t="shared" si="171"/>
        <v>0</v>
      </c>
      <c r="AU102" s="35">
        <f t="shared" si="171"/>
        <v>0</v>
      </c>
      <c r="AV102" s="35"/>
      <c r="AW102" s="35"/>
      <c r="AX102" s="35">
        <f t="shared" si="171"/>
        <v>0</v>
      </c>
      <c r="AY102" s="35">
        <f t="shared" si="171"/>
        <v>0</v>
      </c>
      <c r="AZ102" s="35">
        <f t="shared" si="171"/>
        <v>0</v>
      </c>
      <c r="BA102" s="35">
        <f t="shared" si="171"/>
        <v>0</v>
      </c>
      <c r="BB102" s="35"/>
      <c r="BC102" s="35">
        <f t="shared" si="171"/>
        <v>0</v>
      </c>
      <c r="BD102" s="35">
        <f t="shared" si="171"/>
        <v>193892135</v>
      </c>
      <c r="BE102" s="35">
        <f t="shared" si="171"/>
        <v>193892135</v>
      </c>
      <c r="BF102" s="35">
        <f t="shared" si="171"/>
        <v>193892135</v>
      </c>
      <c r="BG102" s="35">
        <f t="shared" si="171"/>
        <v>0</v>
      </c>
      <c r="BH102" s="35">
        <f t="shared" si="171"/>
        <v>0</v>
      </c>
      <c r="BI102" s="35">
        <f t="shared" si="171"/>
        <v>0</v>
      </c>
      <c r="BJ102" s="35">
        <f t="shared" si="171"/>
        <v>0</v>
      </c>
      <c r="BK102" s="35">
        <f t="shared" si="171"/>
        <v>0</v>
      </c>
      <c r="BL102" s="35">
        <f t="shared" si="171"/>
        <v>0</v>
      </c>
      <c r="BM102" s="35">
        <f t="shared" si="171"/>
        <v>0</v>
      </c>
      <c r="BN102" s="35">
        <f t="shared" si="171"/>
        <v>0</v>
      </c>
      <c r="BO102" s="35">
        <f t="shared" si="171"/>
        <v>0</v>
      </c>
      <c r="BP102" s="35">
        <f t="shared" si="171"/>
        <v>0</v>
      </c>
      <c r="BQ102" s="35">
        <f t="shared" si="171"/>
        <v>0</v>
      </c>
      <c r="BR102" s="35">
        <f t="shared" si="171"/>
        <v>0</v>
      </c>
      <c r="BS102" s="35">
        <f t="shared" si="171"/>
        <v>0</v>
      </c>
      <c r="BT102" s="35">
        <f t="shared" si="171"/>
        <v>0</v>
      </c>
      <c r="BU102" s="35">
        <f t="shared" si="171"/>
        <v>0</v>
      </c>
      <c r="BV102" s="35">
        <f t="shared" si="171"/>
        <v>0</v>
      </c>
      <c r="BW102" s="35">
        <f t="shared" si="171"/>
        <v>0</v>
      </c>
      <c r="BX102" s="35">
        <f t="shared" si="171"/>
        <v>0</v>
      </c>
      <c r="BY102" s="35">
        <f t="shared" ref="BY102:CZ103" si="172">SUM(BY103)</f>
        <v>0</v>
      </c>
      <c r="BZ102" s="35">
        <f t="shared" si="172"/>
        <v>0</v>
      </c>
      <c r="CA102" s="35">
        <f t="shared" si="172"/>
        <v>0</v>
      </c>
      <c r="CB102" s="35">
        <f t="shared" si="172"/>
        <v>0</v>
      </c>
      <c r="CC102" s="35">
        <f t="shared" si="172"/>
        <v>0</v>
      </c>
      <c r="CD102" s="35">
        <f t="shared" si="172"/>
        <v>0</v>
      </c>
      <c r="CE102" s="35">
        <f t="shared" si="172"/>
        <v>0</v>
      </c>
      <c r="CF102" s="35">
        <f t="shared" si="172"/>
        <v>0</v>
      </c>
      <c r="CG102" s="35">
        <f t="shared" si="172"/>
        <v>0</v>
      </c>
      <c r="CH102" s="35">
        <f t="shared" si="172"/>
        <v>0</v>
      </c>
      <c r="CI102" s="35">
        <f t="shared" si="172"/>
        <v>0</v>
      </c>
      <c r="CJ102" s="35">
        <f t="shared" si="172"/>
        <v>0</v>
      </c>
      <c r="CK102" s="35">
        <f t="shared" si="172"/>
        <v>0</v>
      </c>
      <c r="CL102" s="35">
        <f t="shared" si="172"/>
        <v>0</v>
      </c>
      <c r="CM102" s="35">
        <f t="shared" si="172"/>
        <v>0</v>
      </c>
      <c r="CN102" s="35">
        <f t="shared" si="172"/>
        <v>0</v>
      </c>
      <c r="CO102" s="35">
        <f t="shared" si="172"/>
        <v>0</v>
      </c>
      <c r="CP102" s="35">
        <f t="shared" si="172"/>
        <v>0</v>
      </c>
      <c r="CQ102" s="35">
        <f t="shared" si="172"/>
        <v>0</v>
      </c>
      <c r="CR102" s="35"/>
      <c r="CS102" s="35"/>
      <c r="CT102" s="35">
        <f t="shared" si="172"/>
        <v>0</v>
      </c>
      <c r="CU102" s="35">
        <f t="shared" si="172"/>
        <v>0</v>
      </c>
      <c r="CV102" s="35">
        <f t="shared" si="172"/>
        <v>0</v>
      </c>
      <c r="CW102" s="35">
        <f t="shared" si="172"/>
        <v>0</v>
      </c>
      <c r="CX102" s="35">
        <f t="shared" si="172"/>
        <v>0</v>
      </c>
      <c r="CY102" s="35">
        <f t="shared" si="172"/>
        <v>0</v>
      </c>
      <c r="CZ102" s="36">
        <f t="shared" si="172"/>
        <v>0</v>
      </c>
    </row>
    <row r="103" spans="1:218" ht="31.2" x14ac:dyDescent="0.3">
      <c r="A103" s="20"/>
      <c r="B103" s="21" t="s">
        <v>201</v>
      </c>
      <c r="C103" s="21" t="s">
        <v>1</v>
      </c>
      <c r="D103" s="22" t="s">
        <v>202</v>
      </c>
      <c r="E103" s="23">
        <f>SUM(E104)</f>
        <v>193892135</v>
      </c>
      <c r="F103" s="24">
        <f t="shared" si="171"/>
        <v>193892135</v>
      </c>
      <c r="G103" s="24">
        <f t="shared" si="171"/>
        <v>0</v>
      </c>
      <c r="H103" s="24">
        <f t="shared" si="171"/>
        <v>0</v>
      </c>
      <c r="I103" s="24">
        <f t="shared" si="171"/>
        <v>0</v>
      </c>
      <c r="J103" s="24">
        <f t="shared" si="171"/>
        <v>0</v>
      </c>
      <c r="K103" s="24">
        <f t="shared" si="171"/>
        <v>0</v>
      </c>
      <c r="L103" s="24">
        <f t="shared" si="171"/>
        <v>0</v>
      </c>
      <c r="M103" s="24">
        <f t="shared" si="171"/>
        <v>0</v>
      </c>
      <c r="N103" s="24">
        <f t="shared" si="171"/>
        <v>0</v>
      </c>
      <c r="O103" s="24">
        <f t="shared" si="171"/>
        <v>0</v>
      </c>
      <c r="P103" s="24">
        <f t="shared" si="171"/>
        <v>0</v>
      </c>
      <c r="Q103" s="24">
        <f t="shared" si="171"/>
        <v>0</v>
      </c>
      <c r="R103" s="24">
        <f t="shared" si="171"/>
        <v>0</v>
      </c>
      <c r="S103" s="24">
        <f t="shared" si="171"/>
        <v>0</v>
      </c>
      <c r="T103" s="24">
        <f t="shared" si="171"/>
        <v>0</v>
      </c>
      <c r="U103" s="24">
        <f t="shared" si="171"/>
        <v>0</v>
      </c>
      <c r="V103" s="24">
        <f t="shared" si="171"/>
        <v>0</v>
      </c>
      <c r="W103" s="24">
        <f t="shared" si="171"/>
        <v>0</v>
      </c>
      <c r="X103" s="24">
        <f t="shared" si="171"/>
        <v>0</v>
      </c>
      <c r="Y103" s="24">
        <f t="shared" si="171"/>
        <v>0</v>
      </c>
      <c r="Z103" s="24">
        <f t="shared" si="171"/>
        <v>0</v>
      </c>
      <c r="AA103" s="24">
        <f t="shared" si="171"/>
        <v>0</v>
      </c>
      <c r="AB103" s="24">
        <f t="shared" si="171"/>
        <v>0</v>
      </c>
      <c r="AC103" s="24">
        <f t="shared" si="171"/>
        <v>0</v>
      </c>
      <c r="AD103" s="24">
        <f t="shared" si="171"/>
        <v>0</v>
      </c>
      <c r="AE103" s="24">
        <f t="shared" si="171"/>
        <v>0</v>
      </c>
      <c r="AF103" s="24">
        <f t="shared" si="171"/>
        <v>0</v>
      </c>
      <c r="AG103" s="24">
        <f t="shared" si="171"/>
        <v>0</v>
      </c>
      <c r="AH103" s="24">
        <f t="shared" si="171"/>
        <v>0</v>
      </c>
      <c r="AI103" s="24">
        <f t="shared" si="171"/>
        <v>0</v>
      </c>
      <c r="AJ103" s="24">
        <f t="shared" si="171"/>
        <v>0</v>
      </c>
      <c r="AK103" s="24">
        <f t="shared" si="171"/>
        <v>0</v>
      </c>
      <c r="AL103" s="24">
        <f t="shared" si="171"/>
        <v>0</v>
      </c>
      <c r="AM103" s="24">
        <f t="shared" si="171"/>
        <v>0</v>
      </c>
      <c r="AN103" s="24">
        <f t="shared" si="171"/>
        <v>0</v>
      </c>
      <c r="AO103" s="24">
        <f t="shared" si="171"/>
        <v>0</v>
      </c>
      <c r="AP103" s="24">
        <f t="shared" si="171"/>
        <v>0</v>
      </c>
      <c r="AQ103" s="24">
        <f t="shared" si="171"/>
        <v>0</v>
      </c>
      <c r="AR103" s="24"/>
      <c r="AS103" s="24">
        <f t="shared" si="171"/>
        <v>0</v>
      </c>
      <c r="AT103" s="24">
        <f t="shared" si="171"/>
        <v>0</v>
      </c>
      <c r="AU103" s="24">
        <f t="shared" si="171"/>
        <v>0</v>
      </c>
      <c r="AV103" s="24"/>
      <c r="AW103" s="24"/>
      <c r="AX103" s="24">
        <f t="shared" si="171"/>
        <v>0</v>
      </c>
      <c r="AY103" s="24">
        <f t="shared" si="171"/>
        <v>0</v>
      </c>
      <c r="AZ103" s="24">
        <f t="shared" si="171"/>
        <v>0</v>
      </c>
      <c r="BA103" s="24">
        <f t="shared" si="171"/>
        <v>0</v>
      </c>
      <c r="BB103" s="24"/>
      <c r="BC103" s="24">
        <f t="shared" si="171"/>
        <v>0</v>
      </c>
      <c r="BD103" s="24">
        <f t="shared" si="171"/>
        <v>193892135</v>
      </c>
      <c r="BE103" s="24">
        <f t="shared" si="171"/>
        <v>193892135</v>
      </c>
      <c r="BF103" s="24">
        <f t="shared" si="171"/>
        <v>193892135</v>
      </c>
      <c r="BG103" s="24">
        <f t="shared" si="171"/>
        <v>0</v>
      </c>
      <c r="BH103" s="24">
        <f t="shared" si="171"/>
        <v>0</v>
      </c>
      <c r="BI103" s="24">
        <f t="shared" si="171"/>
        <v>0</v>
      </c>
      <c r="BJ103" s="24">
        <f t="shared" si="171"/>
        <v>0</v>
      </c>
      <c r="BK103" s="24">
        <f t="shared" si="171"/>
        <v>0</v>
      </c>
      <c r="BL103" s="24">
        <f t="shared" si="171"/>
        <v>0</v>
      </c>
      <c r="BM103" s="24">
        <f t="shared" si="171"/>
        <v>0</v>
      </c>
      <c r="BN103" s="24">
        <f t="shared" si="171"/>
        <v>0</v>
      </c>
      <c r="BO103" s="24">
        <f t="shared" si="171"/>
        <v>0</v>
      </c>
      <c r="BP103" s="24">
        <f t="shared" si="171"/>
        <v>0</v>
      </c>
      <c r="BQ103" s="24">
        <f t="shared" si="171"/>
        <v>0</v>
      </c>
      <c r="BR103" s="24">
        <f t="shared" si="171"/>
        <v>0</v>
      </c>
      <c r="BS103" s="24">
        <f t="shared" si="171"/>
        <v>0</v>
      </c>
      <c r="BT103" s="24">
        <f t="shared" si="171"/>
        <v>0</v>
      </c>
      <c r="BU103" s="24">
        <f t="shared" si="171"/>
        <v>0</v>
      </c>
      <c r="BV103" s="24">
        <f t="shared" si="171"/>
        <v>0</v>
      </c>
      <c r="BW103" s="24">
        <f t="shared" si="171"/>
        <v>0</v>
      </c>
      <c r="BX103" s="24">
        <f t="shared" si="171"/>
        <v>0</v>
      </c>
      <c r="BY103" s="24">
        <f t="shared" si="172"/>
        <v>0</v>
      </c>
      <c r="BZ103" s="24">
        <f t="shared" si="172"/>
        <v>0</v>
      </c>
      <c r="CA103" s="24">
        <f t="shared" si="172"/>
        <v>0</v>
      </c>
      <c r="CB103" s="24">
        <f t="shared" si="172"/>
        <v>0</v>
      </c>
      <c r="CC103" s="24">
        <f t="shared" si="172"/>
        <v>0</v>
      </c>
      <c r="CD103" s="24">
        <f t="shared" si="172"/>
        <v>0</v>
      </c>
      <c r="CE103" s="24">
        <f t="shared" si="172"/>
        <v>0</v>
      </c>
      <c r="CF103" s="24">
        <f t="shared" si="172"/>
        <v>0</v>
      </c>
      <c r="CG103" s="24">
        <f t="shared" si="172"/>
        <v>0</v>
      </c>
      <c r="CH103" s="24">
        <f t="shared" si="172"/>
        <v>0</v>
      </c>
      <c r="CI103" s="24">
        <f t="shared" si="172"/>
        <v>0</v>
      </c>
      <c r="CJ103" s="24">
        <f t="shared" si="172"/>
        <v>0</v>
      </c>
      <c r="CK103" s="24">
        <f t="shared" si="172"/>
        <v>0</v>
      </c>
      <c r="CL103" s="24">
        <f t="shared" si="172"/>
        <v>0</v>
      </c>
      <c r="CM103" s="24">
        <f t="shared" si="172"/>
        <v>0</v>
      </c>
      <c r="CN103" s="24">
        <f t="shared" si="172"/>
        <v>0</v>
      </c>
      <c r="CO103" s="24">
        <f t="shared" si="172"/>
        <v>0</v>
      </c>
      <c r="CP103" s="24">
        <f t="shared" si="172"/>
        <v>0</v>
      </c>
      <c r="CQ103" s="24">
        <f t="shared" si="172"/>
        <v>0</v>
      </c>
      <c r="CR103" s="24"/>
      <c r="CS103" s="24"/>
      <c r="CT103" s="24">
        <f t="shared" si="172"/>
        <v>0</v>
      </c>
      <c r="CU103" s="24">
        <f t="shared" si="172"/>
        <v>0</v>
      </c>
      <c r="CV103" s="24">
        <f t="shared" si="172"/>
        <v>0</v>
      </c>
      <c r="CW103" s="24">
        <f t="shared" si="172"/>
        <v>0</v>
      </c>
      <c r="CX103" s="24">
        <f t="shared" si="172"/>
        <v>0</v>
      </c>
      <c r="CY103" s="24">
        <f t="shared" si="172"/>
        <v>0</v>
      </c>
      <c r="CZ103" s="25">
        <f t="shared" si="172"/>
        <v>0</v>
      </c>
      <c r="HJ103" s="63"/>
    </row>
    <row r="104" spans="1:218" ht="15.6" x14ac:dyDescent="0.3">
      <c r="A104" s="26" t="s">
        <v>1</v>
      </c>
      <c r="B104" s="27" t="s">
        <v>1</v>
      </c>
      <c r="C104" s="27" t="s">
        <v>82</v>
      </c>
      <c r="D104" s="28" t="s">
        <v>203</v>
      </c>
      <c r="E104" s="23">
        <f>SUM(F104+CD104+CW104)</f>
        <v>193892135</v>
      </c>
      <c r="F104" s="24">
        <f>SUM(G104+BD104)</f>
        <v>193892135</v>
      </c>
      <c r="G104" s="24">
        <f>SUM(H104+I104+J104+Q104+T104+U104+V104+AF104+AE104)</f>
        <v>0</v>
      </c>
      <c r="H104" s="24">
        <v>0</v>
      </c>
      <c r="I104" s="24">
        <v>0</v>
      </c>
      <c r="J104" s="24">
        <f t="shared" si="111"/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f t="shared" si="112"/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f>SUM(W104:AD104)</f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f>SUM(AG104:BC104)</f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/>
      <c r="AS104" s="24">
        <v>0</v>
      </c>
      <c r="AT104" s="24">
        <v>0</v>
      </c>
      <c r="AU104" s="24">
        <v>0</v>
      </c>
      <c r="AV104" s="24"/>
      <c r="AW104" s="24"/>
      <c r="AX104" s="24">
        <v>0</v>
      </c>
      <c r="AY104" s="24">
        <v>0</v>
      </c>
      <c r="AZ104" s="24">
        <v>0</v>
      </c>
      <c r="BA104" s="24">
        <v>0</v>
      </c>
      <c r="BB104" s="24"/>
      <c r="BC104" s="24">
        <v>0</v>
      </c>
      <c r="BD104" s="24">
        <f>SUM(BE104+BI104+BM104+BO104+BR104)</f>
        <v>193892135</v>
      </c>
      <c r="BE104" s="24">
        <f>SUM(BF104:BH104)</f>
        <v>193892135</v>
      </c>
      <c r="BF104" s="24">
        <v>193892135</v>
      </c>
      <c r="BG104" s="24">
        <v>0</v>
      </c>
      <c r="BH104" s="24">
        <v>0</v>
      </c>
      <c r="BI104" s="24">
        <f>SUM(BL104:BL104)</f>
        <v>0</v>
      </c>
      <c r="BJ104" s="24">
        <v>0</v>
      </c>
      <c r="BK104" s="24">
        <v>0</v>
      </c>
      <c r="BL104" s="24">
        <v>0</v>
      </c>
      <c r="BM104" s="24">
        <v>0</v>
      </c>
      <c r="BN104" s="24">
        <v>0</v>
      </c>
      <c r="BO104" s="24">
        <f t="shared" si="113"/>
        <v>0</v>
      </c>
      <c r="BP104" s="24">
        <v>0</v>
      </c>
      <c r="BQ104" s="24">
        <v>0</v>
      </c>
      <c r="BR104" s="24">
        <f>SUM(BS104:CC104)</f>
        <v>0</v>
      </c>
      <c r="BS104" s="24">
        <v>0</v>
      </c>
      <c r="BT104" s="24">
        <v>0</v>
      </c>
      <c r="BU104" s="24">
        <v>0</v>
      </c>
      <c r="BV104" s="24">
        <v>0</v>
      </c>
      <c r="BW104" s="24">
        <v>0</v>
      </c>
      <c r="BX104" s="24">
        <v>0</v>
      </c>
      <c r="BY104" s="24">
        <v>0</v>
      </c>
      <c r="BZ104" s="24">
        <v>0</v>
      </c>
      <c r="CA104" s="24">
        <v>0</v>
      </c>
      <c r="CB104" s="24">
        <v>0</v>
      </c>
      <c r="CC104" s="24">
        <v>0</v>
      </c>
      <c r="CD104" s="24">
        <f>SUM(CE104+CV104)</f>
        <v>0</v>
      </c>
      <c r="CE104" s="24">
        <f>SUM(CF104+CI104+CN104)</f>
        <v>0</v>
      </c>
      <c r="CF104" s="24">
        <f t="shared" si="114"/>
        <v>0</v>
      </c>
      <c r="CG104" s="24">
        <v>0</v>
      </c>
      <c r="CH104" s="24">
        <v>0</v>
      </c>
      <c r="CI104" s="24">
        <f>SUM(CJ104:CM104)</f>
        <v>0</v>
      </c>
      <c r="CJ104" s="24">
        <v>0</v>
      </c>
      <c r="CK104" s="24">
        <v>0</v>
      </c>
      <c r="CL104" s="24">
        <v>0</v>
      </c>
      <c r="CM104" s="24">
        <v>0</v>
      </c>
      <c r="CN104" s="24">
        <f>SUM(CO104:CS104)</f>
        <v>0</v>
      </c>
      <c r="CO104" s="24">
        <v>0</v>
      </c>
      <c r="CP104" s="24">
        <v>0</v>
      </c>
      <c r="CQ104" s="24">
        <v>0</v>
      </c>
      <c r="CR104" s="24"/>
      <c r="CS104" s="24"/>
      <c r="CT104" s="24">
        <v>0</v>
      </c>
      <c r="CU104" s="24">
        <v>0</v>
      </c>
      <c r="CV104" s="24">
        <v>0</v>
      </c>
      <c r="CW104" s="24">
        <f t="shared" si="115"/>
        <v>0</v>
      </c>
      <c r="CX104" s="24">
        <f t="shared" si="116"/>
        <v>0</v>
      </c>
      <c r="CY104" s="24">
        <v>0</v>
      </c>
      <c r="CZ104" s="25">
        <v>0</v>
      </c>
    </row>
    <row r="105" spans="1:218" ht="15.6" x14ac:dyDescent="0.3">
      <c r="A105" s="31" t="s">
        <v>204</v>
      </c>
      <c r="B105" s="32" t="s">
        <v>1</v>
      </c>
      <c r="C105" s="32" t="s">
        <v>1</v>
      </c>
      <c r="D105" s="33" t="s">
        <v>205</v>
      </c>
      <c r="E105" s="34">
        <f t="shared" ref="E105:AL105" si="173">SUM(E106)</f>
        <v>5343075</v>
      </c>
      <c r="F105" s="35">
        <f t="shared" si="173"/>
        <v>5343075</v>
      </c>
      <c r="G105" s="35">
        <f t="shared" si="173"/>
        <v>5343075</v>
      </c>
      <c r="H105" s="35">
        <f t="shared" si="173"/>
        <v>4333184</v>
      </c>
      <c r="I105" s="35">
        <f t="shared" si="173"/>
        <v>1009891</v>
      </c>
      <c r="J105" s="35">
        <f t="shared" si="173"/>
        <v>0</v>
      </c>
      <c r="K105" s="35">
        <f t="shared" si="173"/>
        <v>0</v>
      </c>
      <c r="L105" s="35">
        <f t="shared" si="173"/>
        <v>0</v>
      </c>
      <c r="M105" s="35">
        <f t="shared" si="173"/>
        <v>0</v>
      </c>
      <c r="N105" s="35">
        <f t="shared" si="173"/>
        <v>0</v>
      </c>
      <c r="O105" s="35">
        <f t="shared" si="173"/>
        <v>0</v>
      </c>
      <c r="P105" s="35">
        <f t="shared" si="173"/>
        <v>0</v>
      </c>
      <c r="Q105" s="35">
        <f t="shared" si="173"/>
        <v>0</v>
      </c>
      <c r="R105" s="35">
        <f t="shared" si="173"/>
        <v>0</v>
      </c>
      <c r="S105" s="35">
        <f t="shared" si="173"/>
        <v>0</v>
      </c>
      <c r="T105" s="35">
        <f t="shared" si="173"/>
        <v>0</v>
      </c>
      <c r="U105" s="35">
        <f t="shared" si="173"/>
        <v>0</v>
      </c>
      <c r="V105" s="35">
        <f t="shared" si="173"/>
        <v>0</v>
      </c>
      <c r="W105" s="35">
        <f t="shared" si="173"/>
        <v>0</v>
      </c>
      <c r="X105" s="35">
        <f t="shared" si="173"/>
        <v>0</v>
      </c>
      <c r="Y105" s="35">
        <f t="shared" si="173"/>
        <v>0</v>
      </c>
      <c r="Z105" s="35">
        <f t="shared" si="173"/>
        <v>0</v>
      </c>
      <c r="AA105" s="35">
        <f t="shared" si="173"/>
        <v>0</v>
      </c>
      <c r="AB105" s="35">
        <f t="shared" si="173"/>
        <v>0</v>
      </c>
      <c r="AC105" s="35">
        <f t="shared" si="173"/>
        <v>0</v>
      </c>
      <c r="AD105" s="35">
        <f t="shared" si="173"/>
        <v>0</v>
      </c>
      <c r="AE105" s="35">
        <f t="shared" si="173"/>
        <v>0</v>
      </c>
      <c r="AF105" s="35">
        <f t="shared" si="173"/>
        <v>0</v>
      </c>
      <c r="AG105" s="35">
        <f t="shared" si="173"/>
        <v>0</v>
      </c>
      <c r="AH105" s="35">
        <f t="shared" si="173"/>
        <v>0</v>
      </c>
      <c r="AI105" s="35">
        <f t="shared" si="173"/>
        <v>0</v>
      </c>
      <c r="AJ105" s="35">
        <f t="shared" si="173"/>
        <v>0</v>
      </c>
      <c r="AK105" s="35">
        <f t="shared" si="173"/>
        <v>0</v>
      </c>
      <c r="AL105" s="35">
        <f t="shared" si="173"/>
        <v>0</v>
      </c>
      <c r="AM105" s="35">
        <f t="shared" ref="AM105:CZ105" si="174">SUM(AM106)</f>
        <v>0</v>
      </c>
      <c r="AN105" s="35">
        <f t="shared" si="174"/>
        <v>0</v>
      </c>
      <c r="AO105" s="35">
        <f t="shared" si="174"/>
        <v>0</v>
      </c>
      <c r="AP105" s="35">
        <f t="shared" si="174"/>
        <v>0</v>
      </c>
      <c r="AQ105" s="35">
        <f t="shared" si="174"/>
        <v>0</v>
      </c>
      <c r="AR105" s="35"/>
      <c r="AS105" s="35">
        <f t="shared" si="174"/>
        <v>0</v>
      </c>
      <c r="AT105" s="35">
        <f t="shared" si="174"/>
        <v>0</v>
      </c>
      <c r="AU105" s="35">
        <f t="shared" si="174"/>
        <v>0</v>
      </c>
      <c r="AV105" s="35"/>
      <c r="AW105" s="35"/>
      <c r="AX105" s="35">
        <f t="shared" si="174"/>
        <v>0</v>
      </c>
      <c r="AY105" s="35">
        <f t="shared" si="174"/>
        <v>0</v>
      </c>
      <c r="AZ105" s="35">
        <f t="shared" si="174"/>
        <v>0</v>
      </c>
      <c r="BA105" s="35">
        <f t="shared" si="174"/>
        <v>0</v>
      </c>
      <c r="BB105" s="35"/>
      <c r="BC105" s="35">
        <f t="shared" si="174"/>
        <v>0</v>
      </c>
      <c r="BD105" s="35">
        <f t="shared" si="174"/>
        <v>0</v>
      </c>
      <c r="BE105" s="35">
        <f t="shared" si="174"/>
        <v>0</v>
      </c>
      <c r="BF105" s="35">
        <f t="shared" si="174"/>
        <v>0</v>
      </c>
      <c r="BG105" s="35">
        <f t="shared" si="174"/>
        <v>0</v>
      </c>
      <c r="BH105" s="35">
        <f t="shared" si="174"/>
        <v>0</v>
      </c>
      <c r="BI105" s="35">
        <f t="shared" si="174"/>
        <v>0</v>
      </c>
      <c r="BJ105" s="35">
        <f t="shared" si="174"/>
        <v>0</v>
      </c>
      <c r="BK105" s="35">
        <f t="shared" si="174"/>
        <v>0</v>
      </c>
      <c r="BL105" s="35">
        <f t="shared" si="174"/>
        <v>0</v>
      </c>
      <c r="BM105" s="35">
        <f t="shared" si="174"/>
        <v>0</v>
      </c>
      <c r="BN105" s="35">
        <f t="shared" si="174"/>
        <v>0</v>
      </c>
      <c r="BO105" s="35">
        <f t="shared" si="174"/>
        <v>0</v>
      </c>
      <c r="BP105" s="35">
        <f t="shared" si="174"/>
        <v>0</v>
      </c>
      <c r="BQ105" s="35">
        <f t="shared" si="174"/>
        <v>0</v>
      </c>
      <c r="BR105" s="35">
        <f t="shared" si="174"/>
        <v>0</v>
      </c>
      <c r="BS105" s="35">
        <f t="shared" si="174"/>
        <v>0</v>
      </c>
      <c r="BT105" s="35">
        <f t="shared" si="174"/>
        <v>0</v>
      </c>
      <c r="BU105" s="35">
        <f t="shared" si="174"/>
        <v>0</v>
      </c>
      <c r="BV105" s="35">
        <f t="shared" si="174"/>
        <v>0</v>
      </c>
      <c r="BW105" s="35">
        <f t="shared" si="174"/>
        <v>0</v>
      </c>
      <c r="BX105" s="35">
        <f t="shared" si="174"/>
        <v>0</v>
      </c>
      <c r="BY105" s="35">
        <f t="shared" si="174"/>
        <v>0</v>
      </c>
      <c r="BZ105" s="35">
        <f t="shared" si="174"/>
        <v>0</v>
      </c>
      <c r="CA105" s="35">
        <f t="shared" si="174"/>
        <v>0</v>
      </c>
      <c r="CB105" s="35">
        <f t="shared" si="174"/>
        <v>0</v>
      </c>
      <c r="CC105" s="35">
        <f t="shared" si="174"/>
        <v>0</v>
      </c>
      <c r="CD105" s="35">
        <f t="shared" si="174"/>
        <v>0</v>
      </c>
      <c r="CE105" s="35">
        <f t="shared" si="174"/>
        <v>0</v>
      </c>
      <c r="CF105" s="35">
        <f t="shared" si="174"/>
        <v>0</v>
      </c>
      <c r="CG105" s="35">
        <f t="shared" si="174"/>
        <v>0</v>
      </c>
      <c r="CH105" s="35">
        <f t="shared" si="174"/>
        <v>0</v>
      </c>
      <c r="CI105" s="35">
        <f t="shared" si="174"/>
        <v>0</v>
      </c>
      <c r="CJ105" s="35">
        <f t="shared" si="174"/>
        <v>0</v>
      </c>
      <c r="CK105" s="35">
        <f t="shared" si="174"/>
        <v>0</v>
      </c>
      <c r="CL105" s="35">
        <f t="shared" si="174"/>
        <v>0</v>
      </c>
      <c r="CM105" s="35">
        <f t="shared" si="174"/>
        <v>0</v>
      </c>
      <c r="CN105" s="35">
        <f t="shared" si="174"/>
        <v>0</v>
      </c>
      <c r="CO105" s="35">
        <f t="shared" si="174"/>
        <v>0</v>
      </c>
      <c r="CP105" s="35">
        <f t="shared" si="174"/>
        <v>0</v>
      </c>
      <c r="CQ105" s="35">
        <f t="shared" si="174"/>
        <v>0</v>
      </c>
      <c r="CR105" s="35"/>
      <c r="CS105" s="35"/>
      <c r="CT105" s="35">
        <f t="shared" si="174"/>
        <v>0</v>
      </c>
      <c r="CU105" s="35">
        <f t="shared" si="174"/>
        <v>0</v>
      </c>
      <c r="CV105" s="35">
        <f t="shared" si="174"/>
        <v>0</v>
      </c>
      <c r="CW105" s="35">
        <f t="shared" si="174"/>
        <v>0</v>
      </c>
      <c r="CX105" s="35">
        <f t="shared" si="174"/>
        <v>0</v>
      </c>
      <c r="CY105" s="35">
        <f t="shared" si="174"/>
        <v>0</v>
      </c>
      <c r="CZ105" s="36">
        <f t="shared" si="174"/>
        <v>0</v>
      </c>
    </row>
    <row r="106" spans="1:218" ht="31.2" x14ac:dyDescent="0.3">
      <c r="A106" s="20"/>
      <c r="B106" s="21" t="s">
        <v>206</v>
      </c>
      <c r="C106" s="21" t="s">
        <v>1</v>
      </c>
      <c r="D106" s="22" t="s">
        <v>207</v>
      </c>
      <c r="E106" s="23">
        <f t="shared" ref="E106:AU106" si="175">SUM(E107:E107)</f>
        <v>5343075</v>
      </c>
      <c r="F106" s="24">
        <f t="shared" si="175"/>
        <v>5343075</v>
      </c>
      <c r="G106" s="24">
        <f t="shared" si="175"/>
        <v>5343075</v>
      </c>
      <c r="H106" s="24">
        <f t="shared" si="175"/>
        <v>4333184</v>
      </c>
      <c r="I106" s="24">
        <f t="shared" si="175"/>
        <v>1009891</v>
      </c>
      <c r="J106" s="24">
        <f t="shared" si="175"/>
        <v>0</v>
      </c>
      <c r="K106" s="24">
        <f t="shared" si="175"/>
        <v>0</v>
      </c>
      <c r="L106" s="24">
        <f t="shared" si="175"/>
        <v>0</v>
      </c>
      <c r="M106" s="24">
        <f t="shared" si="175"/>
        <v>0</v>
      </c>
      <c r="N106" s="24">
        <f t="shared" si="175"/>
        <v>0</v>
      </c>
      <c r="O106" s="24">
        <f t="shared" si="175"/>
        <v>0</v>
      </c>
      <c r="P106" s="24">
        <f t="shared" si="175"/>
        <v>0</v>
      </c>
      <c r="Q106" s="24">
        <f t="shared" si="175"/>
        <v>0</v>
      </c>
      <c r="R106" s="24">
        <f t="shared" si="175"/>
        <v>0</v>
      </c>
      <c r="S106" s="24">
        <f t="shared" si="175"/>
        <v>0</v>
      </c>
      <c r="T106" s="24">
        <f t="shared" si="175"/>
        <v>0</v>
      </c>
      <c r="U106" s="24">
        <f t="shared" si="175"/>
        <v>0</v>
      </c>
      <c r="V106" s="24">
        <f t="shared" si="175"/>
        <v>0</v>
      </c>
      <c r="W106" s="24">
        <f t="shared" si="175"/>
        <v>0</v>
      </c>
      <c r="X106" s="24">
        <f t="shared" si="175"/>
        <v>0</v>
      </c>
      <c r="Y106" s="24">
        <f t="shared" si="175"/>
        <v>0</v>
      </c>
      <c r="Z106" s="24">
        <f t="shared" si="175"/>
        <v>0</v>
      </c>
      <c r="AA106" s="24">
        <f t="shared" si="175"/>
        <v>0</v>
      </c>
      <c r="AB106" s="24">
        <f t="shared" si="175"/>
        <v>0</v>
      </c>
      <c r="AC106" s="24">
        <f t="shared" si="175"/>
        <v>0</v>
      </c>
      <c r="AD106" s="24">
        <f t="shared" si="175"/>
        <v>0</v>
      </c>
      <c r="AE106" s="24">
        <f t="shared" si="175"/>
        <v>0</v>
      </c>
      <c r="AF106" s="24">
        <f t="shared" si="175"/>
        <v>0</v>
      </c>
      <c r="AG106" s="24">
        <f t="shared" si="175"/>
        <v>0</v>
      </c>
      <c r="AH106" s="24">
        <f t="shared" si="175"/>
        <v>0</v>
      </c>
      <c r="AI106" s="24">
        <f t="shared" si="175"/>
        <v>0</v>
      </c>
      <c r="AJ106" s="24">
        <f t="shared" si="175"/>
        <v>0</v>
      </c>
      <c r="AK106" s="24">
        <f t="shared" si="175"/>
        <v>0</v>
      </c>
      <c r="AL106" s="24">
        <f t="shared" si="175"/>
        <v>0</v>
      </c>
      <c r="AM106" s="24">
        <f t="shared" si="175"/>
        <v>0</v>
      </c>
      <c r="AN106" s="24">
        <f t="shared" si="175"/>
        <v>0</v>
      </c>
      <c r="AO106" s="24">
        <f t="shared" si="175"/>
        <v>0</v>
      </c>
      <c r="AP106" s="24">
        <f t="shared" si="175"/>
        <v>0</v>
      </c>
      <c r="AQ106" s="24">
        <f t="shared" si="175"/>
        <v>0</v>
      </c>
      <c r="AR106" s="24"/>
      <c r="AS106" s="24">
        <f t="shared" si="175"/>
        <v>0</v>
      </c>
      <c r="AT106" s="24">
        <f t="shared" si="175"/>
        <v>0</v>
      </c>
      <c r="AU106" s="24">
        <f t="shared" si="175"/>
        <v>0</v>
      </c>
      <c r="AV106" s="24"/>
      <c r="AW106" s="24"/>
      <c r="AX106" s="24">
        <f>SUM(AX107:AX107)</f>
        <v>0</v>
      </c>
      <c r="AY106" s="24">
        <f>SUM(AY107:AY107)</f>
        <v>0</v>
      </c>
      <c r="AZ106" s="24">
        <f>SUM(AZ107:AZ107)</f>
        <v>0</v>
      </c>
      <c r="BA106" s="24">
        <f>SUM(BA107:BA107)</f>
        <v>0</v>
      </c>
      <c r="BB106" s="24"/>
      <c r="BC106" s="24">
        <f t="shared" ref="BC106:CQ106" si="176">SUM(BC107:BC107)</f>
        <v>0</v>
      </c>
      <c r="BD106" s="24">
        <f t="shared" si="176"/>
        <v>0</v>
      </c>
      <c r="BE106" s="24">
        <f t="shared" si="176"/>
        <v>0</v>
      </c>
      <c r="BF106" s="24">
        <f t="shared" si="176"/>
        <v>0</v>
      </c>
      <c r="BG106" s="24">
        <f t="shared" si="176"/>
        <v>0</v>
      </c>
      <c r="BH106" s="24">
        <f t="shared" si="176"/>
        <v>0</v>
      </c>
      <c r="BI106" s="24">
        <f t="shared" si="176"/>
        <v>0</v>
      </c>
      <c r="BJ106" s="24">
        <f t="shared" si="176"/>
        <v>0</v>
      </c>
      <c r="BK106" s="24">
        <f t="shared" si="176"/>
        <v>0</v>
      </c>
      <c r="BL106" s="24">
        <f t="shared" si="176"/>
        <v>0</v>
      </c>
      <c r="BM106" s="24">
        <f t="shared" si="176"/>
        <v>0</v>
      </c>
      <c r="BN106" s="24">
        <f t="shared" si="176"/>
        <v>0</v>
      </c>
      <c r="BO106" s="24">
        <f t="shared" si="176"/>
        <v>0</v>
      </c>
      <c r="BP106" s="24">
        <f t="shared" si="176"/>
        <v>0</v>
      </c>
      <c r="BQ106" s="24">
        <f t="shared" si="176"/>
        <v>0</v>
      </c>
      <c r="BR106" s="24">
        <f t="shared" si="176"/>
        <v>0</v>
      </c>
      <c r="BS106" s="24">
        <f t="shared" si="176"/>
        <v>0</v>
      </c>
      <c r="BT106" s="24">
        <f t="shared" si="176"/>
        <v>0</v>
      </c>
      <c r="BU106" s="24">
        <f t="shared" si="176"/>
        <v>0</v>
      </c>
      <c r="BV106" s="24">
        <f t="shared" si="176"/>
        <v>0</v>
      </c>
      <c r="BW106" s="24">
        <f t="shared" si="176"/>
        <v>0</v>
      </c>
      <c r="BX106" s="24">
        <f t="shared" si="176"/>
        <v>0</v>
      </c>
      <c r="BY106" s="24">
        <f t="shared" si="176"/>
        <v>0</v>
      </c>
      <c r="BZ106" s="24">
        <f t="shared" si="176"/>
        <v>0</v>
      </c>
      <c r="CA106" s="24">
        <f t="shared" si="176"/>
        <v>0</v>
      </c>
      <c r="CB106" s="24">
        <f t="shared" si="176"/>
        <v>0</v>
      </c>
      <c r="CC106" s="24">
        <f t="shared" si="176"/>
        <v>0</v>
      </c>
      <c r="CD106" s="24">
        <f t="shared" si="176"/>
        <v>0</v>
      </c>
      <c r="CE106" s="24">
        <f t="shared" si="176"/>
        <v>0</v>
      </c>
      <c r="CF106" s="24">
        <f t="shared" si="176"/>
        <v>0</v>
      </c>
      <c r="CG106" s="24">
        <f t="shared" si="176"/>
        <v>0</v>
      </c>
      <c r="CH106" s="24">
        <f t="shared" si="176"/>
        <v>0</v>
      </c>
      <c r="CI106" s="24">
        <f t="shared" si="176"/>
        <v>0</v>
      </c>
      <c r="CJ106" s="24">
        <f t="shared" si="176"/>
        <v>0</v>
      </c>
      <c r="CK106" s="24">
        <f t="shared" si="176"/>
        <v>0</v>
      </c>
      <c r="CL106" s="24">
        <f t="shared" si="176"/>
        <v>0</v>
      </c>
      <c r="CM106" s="24">
        <f t="shared" si="176"/>
        <v>0</v>
      </c>
      <c r="CN106" s="24">
        <f t="shared" si="176"/>
        <v>0</v>
      </c>
      <c r="CO106" s="24">
        <f t="shared" si="176"/>
        <v>0</v>
      </c>
      <c r="CP106" s="24">
        <f t="shared" si="176"/>
        <v>0</v>
      </c>
      <c r="CQ106" s="24">
        <f t="shared" si="176"/>
        <v>0</v>
      </c>
      <c r="CR106" s="24"/>
      <c r="CS106" s="24"/>
      <c r="CT106" s="24">
        <f t="shared" ref="CT106:CZ106" si="177">SUM(CT107:CT107)</f>
        <v>0</v>
      </c>
      <c r="CU106" s="24">
        <f t="shared" si="177"/>
        <v>0</v>
      </c>
      <c r="CV106" s="24">
        <f t="shared" si="177"/>
        <v>0</v>
      </c>
      <c r="CW106" s="24">
        <f t="shared" si="177"/>
        <v>0</v>
      </c>
      <c r="CX106" s="24">
        <f t="shared" si="177"/>
        <v>0</v>
      </c>
      <c r="CY106" s="24">
        <f t="shared" si="177"/>
        <v>0</v>
      </c>
      <c r="CZ106" s="25">
        <f t="shared" si="177"/>
        <v>0</v>
      </c>
    </row>
    <row r="107" spans="1:218" ht="15.6" x14ac:dyDescent="0.3">
      <c r="A107" s="26" t="s">
        <v>1</v>
      </c>
      <c r="B107" s="27" t="s">
        <v>1</v>
      </c>
      <c r="C107" s="27" t="s">
        <v>94</v>
      </c>
      <c r="D107" s="28" t="s">
        <v>208</v>
      </c>
      <c r="E107" s="23">
        <f>SUM(F107+CD107+CW107)</f>
        <v>5343075</v>
      </c>
      <c r="F107" s="24">
        <f>SUM(G107+BD107)</f>
        <v>5343075</v>
      </c>
      <c r="G107" s="24">
        <f>SUM(H107+I107+J107+Q107+T107+U107+V107+AF107+AE107)</f>
        <v>5343075</v>
      </c>
      <c r="H107" s="29">
        <v>4333184</v>
      </c>
      <c r="I107" s="29">
        <v>1009891</v>
      </c>
      <c r="J107" s="24">
        <f t="shared" si="111"/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f t="shared" si="112"/>
        <v>0</v>
      </c>
      <c r="R107" s="24">
        <v>0</v>
      </c>
      <c r="S107" s="24">
        <v>0</v>
      </c>
      <c r="T107" s="24">
        <v>0</v>
      </c>
      <c r="U107" s="24"/>
      <c r="V107" s="24">
        <f t="shared" ref="V107" si="178">SUM(W107:AD107)</f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f>SUM(AG107:BC107)</f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/>
      <c r="AS107" s="24">
        <v>0</v>
      </c>
      <c r="AT107" s="24">
        <v>0</v>
      </c>
      <c r="AU107" s="24">
        <v>0</v>
      </c>
      <c r="AV107" s="24"/>
      <c r="AW107" s="24"/>
      <c r="AX107" s="24">
        <v>0</v>
      </c>
      <c r="AY107" s="24">
        <v>0</v>
      </c>
      <c r="AZ107" s="24">
        <v>0</v>
      </c>
      <c r="BA107" s="24">
        <v>0</v>
      </c>
      <c r="BB107" s="24"/>
      <c r="BC107" s="24">
        <v>0</v>
      </c>
      <c r="BD107" s="24">
        <f>SUM(BE107+BI107+BM107+BO107+BR107)</f>
        <v>0</v>
      </c>
      <c r="BE107" s="24">
        <f>SUM(BF107:BH107)</f>
        <v>0</v>
      </c>
      <c r="BF107" s="24">
        <v>0</v>
      </c>
      <c r="BG107" s="24">
        <v>0</v>
      </c>
      <c r="BH107" s="24">
        <v>0</v>
      </c>
      <c r="BI107" s="24">
        <f>SUM(BL107:BL107)</f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f t="shared" si="113"/>
        <v>0</v>
      </c>
      <c r="BP107" s="24">
        <v>0</v>
      </c>
      <c r="BQ107" s="24">
        <v>0</v>
      </c>
      <c r="BR107" s="24">
        <f>SUM(BS107:CC107)</f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>
        <v>0</v>
      </c>
      <c r="CD107" s="24">
        <f>SUM(CE107+CV107)</f>
        <v>0</v>
      </c>
      <c r="CE107" s="24">
        <f>SUM(CF107+CI107+CN107)</f>
        <v>0</v>
      </c>
      <c r="CF107" s="24">
        <f t="shared" si="114"/>
        <v>0</v>
      </c>
      <c r="CG107" s="24">
        <v>0</v>
      </c>
      <c r="CH107" s="24">
        <v>0</v>
      </c>
      <c r="CI107" s="24">
        <f>SUM(CJ107:CM107)</f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f>SUM(CO107:CS107)</f>
        <v>0</v>
      </c>
      <c r="CO107" s="24">
        <v>0</v>
      </c>
      <c r="CP107" s="24">
        <v>0</v>
      </c>
      <c r="CQ107" s="24">
        <v>0</v>
      </c>
      <c r="CR107" s="24"/>
      <c r="CS107" s="24"/>
      <c r="CT107" s="24">
        <v>0</v>
      </c>
      <c r="CU107" s="24">
        <v>0</v>
      </c>
      <c r="CV107" s="24">
        <v>0</v>
      </c>
      <c r="CW107" s="24">
        <f t="shared" si="115"/>
        <v>0</v>
      </c>
      <c r="CX107" s="24">
        <f t="shared" si="116"/>
        <v>0</v>
      </c>
      <c r="CY107" s="24">
        <v>0</v>
      </c>
      <c r="CZ107" s="25">
        <v>0</v>
      </c>
    </row>
    <row r="108" spans="1:218" ht="46.8" x14ac:dyDescent="0.3">
      <c r="A108" s="31" t="s">
        <v>209</v>
      </c>
      <c r="B108" s="32" t="s">
        <v>1</v>
      </c>
      <c r="C108" s="32" t="s">
        <v>1</v>
      </c>
      <c r="D108" s="33" t="s">
        <v>210</v>
      </c>
      <c r="E108" s="34">
        <f>SUM(E109+E112)</f>
        <v>17315720</v>
      </c>
      <c r="F108" s="35">
        <f t="shared" ref="F108:BX108" si="179">SUM(F109+F112)</f>
        <v>17315720</v>
      </c>
      <c r="G108" s="35">
        <f t="shared" si="179"/>
        <v>16684596</v>
      </c>
      <c r="H108" s="35">
        <f t="shared" si="179"/>
        <v>3891282</v>
      </c>
      <c r="I108" s="35">
        <f t="shared" si="179"/>
        <v>967704</v>
      </c>
      <c r="J108" s="35">
        <f t="shared" si="179"/>
        <v>31347</v>
      </c>
      <c r="K108" s="35">
        <f t="shared" si="179"/>
        <v>0</v>
      </c>
      <c r="L108" s="35">
        <f t="shared" si="179"/>
        <v>0</v>
      </c>
      <c r="M108" s="35">
        <f t="shared" si="179"/>
        <v>0</v>
      </c>
      <c r="N108" s="35">
        <f t="shared" si="179"/>
        <v>0</v>
      </c>
      <c r="O108" s="35">
        <f t="shared" si="179"/>
        <v>31347</v>
      </c>
      <c r="P108" s="35">
        <f t="shared" si="179"/>
        <v>0</v>
      </c>
      <c r="Q108" s="35">
        <f t="shared" si="179"/>
        <v>0</v>
      </c>
      <c r="R108" s="35">
        <f t="shared" si="179"/>
        <v>0</v>
      </c>
      <c r="S108" s="35">
        <f t="shared" si="179"/>
        <v>0</v>
      </c>
      <c r="T108" s="35">
        <f t="shared" si="179"/>
        <v>0</v>
      </c>
      <c r="U108" s="35">
        <f t="shared" si="179"/>
        <v>36503</v>
      </c>
      <c r="V108" s="35">
        <f t="shared" si="179"/>
        <v>44408</v>
      </c>
      <c r="W108" s="35">
        <f t="shared" si="179"/>
        <v>0</v>
      </c>
      <c r="X108" s="35">
        <f t="shared" si="179"/>
        <v>10865</v>
      </c>
      <c r="Y108" s="35">
        <f t="shared" si="179"/>
        <v>33543</v>
      </c>
      <c r="Z108" s="35">
        <f t="shared" si="179"/>
        <v>0</v>
      </c>
      <c r="AA108" s="35">
        <f t="shared" si="179"/>
        <v>0</v>
      </c>
      <c r="AB108" s="35">
        <f t="shared" si="179"/>
        <v>0</v>
      </c>
      <c r="AC108" s="35">
        <f t="shared" si="179"/>
        <v>0</v>
      </c>
      <c r="AD108" s="35">
        <f t="shared" si="179"/>
        <v>0</v>
      </c>
      <c r="AE108" s="35">
        <f t="shared" si="179"/>
        <v>0</v>
      </c>
      <c r="AF108" s="35">
        <f t="shared" si="179"/>
        <v>11713352</v>
      </c>
      <c r="AG108" s="35">
        <f t="shared" si="179"/>
        <v>0</v>
      </c>
      <c r="AH108" s="35">
        <f t="shared" si="179"/>
        <v>0</v>
      </c>
      <c r="AI108" s="35">
        <f t="shared" si="179"/>
        <v>0</v>
      </c>
      <c r="AJ108" s="35">
        <f t="shared" si="179"/>
        <v>0</v>
      </c>
      <c r="AK108" s="35">
        <f t="shared" si="179"/>
        <v>0</v>
      </c>
      <c r="AL108" s="35">
        <f t="shared" si="179"/>
        <v>0</v>
      </c>
      <c r="AM108" s="35">
        <f t="shared" si="179"/>
        <v>0</v>
      </c>
      <c r="AN108" s="35">
        <f t="shared" si="179"/>
        <v>0</v>
      </c>
      <c r="AO108" s="35">
        <f t="shared" si="179"/>
        <v>0</v>
      </c>
      <c r="AP108" s="35">
        <f t="shared" si="179"/>
        <v>0</v>
      </c>
      <c r="AQ108" s="35">
        <f t="shared" si="179"/>
        <v>0</v>
      </c>
      <c r="AR108" s="35"/>
      <c r="AS108" s="35">
        <f t="shared" si="179"/>
        <v>0</v>
      </c>
      <c r="AT108" s="35">
        <f t="shared" si="179"/>
        <v>0</v>
      </c>
      <c r="AU108" s="35">
        <f t="shared" si="179"/>
        <v>0</v>
      </c>
      <c r="AV108" s="35"/>
      <c r="AW108" s="35"/>
      <c r="AX108" s="35">
        <f t="shared" si="179"/>
        <v>0</v>
      </c>
      <c r="AY108" s="35">
        <f t="shared" si="179"/>
        <v>0</v>
      </c>
      <c r="AZ108" s="35">
        <f t="shared" si="179"/>
        <v>0</v>
      </c>
      <c r="BA108" s="35">
        <f t="shared" si="179"/>
        <v>0</v>
      </c>
      <c r="BB108" s="35"/>
      <c r="BC108" s="35">
        <f t="shared" si="179"/>
        <v>11713352</v>
      </c>
      <c r="BD108" s="35">
        <f t="shared" si="179"/>
        <v>631124</v>
      </c>
      <c r="BE108" s="35">
        <f t="shared" si="179"/>
        <v>0</v>
      </c>
      <c r="BF108" s="35">
        <f t="shared" si="179"/>
        <v>0</v>
      </c>
      <c r="BG108" s="35">
        <f t="shared" si="179"/>
        <v>0</v>
      </c>
      <c r="BH108" s="35">
        <f t="shared" si="179"/>
        <v>0</v>
      </c>
      <c r="BI108" s="35">
        <f t="shared" si="179"/>
        <v>631124</v>
      </c>
      <c r="BJ108" s="35">
        <f t="shared" si="179"/>
        <v>0</v>
      </c>
      <c r="BK108" s="35">
        <f t="shared" ref="BK108" si="180">SUM(BK109+BK112)</f>
        <v>631124</v>
      </c>
      <c r="BL108" s="35">
        <f t="shared" si="179"/>
        <v>0</v>
      </c>
      <c r="BM108" s="35">
        <f t="shared" si="179"/>
        <v>0</v>
      </c>
      <c r="BN108" s="35">
        <f t="shared" si="179"/>
        <v>0</v>
      </c>
      <c r="BO108" s="35">
        <f t="shared" si="179"/>
        <v>0</v>
      </c>
      <c r="BP108" s="35">
        <f t="shared" si="179"/>
        <v>0</v>
      </c>
      <c r="BQ108" s="35">
        <f t="shared" ref="BQ108" si="181">SUM(BQ109+BQ112)</f>
        <v>0</v>
      </c>
      <c r="BR108" s="35">
        <f t="shared" si="179"/>
        <v>0</v>
      </c>
      <c r="BS108" s="35">
        <f t="shared" si="179"/>
        <v>0</v>
      </c>
      <c r="BT108" s="35">
        <f t="shared" si="179"/>
        <v>0</v>
      </c>
      <c r="BU108" s="35">
        <f t="shared" si="179"/>
        <v>0</v>
      </c>
      <c r="BV108" s="35">
        <f t="shared" si="179"/>
        <v>0</v>
      </c>
      <c r="BW108" s="35">
        <f t="shared" si="179"/>
        <v>0</v>
      </c>
      <c r="BX108" s="35">
        <f t="shared" si="179"/>
        <v>0</v>
      </c>
      <c r="BY108" s="35">
        <f t="shared" ref="BY108:CZ108" si="182">SUM(BY109+BY112)</f>
        <v>0</v>
      </c>
      <c r="BZ108" s="35">
        <f t="shared" si="182"/>
        <v>0</v>
      </c>
      <c r="CA108" s="35">
        <f t="shared" si="182"/>
        <v>0</v>
      </c>
      <c r="CB108" s="35">
        <f t="shared" si="182"/>
        <v>0</v>
      </c>
      <c r="CC108" s="35">
        <f t="shared" si="182"/>
        <v>0</v>
      </c>
      <c r="CD108" s="35">
        <f t="shared" si="182"/>
        <v>0</v>
      </c>
      <c r="CE108" s="35">
        <f t="shared" si="182"/>
        <v>0</v>
      </c>
      <c r="CF108" s="35">
        <f t="shared" si="182"/>
        <v>0</v>
      </c>
      <c r="CG108" s="35">
        <f t="shared" si="182"/>
        <v>0</v>
      </c>
      <c r="CH108" s="35">
        <f t="shared" si="182"/>
        <v>0</v>
      </c>
      <c r="CI108" s="35">
        <f t="shared" si="182"/>
        <v>0</v>
      </c>
      <c r="CJ108" s="35">
        <f t="shared" si="182"/>
        <v>0</v>
      </c>
      <c r="CK108" s="35">
        <f t="shared" ref="CK108:CL108" si="183">SUM(CK109+CK112)</f>
        <v>0</v>
      </c>
      <c r="CL108" s="35">
        <f t="shared" si="183"/>
        <v>0</v>
      </c>
      <c r="CM108" s="35">
        <f t="shared" si="182"/>
        <v>0</v>
      </c>
      <c r="CN108" s="35">
        <f t="shared" si="182"/>
        <v>0</v>
      </c>
      <c r="CO108" s="35">
        <f t="shared" si="182"/>
        <v>0</v>
      </c>
      <c r="CP108" s="35">
        <f t="shared" ref="CP108" si="184">SUM(CP109+CP112)</f>
        <v>0</v>
      </c>
      <c r="CQ108" s="35">
        <f t="shared" si="182"/>
        <v>0</v>
      </c>
      <c r="CR108" s="35"/>
      <c r="CS108" s="35"/>
      <c r="CT108" s="35">
        <f t="shared" si="182"/>
        <v>0</v>
      </c>
      <c r="CU108" s="35">
        <f t="shared" si="182"/>
        <v>0</v>
      </c>
      <c r="CV108" s="35">
        <f t="shared" si="182"/>
        <v>0</v>
      </c>
      <c r="CW108" s="35">
        <f t="shared" si="182"/>
        <v>0</v>
      </c>
      <c r="CX108" s="35">
        <f t="shared" si="182"/>
        <v>0</v>
      </c>
      <c r="CY108" s="35">
        <f t="shared" si="182"/>
        <v>0</v>
      </c>
      <c r="CZ108" s="36">
        <f t="shared" si="182"/>
        <v>0</v>
      </c>
    </row>
    <row r="109" spans="1:218" ht="15.6" x14ac:dyDescent="0.3">
      <c r="A109" s="20"/>
      <c r="B109" s="21" t="s">
        <v>211</v>
      </c>
      <c r="C109" s="21" t="s">
        <v>1</v>
      </c>
      <c r="D109" s="22" t="s">
        <v>212</v>
      </c>
      <c r="E109" s="23">
        <f>SUM(E110:E111)</f>
        <v>12344476</v>
      </c>
      <c r="F109" s="24">
        <f t="shared" ref="F109:BR109" si="185">SUM(F110:F111)</f>
        <v>12344476</v>
      </c>
      <c r="G109" s="24">
        <f t="shared" si="185"/>
        <v>11713352</v>
      </c>
      <c r="H109" s="24">
        <f t="shared" si="185"/>
        <v>0</v>
      </c>
      <c r="I109" s="24">
        <f t="shared" si="185"/>
        <v>0</v>
      </c>
      <c r="J109" s="24">
        <f t="shared" si="185"/>
        <v>0</v>
      </c>
      <c r="K109" s="24">
        <f t="shared" si="185"/>
        <v>0</v>
      </c>
      <c r="L109" s="24">
        <f t="shared" si="185"/>
        <v>0</v>
      </c>
      <c r="M109" s="24">
        <f t="shared" si="185"/>
        <v>0</v>
      </c>
      <c r="N109" s="24">
        <f t="shared" si="185"/>
        <v>0</v>
      </c>
      <c r="O109" s="24">
        <f t="shared" si="185"/>
        <v>0</v>
      </c>
      <c r="P109" s="24">
        <f t="shared" si="185"/>
        <v>0</v>
      </c>
      <c r="Q109" s="24">
        <f t="shared" si="185"/>
        <v>0</v>
      </c>
      <c r="R109" s="24">
        <f t="shared" si="185"/>
        <v>0</v>
      </c>
      <c r="S109" s="24">
        <f t="shared" si="185"/>
        <v>0</v>
      </c>
      <c r="T109" s="24">
        <f t="shared" si="185"/>
        <v>0</v>
      </c>
      <c r="U109" s="24">
        <f t="shared" si="185"/>
        <v>0</v>
      </c>
      <c r="V109" s="24">
        <f t="shared" si="185"/>
        <v>0</v>
      </c>
      <c r="W109" s="24">
        <f t="shared" si="185"/>
        <v>0</v>
      </c>
      <c r="X109" s="24">
        <f t="shared" si="185"/>
        <v>0</v>
      </c>
      <c r="Y109" s="24">
        <f t="shared" si="185"/>
        <v>0</v>
      </c>
      <c r="Z109" s="24">
        <f t="shared" si="185"/>
        <v>0</v>
      </c>
      <c r="AA109" s="24">
        <f t="shared" si="185"/>
        <v>0</v>
      </c>
      <c r="AB109" s="24">
        <f t="shared" si="185"/>
        <v>0</v>
      </c>
      <c r="AC109" s="24">
        <f t="shared" si="185"/>
        <v>0</v>
      </c>
      <c r="AD109" s="24">
        <f t="shared" si="185"/>
        <v>0</v>
      </c>
      <c r="AE109" s="24">
        <f t="shared" si="185"/>
        <v>0</v>
      </c>
      <c r="AF109" s="24">
        <f t="shared" si="185"/>
        <v>11713352</v>
      </c>
      <c r="AG109" s="24">
        <f t="shared" si="185"/>
        <v>0</v>
      </c>
      <c r="AH109" s="24">
        <f t="shared" si="185"/>
        <v>0</v>
      </c>
      <c r="AI109" s="24">
        <f t="shared" si="185"/>
        <v>0</v>
      </c>
      <c r="AJ109" s="24">
        <f t="shared" si="185"/>
        <v>0</v>
      </c>
      <c r="AK109" s="24">
        <f t="shared" si="185"/>
        <v>0</v>
      </c>
      <c r="AL109" s="24">
        <f t="shared" si="185"/>
        <v>0</v>
      </c>
      <c r="AM109" s="24">
        <f t="shared" si="185"/>
        <v>0</v>
      </c>
      <c r="AN109" s="24">
        <f t="shared" si="185"/>
        <v>0</v>
      </c>
      <c r="AO109" s="24">
        <f t="shared" si="185"/>
        <v>0</v>
      </c>
      <c r="AP109" s="24">
        <f t="shared" si="185"/>
        <v>0</v>
      </c>
      <c r="AQ109" s="24">
        <f t="shared" si="185"/>
        <v>0</v>
      </c>
      <c r="AR109" s="24">
        <f t="shared" ref="AR109" si="186">SUM(AR110:AR111)</f>
        <v>0</v>
      </c>
      <c r="AS109" s="24">
        <f t="shared" si="185"/>
        <v>0</v>
      </c>
      <c r="AT109" s="24">
        <f t="shared" si="185"/>
        <v>0</v>
      </c>
      <c r="AU109" s="24">
        <f t="shared" si="185"/>
        <v>0</v>
      </c>
      <c r="AV109" s="24">
        <f t="shared" si="185"/>
        <v>0</v>
      </c>
      <c r="AW109" s="24">
        <f t="shared" si="185"/>
        <v>0</v>
      </c>
      <c r="AX109" s="24">
        <f t="shared" si="185"/>
        <v>0</v>
      </c>
      <c r="AY109" s="24">
        <f t="shared" si="185"/>
        <v>0</v>
      </c>
      <c r="AZ109" s="24">
        <f t="shared" si="185"/>
        <v>0</v>
      </c>
      <c r="BA109" s="24">
        <f t="shared" si="185"/>
        <v>0</v>
      </c>
      <c r="BB109" s="24">
        <f t="shared" si="185"/>
        <v>0</v>
      </c>
      <c r="BC109" s="24">
        <f t="shared" si="185"/>
        <v>11713352</v>
      </c>
      <c r="BD109" s="24">
        <f t="shared" si="185"/>
        <v>631124</v>
      </c>
      <c r="BE109" s="24">
        <f t="shared" si="185"/>
        <v>0</v>
      </c>
      <c r="BF109" s="24">
        <f t="shared" si="185"/>
        <v>0</v>
      </c>
      <c r="BG109" s="24">
        <f t="shared" si="185"/>
        <v>0</v>
      </c>
      <c r="BH109" s="24">
        <f t="shared" si="185"/>
        <v>0</v>
      </c>
      <c r="BI109" s="24">
        <f t="shared" si="185"/>
        <v>631124</v>
      </c>
      <c r="BJ109" s="24">
        <f t="shared" si="185"/>
        <v>0</v>
      </c>
      <c r="BK109" s="24">
        <f t="shared" si="185"/>
        <v>631124</v>
      </c>
      <c r="BL109" s="24">
        <f t="shared" si="185"/>
        <v>0</v>
      </c>
      <c r="BM109" s="24">
        <f t="shared" si="185"/>
        <v>0</v>
      </c>
      <c r="BN109" s="24">
        <f t="shared" si="185"/>
        <v>0</v>
      </c>
      <c r="BO109" s="24">
        <f t="shared" si="185"/>
        <v>0</v>
      </c>
      <c r="BP109" s="24">
        <f t="shared" si="185"/>
        <v>0</v>
      </c>
      <c r="BQ109" s="24">
        <f t="shared" si="185"/>
        <v>0</v>
      </c>
      <c r="BR109" s="24">
        <f t="shared" si="185"/>
        <v>0</v>
      </c>
      <c r="BS109" s="24">
        <f t="shared" ref="BS109:CZ109" si="187">SUM(BS110:BS111)</f>
        <v>0</v>
      </c>
      <c r="BT109" s="24">
        <f t="shared" si="187"/>
        <v>0</v>
      </c>
      <c r="BU109" s="24">
        <f t="shared" si="187"/>
        <v>0</v>
      </c>
      <c r="BV109" s="24">
        <f t="shared" si="187"/>
        <v>0</v>
      </c>
      <c r="BW109" s="24">
        <f t="shared" si="187"/>
        <v>0</v>
      </c>
      <c r="BX109" s="24">
        <f t="shared" si="187"/>
        <v>0</v>
      </c>
      <c r="BY109" s="24">
        <f t="shared" si="187"/>
        <v>0</v>
      </c>
      <c r="BZ109" s="24">
        <f t="shared" si="187"/>
        <v>0</v>
      </c>
      <c r="CA109" s="24">
        <f t="shared" si="187"/>
        <v>0</v>
      </c>
      <c r="CB109" s="24">
        <f t="shared" si="187"/>
        <v>0</v>
      </c>
      <c r="CC109" s="24">
        <f t="shared" si="187"/>
        <v>0</v>
      </c>
      <c r="CD109" s="24">
        <f t="shared" si="187"/>
        <v>0</v>
      </c>
      <c r="CE109" s="24">
        <f t="shared" si="187"/>
        <v>0</v>
      </c>
      <c r="CF109" s="24">
        <f t="shared" si="187"/>
        <v>0</v>
      </c>
      <c r="CG109" s="24">
        <f t="shared" si="187"/>
        <v>0</v>
      </c>
      <c r="CH109" s="24">
        <f t="shared" si="187"/>
        <v>0</v>
      </c>
      <c r="CI109" s="24">
        <f t="shared" si="187"/>
        <v>0</v>
      </c>
      <c r="CJ109" s="24">
        <f t="shared" si="187"/>
        <v>0</v>
      </c>
      <c r="CK109" s="24">
        <f t="shared" si="187"/>
        <v>0</v>
      </c>
      <c r="CL109" s="24">
        <f t="shared" si="187"/>
        <v>0</v>
      </c>
      <c r="CM109" s="24">
        <f t="shared" si="187"/>
        <v>0</v>
      </c>
      <c r="CN109" s="24">
        <f t="shared" si="187"/>
        <v>0</v>
      </c>
      <c r="CO109" s="24">
        <f t="shared" si="187"/>
        <v>0</v>
      </c>
      <c r="CP109" s="24">
        <f t="shared" si="187"/>
        <v>0</v>
      </c>
      <c r="CQ109" s="24">
        <f t="shared" si="187"/>
        <v>0</v>
      </c>
      <c r="CR109" s="24">
        <f t="shared" si="187"/>
        <v>0</v>
      </c>
      <c r="CS109" s="24">
        <f t="shared" si="187"/>
        <v>0</v>
      </c>
      <c r="CT109" s="24">
        <f t="shared" si="187"/>
        <v>0</v>
      </c>
      <c r="CU109" s="24">
        <f t="shared" si="187"/>
        <v>0</v>
      </c>
      <c r="CV109" s="24">
        <f t="shared" si="187"/>
        <v>0</v>
      </c>
      <c r="CW109" s="24">
        <f t="shared" si="187"/>
        <v>0</v>
      </c>
      <c r="CX109" s="24">
        <f t="shared" si="187"/>
        <v>0</v>
      </c>
      <c r="CY109" s="24">
        <f t="shared" si="187"/>
        <v>0</v>
      </c>
      <c r="CZ109" s="25">
        <f t="shared" si="187"/>
        <v>0</v>
      </c>
    </row>
    <row r="110" spans="1:218" ht="31.2" x14ac:dyDescent="0.3">
      <c r="A110" s="26"/>
      <c r="B110" s="27" t="s">
        <v>1</v>
      </c>
      <c r="C110" s="27" t="s">
        <v>94</v>
      </c>
      <c r="D110" s="28" t="s">
        <v>428</v>
      </c>
      <c r="E110" s="23">
        <f>SUM(F110+CD110+CW110)</f>
        <v>5959285</v>
      </c>
      <c r="F110" s="24">
        <f>SUM(G110+BD110)</f>
        <v>5959285</v>
      </c>
      <c r="G110" s="24">
        <f>SUM(H110+I110+J110+Q110+T110+U110+V110+AF110+AE110)</f>
        <v>5328161</v>
      </c>
      <c r="H110" s="24">
        <v>0</v>
      </c>
      <c r="I110" s="24">
        <v>0</v>
      </c>
      <c r="J110" s="24">
        <f t="shared" si="111"/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f t="shared" si="112"/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f>SUM(W110:AD110)</f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f>SUM(AG110:BC110)</f>
        <v>5328161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/>
      <c r="AS110" s="24">
        <v>0</v>
      </c>
      <c r="AT110" s="24">
        <v>0</v>
      </c>
      <c r="AU110" s="24">
        <v>0</v>
      </c>
      <c r="AV110" s="24"/>
      <c r="AW110" s="24"/>
      <c r="AX110" s="24">
        <v>0</v>
      </c>
      <c r="AY110" s="24">
        <v>0</v>
      </c>
      <c r="AZ110" s="24">
        <v>0</v>
      </c>
      <c r="BA110" s="24">
        <v>0</v>
      </c>
      <c r="BB110" s="24"/>
      <c r="BC110" s="29">
        <f>12344476-631124-6385191</f>
        <v>5328161</v>
      </c>
      <c r="BD110" s="24">
        <f>SUM(BE110+BI110+BM110+BO110+BR110)</f>
        <v>631124</v>
      </c>
      <c r="BE110" s="24">
        <f>SUM(BF110:BH110)</f>
        <v>0</v>
      </c>
      <c r="BF110" s="24">
        <v>0</v>
      </c>
      <c r="BG110" s="24">
        <v>0</v>
      </c>
      <c r="BH110" s="24">
        <v>0</v>
      </c>
      <c r="BI110" s="47">
        <f>SUM(BJ110:BL110)</f>
        <v>631124</v>
      </c>
      <c r="BJ110" s="24"/>
      <c r="BK110" s="24">
        <v>631124</v>
      </c>
      <c r="BL110" s="24">
        <v>0</v>
      </c>
      <c r="BM110" s="24">
        <v>0</v>
      </c>
      <c r="BN110" s="24">
        <v>0</v>
      </c>
      <c r="BO110" s="24">
        <f t="shared" si="113"/>
        <v>0</v>
      </c>
      <c r="BP110" s="24">
        <v>0</v>
      </c>
      <c r="BQ110" s="24">
        <v>0</v>
      </c>
      <c r="BR110" s="24">
        <f>SUM(BS110:CC110)</f>
        <v>0</v>
      </c>
      <c r="BS110" s="24">
        <v>0</v>
      </c>
      <c r="BT110" s="24">
        <v>0</v>
      </c>
      <c r="BU110" s="24">
        <v>0</v>
      </c>
      <c r="BV110" s="24">
        <v>0</v>
      </c>
      <c r="BW110" s="24">
        <v>0</v>
      </c>
      <c r="BX110" s="24">
        <v>0</v>
      </c>
      <c r="BY110" s="24">
        <v>0</v>
      </c>
      <c r="BZ110" s="24">
        <v>0</v>
      </c>
      <c r="CA110" s="24">
        <v>0</v>
      </c>
      <c r="CB110" s="24">
        <v>0</v>
      </c>
      <c r="CC110" s="24">
        <v>0</v>
      </c>
      <c r="CD110" s="24">
        <f>SUM(CE110+CV110)</f>
        <v>0</v>
      </c>
      <c r="CE110" s="24">
        <f>SUM(CF110+CI110+CN110)</f>
        <v>0</v>
      </c>
      <c r="CF110" s="24">
        <f t="shared" si="114"/>
        <v>0</v>
      </c>
      <c r="CG110" s="24">
        <v>0</v>
      </c>
      <c r="CH110" s="24">
        <v>0</v>
      </c>
      <c r="CI110" s="24">
        <f>SUM(CJ110:CM110)</f>
        <v>0</v>
      </c>
      <c r="CJ110" s="24">
        <v>0</v>
      </c>
      <c r="CK110" s="24">
        <v>0</v>
      </c>
      <c r="CL110" s="24">
        <v>0</v>
      </c>
      <c r="CM110" s="24">
        <v>0</v>
      </c>
      <c r="CN110" s="24">
        <f>SUM(CO110:CS110)</f>
        <v>0</v>
      </c>
      <c r="CO110" s="24">
        <v>0</v>
      </c>
      <c r="CP110" s="24">
        <v>0</v>
      </c>
      <c r="CQ110" s="24">
        <v>0</v>
      </c>
      <c r="CR110" s="24"/>
      <c r="CS110" s="24"/>
      <c r="CT110" s="24">
        <v>0</v>
      </c>
      <c r="CU110" s="24">
        <v>0</v>
      </c>
      <c r="CV110" s="24">
        <v>0</v>
      </c>
      <c r="CW110" s="24">
        <f t="shared" si="115"/>
        <v>0</v>
      </c>
      <c r="CX110" s="24">
        <f t="shared" si="116"/>
        <v>0</v>
      </c>
      <c r="CY110" s="24">
        <v>0</v>
      </c>
      <c r="CZ110" s="25">
        <v>0</v>
      </c>
    </row>
    <row r="111" spans="1:218" ht="31.2" x14ac:dyDescent="0.3">
      <c r="A111" s="26"/>
      <c r="B111" s="27" t="s">
        <v>1</v>
      </c>
      <c r="C111" s="27" t="s">
        <v>102</v>
      </c>
      <c r="D111" s="28" t="s">
        <v>628</v>
      </c>
      <c r="E111" s="23">
        <f>SUM(F111+CD111+CW111)</f>
        <v>6385191</v>
      </c>
      <c r="F111" s="24">
        <f>SUM(G111+BD111)</f>
        <v>6385191</v>
      </c>
      <c r="G111" s="24">
        <f>SUM(H111+I111+J111+Q111+T111+U111+V111+AF111+AE111)</f>
        <v>6385191</v>
      </c>
      <c r="H111" s="24">
        <v>0</v>
      </c>
      <c r="I111" s="24">
        <v>0</v>
      </c>
      <c r="J111" s="24">
        <f t="shared" ref="J111" si="188">SUM(K111:P111)</f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f t="shared" ref="Q111" si="189">SUM(R111:S111)</f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f>SUM(W111:AD111)</f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f>SUM(AG111:BC111)</f>
        <v>6385191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/>
      <c r="AS111" s="24">
        <v>0</v>
      </c>
      <c r="AT111" s="24">
        <v>0</v>
      </c>
      <c r="AU111" s="24">
        <v>0</v>
      </c>
      <c r="AV111" s="24"/>
      <c r="AW111" s="24"/>
      <c r="AX111" s="24">
        <v>0</v>
      </c>
      <c r="AY111" s="24">
        <v>0</v>
      </c>
      <c r="AZ111" s="24">
        <v>0</v>
      </c>
      <c r="BA111" s="24">
        <v>0</v>
      </c>
      <c r="BB111" s="24"/>
      <c r="BC111" s="29">
        <v>6385191</v>
      </c>
      <c r="BD111" s="24">
        <f>SUM(BE111+BI111+BM111+BO111+BR111)</f>
        <v>0</v>
      </c>
      <c r="BE111" s="24">
        <f>SUM(BF111:BH111)</f>
        <v>0</v>
      </c>
      <c r="BF111" s="24">
        <v>0</v>
      </c>
      <c r="BG111" s="24">
        <v>0</v>
      </c>
      <c r="BH111" s="24">
        <v>0</v>
      </c>
      <c r="BI111" s="47">
        <f>SUM(BJ111:BL111)</f>
        <v>0</v>
      </c>
      <c r="BJ111" s="24"/>
      <c r="BK111" s="24"/>
      <c r="BL111" s="24">
        <v>0</v>
      </c>
      <c r="BM111" s="24">
        <v>0</v>
      </c>
      <c r="BN111" s="24">
        <v>0</v>
      </c>
      <c r="BO111" s="24">
        <f t="shared" ref="BO111" si="190">SUM(BP111)</f>
        <v>0</v>
      </c>
      <c r="BP111" s="24">
        <v>0</v>
      </c>
      <c r="BQ111" s="24">
        <v>0</v>
      </c>
      <c r="BR111" s="24">
        <f>SUM(BS111:CC111)</f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f>SUM(CE111+CV111)</f>
        <v>0</v>
      </c>
      <c r="CE111" s="24">
        <f>SUM(CF111+CI111+CN111)</f>
        <v>0</v>
      </c>
      <c r="CF111" s="24">
        <f t="shared" ref="CF111" si="191">SUM(CG111:CH111)</f>
        <v>0</v>
      </c>
      <c r="CG111" s="24">
        <v>0</v>
      </c>
      <c r="CH111" s="24">
        <v>0</v>
      </c>
      <c r="CI111" s="24">
        <f>SUM(CJ111:CM111)</f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f>SUM(CO111:CS111)</f>
        <v>0</v>
      </c>
      <c r="CO111" s="24">
        <v>0</v>
      </c>
      <c r="CP111" s="24">
        <v>0</v>
      </c>
      <c r="CQ111" s="24">
        <v>0</v>
      </c>
      <c r="CR111" s="24"/>
      <c r="CS111" s="24"/>
      <c r="CT111" s="24">
        <v>0</v>
      </c>
      <c r="CU111" s="24">
        <v>0</v>
      </c>
      <c r="CV111" s="24">
        <v>0</v>
      </c>
      <c r="CW111" s="24">
        <f t="shared" ref="CW111" si="192">SUM(CX111)</f>
        <v>0</v>
      </c>
      <c r="CX111" s="24">
        <f t="shared" ref="CX111" si="193">SUM(CY111:CZ111)</f>
        <v>0</v>
      </c>
      <c r="CY111" s="24">
        <v>0</v>
      </c>
      <c r="CZ111" s="25">
        <v>0</v>
      </c>
    </row>
    <row r="112" spans="1:218" ht="15.6" x14ac:dyDescent="0.3">
      <c r="A112" s="20"/>
      <c r="B112" s="21" t="s">
        <v>213</v>
      </c>
      <c r="C112" s="21" t="s">
        <v>1</v>
      </c>
      <c r="D112" s="22" t="s">
        <v>214</v>
      </c>
      <c r="E112" s="23">
        <f t="shared" ref="E112:AL112" si="194">SUM(E113)</f>
        <v>4971244</v>
      </c>
      <c r="F112" s="24">
        <f t="shared" si="194"/>
        <v>4971244</v>
      </c>
      <c r="G112" s="24">
        <f t="shared" si="194"/>
        <v>4971244</v>
      </c>
      <c r="H112" s="24">
        <f t="shared" si="194"/>
        <v>3891282</v>
      </c>
      <c r="I112" s="24">
        <f t="shared" si="194"/>
        <v>967704</v>
      </c>
      <c r="J112" s="24">
        <f t="shared" si="194"/>
        <v>31347</v>
      </c>
      <c r="K112" s="24">
        <f t="shared" si="194"/>
        <v>0</v>
      </c>
      <c r="L112" s="24">
        <f t="shared" si="194"/>
        <v>0</v>
      </c>
      <c r="M112" s="24">
        <f t="shared" si="194"/>
        <v>0</v>
      </c>
      <c r="N112" s="24">
        <f t="shared" si="194"/>
        <v>0</v>
      </c>
      <c r="O112" s="24">
        <f t="shared" si="194"/>
        <v>31347</v>
      </c>
      <c r="P112" s="24">
        <f t="shared" si="194"/>
        <v>0</v>
      </c>
      <c r="Q112" s="24">
        <f t="shared" si="194"/>
        <v>0</v>
      </c>
      <c r="R112" s="24">
        <f t="shared" si="194"/>
        <v>0</v>
      </c>
      <c r="S112" s="24">
        <f t="shared" si="194"/>
        <v>0</v>
      </c>
      <c r="T112" s="24">
        <f t="shared" si="194"/>
        <v>0</v>
      </c>
      <c r="U112" s="24">
        <f t="shared" si="194"/>
        <v>36503</v>
      </c>
      <c r="V112" s="24">
        <f t="shared" si="194"/>
        <v>44408</v>
      </c>
      <c r="W112" s="24">
        <f t="shared" si="194"/>
        <v>0</v>
      </c>
      <c r="X112" s="24">
        <f t="shared" si="194"/>
        <v>10865</v>
      </c>
      <c r="Y112" s="24">
        <f t="shared" si="194"/>
        <v>33543</v>
      </c>
      <c r="Z112" s="24">
        <f t="shared" si="194"/>
        <v>0</v>
      </c>
      <c r="AA112" s="24">
        <f t="shared" si="194"/>
        <v>0</v>
      </c>
      <c r="AB112" s="24">
        <f t="shared" si="194"/>
        <v>0</v>
      </c>
      <c r="AC112" s="24">
        <f t="shared" si="194"/>
        <v>0</v>
      </c>
      <c r="AD112" s="24">
        <f t="shared" si="194"/>
        <v>0</v>
      </c>
      <c r="AE112" s="24">
        <f t="shared" si="194"/>
        <v>0</v>
      </c>
      <c r="AF112" s="24">
        <f t="shared" si="194"/>
        <v>0</v>
      </c>
      <c r="AG112" s="24">
        <f t="shared" si="194"/>
        <v>0</v>
      </c>
      <c r="AH112" s="24">
        <f t="shared" si="194"/>
        <v>0</v>
      </c>
      <c r="AI112" s="24">
        <f t="shared" si="194"/>
        <v>0</v>
      </c>
      <c r="AJ112" s="24">
        <f t="shared" si="194"/>
        <v>0</v>
      </c>
      <c r="AK112" s="24">
        <f t="shared" si="194"/>
        <v>0</v>
      </c>
      <c r="AL112" s="24">
        <f t="shared" si="194"/>
        <v>0</v>
      </c>
      <c r="AM112" s="24">
        <f t="shared" ref="AM112:CZ112" si="195">SUM(AM113)</f>
        <v>0</v>
      </c>
      <c r="AN112" s="24">
        <f t="shared" si="195"/>
        <v>0</v>
      </c>
      <c r="AO112" s="24">
        <f t="shared" si="195"/>
        <v>0</v>
      </c>
      <c r="AP112" s="24">
        <f t="shared" si="195"/>
        <v>0</v>
      </c>
      <c r="AQ112" s="24">
        <f t="shared" si="195"/>
        <v>0</v>
      </c>
      <c r="AR112" s="24"/>
      <c r="AS112" s="24">
        <f t="shared" si="195"/>
        <v>0</v>
      </c>
      <c r="AT112" s="24">
        <f t="shared" si="195"/>
        <v>0</v>
      </c>
      <c r="AU112" s="24">
        <f t="shared" si="195"/>
        <v>0</v>
      </c>
      <c r="AV112" s="24"/>
      <c r="AW112" s="24"/>
      <c r="AX112" s="24">
        <f t="shared" si="195"/>
        <v>0</v>
      </c>
      <c r="AY112" s="24">
        <f t="shared" si="195"/>
        <v>0</v>
      </c>
      <c r="AZ112" s="24">
        <f t="shared" si="195"/>
        <v>0</v>
      </c>
      <c r="BA112" s="24">
        <f t="shared" si="195"/>
        <v>0</v>
      </c>
      <c r="BB112" s="24"/>
      <c r="BC112" s="24">
        <f t="shared" si="195"/>
        <v>0</v>
      </c>
      <c r="BD112" s="24">
        <f t="shared" si="195"/>
        <v>0</v>
      </c>
      <c r="BE112" s="24">
        <f t="shared" si="195"/>
        <v>0</v>
      </c>
      <c r="BF112" s="24">
        <f t="shared" si="195"/>
        <v>0</v>
      </c>
      <c r="BG112" s="24">
        <f t="shared" si="195"/>
        <v>0</v>
      </c>
      <c r="BH112" s="24">
        <f t="shared" si="195"/>
        <v>0</v>
      </c>
      <c r="BI112" s="24">
        <f t="shared" si="195"/>
        <v>0</v>
      </c>
      <c r="BJ112" s="24">
        <f t="shared" si="195"/>
        <v>0</v>
      </c>
      <c r="BK112" s="24">
        <f t="shared" si="195"/>
        <v>0</v>
      </c>
      <c r="BL112" s="24">
        <f t="shared" si="195"/>
        <v>0</v>
      </c>
      <c r="BM112" s="24">
        <f t="shared" si="195"/>
        <v>0</v>
      </c>
      <c r="BN112" s="24">
        <f t="shared" si="195"/>
        <v>0</v>
      </c>
      <c r="BO112" s="24">
        <f t="shared" si="195"/>
        <v>0</v>
      </c>
      <c r="BP112" s="24">
        <f t="shared" si="195"/>
        <v>0</v>
      </c>
      <c r="BQ112" s="24">
        <f t="shared" si="195"/>
        <v>0</v>
      </c>
      <c r="BR112" s="24">
        <f t="shared" si="195"/>
        <v>0</v>
      </c>
      <c r="BS112" s="24">
        <f t="shared" si="195"/>
        <v>0</v>
      </c>
      <c r="BT112" s="24">
        <f t="shared" si="195"/>
        <v>0</v>
      </c>
      <c r="BU112" s="24">
        <f t="shared" si="195"/>
        <v>0</v>
      </c>
      <c r="BV112" s="24">
        <f t="shared" si="195"/>
        <v>0</v>
      </c>
      <c r="BW112" s="24">
        <f t="shared" si="195"/>
        <v>0</v>
      </c>
      <c r="BX112" s="24">
        <f t="shared" si="195"/>
        <v>0</v>
      </c>
      <c r="BY112" s="24">
        <f t="shared" si="195"/>
        <v>0</v>
      </c>
      <c r="BZ112" s="24">
        <f t="shared" si="195"/>
        <v>0</v>
      </c>
      <c r="CA112" s="24">
        <f t="shared" si="195"/>
        <v>0</v>
      </c>
      <c r="CB112" s="24">
        <f t="shared" si="195"/>
        <v>0</v>
      </c>
      <c r="CC112" s="24">
        <f t="shared" si="195"/>
        <v>0</v>
      </c>
      <c r="CD112" s="24">
        <f t="shared" si="195"/>
        <v>0</v>
      </c>
      <c r="CE112" s="24">
        <f t="shared" si="195"/>
        <v>0</v>
      </c>
      <c r="CF112" s="24">
        <f t="shared" si="195"/>
        <v>0</v>
      </c>
      <c r="CG112" s="24">
        <f t="shared" si="195"/>
        <v>0</v>
      </c>
      <c r="CH112" s="24">
        <f t="shared" si="195"/>
        <v>0</v>
      </c>
      <c r="CI112" s="24">
        <f t="shared" si="195"/>
        <v>0</v>
      </c>
      <c r="CJ112" s="24">
        <f t="shared" si="195"/>
        <v>0</v>
      </c>
      <c r="CK112" s="24">
        <f t="shared" si="195"/>
        <v>0</v>
      </c>
      <c r="CL112" s="24">
        <f t="shared" si="195"/>
        <v>0</v>
      </c>
      <c r="CM112" s="24">
        <f t="shared" si="195"/>
        <v>0</v>
      </c>
      <c r="CN112" s="24">
        <f t="shared" si="195"/>
        <v>0</v>
      </c>
      <c r="CO112" s="24">
        <f t="shared" si="195"/>
        <v>0</v>
      </c>
      <c r="CP112" s="24">
        <f t="shared" si="195"/>
        <v>0</v>
      </c>
      <c r="CQ112" s="24">
        <f t="shared" si="195"/>
        <v>0</v>
      </c>
      <c r="CR112" s="24"/>
      <c r="CS112" s="24"/>
      <c r="CT112" s="24">
        <f t="shared" si="195"/>
        <v>0</v>
      </c>
      <c r="CU112" s="24">
        <f t="shared" si="195"/>
        <v>0</v>
      </c>
      <c r="CV112" s="24">
        <f t="shared" si="195"/>
        <v>0</v>
      </c>
      <c r="CW112" s="24">
        <f t="shared" si="195"/>
        <v>0</v>
      </c>
      <c r="CX112" s="24">
        <f t="shared" si="195"/>
        <v>0</v>
      </c>
      <c r="CY112" s="24">
        <f t="shared" si="195"/>
        <v>0</v>
      </c>
      <c r="CZ112" s="25">
        <f t="shared" si="195"/>
        <v>0</v>
      </c>
    </row>
    <row r="113" spans="1:104" ht="31.2" x14ac:dyDescent="0.3">
      <c r="A113" s="26" t="s">
        <v>1</v>
      </c>
      <c r="B113" s="27" t="s">
        <v>1</v>
      </c>
      <c r="C113" s="27" t="s">
        <v>94</v>
      </c>
      <c r="D113" s="28" t="s">
        <v>215</v>
      </c>
      <c r="E113" s="23">
        <f>SUM(F113+CD113+CW113)</f>
        <v>4971244</v>
      </c>
      <c r="F113" s="24">
        <f>SUM(G113+BD113)</f>
        <v>4971244</v>
      </c>
      <c r="G113" s="24">
        <f>SUM(H113+I113+J113+Q113+T113+U113+V113+AF113+AE113)</f>
        <v>4971244</v>
      </c>
      <c r="H113" s="29">
        <v>3891282</v>
      </c>
      <c r="I113" s="29">
        <v>967704</v>
      </c>
      <c r="J113" s="24">
        <f t="shared" si="111"/>
        <v>31347</v>
      </c>
      <c r="K113" s="24">
        <v>0</v>
      </c>
      <c r="L113" s="24">
        <v>0</v>
      </c>
      <c r="M113" s="24">
        <v>0</v>
      </c>
      <c r="N113" s="24"/>
      <c r="O113" s="29">
        <f>31500-153</f>
        <v>31347</v>
      </c>
      <c r="P113" s="24">
        <v>0</v>
      </c>
      <c r="Q113" s="24">
        <f t="shared" si="112"/>
        <v>0</v>
      </c>
      <c r="R113" s="24">
        <v>0</v>
      </c>
      <c r="S113" s="24">
        <v>0</v>
      </c>
      <c r="T113" s="24">
        <v>0</v>
      </c>
      <c r="U113" s="29">
        <v>36503</v>
      </c>
      <c r="V113" s="24">
        <f>SUM(W113:AD113)</f>
        <v>44408</v>
      </c>
      <c r="W113" s="24">
        <v>0</v>
      </c>
      <c r="X113" s="29">
        <f>10814+51</f>
        <v>10865</v>
      </c>
      <c r="Y113" s="29">
        <v>33543</v>
      </c>
      <c r="Z113" s="29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f>SUM(AG113:BC113)</f>
        <v>0</v>
      </c>
      <c r="AG113" s="24">
        <v>0</v>
      </c>
      <c r="AH113" s="24">
        <v>0</v>
      </c>
      <c r="AI113" s="24">
        <v>0</v>
      </c>
      <c r="AJ113" s="24"/>
      <c r="AK113" s="24">
        <v>0</v>
      </c>
      <c r="AL113" s="24">
        <v>0</v>
      </c>
      <c r="AM113" s="24">
        <v>0</v>
      </c>
      <c r="AN113" s="24"/>
      <c r="AO113" s="24">
        <v>0</v>
      </c>
      <c r="AP113" s="24">
        <v>0</v>
      </c>
      <c r="AQ113" s="24">
        <v>0</v>
      </c>
      <c r="AR113" s="24"/>
      <c r="AS113" s="24">
        <v>0</v>
      </c>
      <c r="AT113" s="24">
        <v>0</v>
      </c>
      <c r="AU113" s="24">
        <v>0</v>
      </c>
      <c r="AV113" s="24"/>
      <c r="AW113" s="24"/>
      <c r="AX113" s="24">
        <v>0</v>
      </c>
      <c r="AY113" s="24">
        <v>0</v>
      </c>
      <c r="AZ113" s="24">
        <v>0</v>
      </c>
      <c r="BA113" s="24">
        <v>0</v>
      </c>
      <c r="BB113" s="24"/>
      <c r="BC113" s="24">
        <v>0</v>
      </c>
      <c r="BD113" s="24">
        <f>SUM(BE113+BI113+BM113+BO113+BR113)</f>
        <v>0</v>
      </c>
      <c r="BE113" s="24">
        <f>SUM(BF113:BH113)</f>
        <v>0</v>
      </c>
      <c r="BF113" s="24">
        <v>0</v>
      </c>
      <c r="BG113" s="24">
        <v>0</v>
      </c>
      <c r="BH113" s="24">
        <v>0</v>
      </c>
      <c r="BI113" s="24">
        <f>SUM(BL113:BL113)</f>
        <v>0</v>
      </c>
      <c r="BJ113" s="24">
        <v>0</v>
      </c>
      <c r="BK113" s="24">
        <v>0</v>
      </c>
      <c r="BL113" s="24">
        <v>0</v>
      </c>
      <c r="BM113" s="24">
        <v>0</v>
      </c>
      <c r="BN113" s="24">
        <v>0</v>
      </c>
      <c r="BO113" s="24">
        <f t="shared" si="113"/>
        <v>0</v>
      </c>
      <c r="BP113" s="24">
        <v>0</v>
      </c>
      <c r="BQ113" s="24">
        <v>0</v>
      </c>
      <c r="BR113" s="24">
        <f>SUM(BS113:CC113)</f>
        <v>0</v>
      </c>
      <c r="BS113" s="24">
        <v>0</v>
      </c>
      <c r="BT113" s="24">
        <v>0</v>
      </c>
      <c r="BU113" s="24">
        <v>0</v>
      </c>
      <c r="BV113" s="24">
        <v>0</v>
      </c>
      <c r="BW113" s="24">
        <v>0</v>
      </c>
      <c r="BX113" s="24">
        <v>0</v>
      </c>
      <c r="BY113" s="24">
        <v>0</v>
      </c>
      <c r="BZ113" s="24">
        <v>0</v>
      </c>
      <c r="CA113" s="24">
        <v>0</v>
      </c>
      <c r="CB113" s="24">
        <v>0</v>
      </c>
      <c r="CC113" s="24">
        <v>0</v>
      </c>
      <c r="CD113" s="24">
        <f>SUM(CE113+CV113)</f>
        <v>0</v>
      </c>
      <c r="CE113" s="24">
        <f>SUM(CF113+CI113+CN113)</f>
        <v>0</v>
      </c>
      <c r="CF113" s="24">
        <f t="shared" si="114"/>
        <v>0</v>
      </c>
      <c r="CG113" s="24">
        <v>0</v>
      </c>
      <c r="CH113" s="29">
        <f>43147-43147</f>
        <v>0</v>
      </c>
      <c r="CI113" s="24">
        <f>SUM(CJ113:CM113)</f>
        <v>0</v>
      </c>
      <c r="CJ113" s="24">
        <v>0</v>
      </c>
      <c r="CK113" s="24">
        <v>0</v>
      </c>
      <c r="CL113" s="24">
        <v>0</v>
      </c>
      <c r="CM113" s="24">
        <v>0</v>
      </c>
      <c r="CN113" s="24">
        <f>SUM(CO113:CS113)</f>
        <v>0</v>
      </c>
      <c r="CO113" s="24">
        <v>0</v>
      </c>
      <c r="CP113" s="24">
        <v>0</v>
      </c>
      <c r="CQ113" s="24">
        <v>0</v>
      </c>
      <c r="CR113" s="24"/>
      <c r="CS113" s="24"/>
      <c r="CT113" s="24">
        <v>0</v>
      </c>
      <c r="CU113" s="24">
        <v>0</v>
      </c>
      <c r="CV113" s="24">
        <v>0</v>
      </c>
      <c r="CW113" s="24">
        <f t="shared" si="115"/>
        <v>0</v>
      </c>
      <c r="CX113" s="24">
        <f t="shared" si="116"/>
        <v>0</v>
      </c>
      <c r="CY113" s="24">
        <v>0</v>
      </c>
      <c r="CZ113" s="25">
        <v>0</v>
      </c>
    </row>
    <row r="114" spans="1:104" ht="46.8" x14ac:dyDescent="0.3">
      <c r="A114" s="31" t="s">
        <v>216</v>
      </c>
      <c r="B114" s="32" t="s">
        <v>1</v>
      </c>
      <c r="C114" s="32" t="s">
        <v>1</v>
      </c>
      <c r="D114" s="33" t="s">
        <v>217</v>
      </c>
      <c r="E114" s="34">
        <f t="shared" ref="E114:AU114" si="196">SUM(E115+E118+E120+E124)</f>
        <v>30827262</v>
      </c>
      <c r="F114" s="35">
        <f t="shared" si="196"/>
        <v>30827262</v>
      </c>
      <c r="G114" s="35">
        <f t="shared" si="196"/>
        <v>7208433</v>
      </c>
      <c r="H114" s="35">
        <f t="shared" si="196"/>
        <v>0</v>
      </c>
      <c r="I114" s="35">
        <f t="shared" si="196"/>
        <v>0</v>
      </c>
      <c r="J114" s="35">
        <f t="shared" si="196"/>
        <v>0</v>
      </c>
      <c r="K114" s="35">
        <f t="shared" si="196"/>
        <v>0</v>
      </c>
      <c r="L114" s="35">
        <f t="shared" si="196"/>
        <v>0</v>
      </c>
      <c r="M114" s="35">
        <f t="shared" si="196"/>
        <v>0</v>
      </c>
      <c r="N114" s="35">
        <f t="shared" si="196"/>
        <v>0</v>
      </c>
      <c r="O114" s="35">
        <f t="shared" si="196"/>
        <v>0</v>
      </c>
      <c r="P114" s="35">
        <f t="shared" si="196"/>
        <v>0</v>
      </c>
      <c r="Q114" s="35">
        <f t="shared" si="196"/>
        <v>0</v>
      </c>
      <c r="R114" s="35">
        <f t="shared" si="196"/>
        <v>0</v>
      </c>
      <c r="S114" s="35">
        <f t="shared" si="196"/>
        <v>0</v>
      </c>
      <c r="T114" s="35">
        <f t="shared" si="196"/>
        <v>0</v>
      </c>
      <c r="U114" s="35">
        <f t="shared" si="196"/>
        <v>0</v>
      </c>
      <c r="V114" s="35">
        <f t="shared" si="196"/>
        <v>0</v>
      </c>
      <c r="W114" s="35">
        <f t="shared" si="196"/>
        <v>0</v>
      </c>
      <c r="X114" s="35">
        <f t="shared" si="196"/>
        <v>0</v>
      </c>
      <c r="Y114" s="35">
        <f t="shared" si="196"/>
        <v>0</v>
      </c>
      <c r="Z114" s="35">
        <f t="shared" si="196"/>
        <v>0</v>
      </c>
      <c r="AA114" s="35">
        <f t="shared" si="196"/>
        <v>0</v>
      </c>
      <c r="AB114" s="35">
        <f t="shared" si="196"/>
        <v>0</v>
      </c>
      <c r="AC114" s="35">
        <f t="shared" si="196"/>
        <v>0</v>
      </c>
      <c r="AD114" s="35">
        <f t="shared" si="196"/>
        <v>0</v>
      </c>
      <c r="AE114" s="35">
        <f t="shared" si="196"/>
        <v>0</v>
      </c>
      <c r="AF114" s="35">
        <f t="shared" si="196"/>
        <v>7208433</v>
      </c>
      <c r="AG114" s="35">
        <f t="shared" si="196"/>
        <v>0</v>
      </c>
      <c r="AH114" s="35">
        <f t="shared" si="196"/>
        <v>0</v>
      </c>
      <c r="AI114" s="35">
        <f t="shared" si="196"/>
        <v>0</v>
      </c>
      <c r="AJ114" s="35">
        <f t="shared" si="196"/>
        <v>0</v>
      </c>
      <c r="AK114" s="35">
        <f t="shared" si="196"/>
        <v>0</v>
      </c>
      <c r="AL114" s="35">
        <f t="shared" si="196"/>
        <v>0</v>
      </c>
      <c r="AM114" s="35">
        <f t="shared" si="196"/>
        <v>0</v>
      </c>
      <c r="AN114" s="35">
        <f t="shared" si="196"/>
        <v>0</v>
      </c>
      <c r="AO114" s="35">
        <f t="shared" si="196"/>
        <v>0</v>
      </c>
      <c r="AP114" s="35">
        <f t="shared" si="196"/>
        <v>0</v>
      </c>
      <c r="AQ114" s="35">
        <f t="shared" si="196"/>
        <v>0</v>
      </c>
      <c r="AR114" s="35"/>
      <c r="AS114" s="35">
        <f t="shared" si="196"/>
        <v>0</v>
      </c>
      <c r="AT114" s="35">
        <f t="shared" si="196"/>
        <v>0</v>
      </c>
      <c r="AU114" s="35">
        <f t="shared" si="196"/>
        <v>0</v>
      </c>
      <c r="AV114" s="35"/>
      <c r="AW114" s="35"/>
      <c r="AX114" s="35">
        <f>SUM(AX115+AX118+AX120+AX124)</f>
        <v>0</v>
      </c>
      <c r="AY114" s="35">
        <f>SUM(AY115+AY118+AY120+AY124)</f>
        <v>0</v>
      </c>
      <c r="AZ114" s="35">
        <f>SUM(AZ115+AZ118+AZ120+AZ124)</f>
        <v>0</v>
      </c>
      <c r="BA114" s="35">
        <f>SUM(BA115+BA118+BA120+BA124)</f>
        <v>0</v>
      </c>
      <c r="BB114" s="35"/>
      <c r="BC114" s="35">
        <f t="shared" ref="BC114:CQ114" si="197">SUM(BC115+BC118+BC120+BC124)</f>
        <v>7208433</v>
      </c>
      <c r="BD114" s="35">
        <f t="shared" si="197"/>
        <v>23618829</v>
      </c>
      <c r="BE114" s="35">
        <f t="shared" si="197"/>
        <v>22359778</v>
      </c>
      <c r="BF114" s="35">
        <f t="shared" si="197"/>
        <v>0</v>
      </c>
      <c r="BG114" s="35">
        <f t="shared" si="197"/>
        <v>3635676</v>
      </c>
      <c r="BH114" s="35">
        <f t="shared" si="197"/>
        <v>18724102</v>
      </c>
      <c r="BI114" s="35">
        <f t="shared" si="197"/>
        <v>0</v>
      </c>
      <c r="BJ114" s="35">
        <f t="shared" si="197"/>
        <v>0</v>
      </c>
      <c r="BK114" s="35">
        <f t="shared" si="197"/>
        <v>0</v>
      </c>
      <c r="BL114" s="35">
        <f t="shared" si="197"/>
        <v>0</v>
      </c>
      <c r="BM114" s="35">
        <f t="shared" si="197"/>
        <v>0</v>
      </c>
      <c r="BN114" s="35">
        <f t="shared" si="197"/>
        <v>0</v>
      </c>
      <c r="BO114" s="35">
        <f t="shared" si="197"/>
        <v>1259051</v>
      </c>
      <c r="BP114" s="35">
        <f t="shared" si="197"/>
        <v>0</v>
      </c>
      <c r="BQ114" s="35">
        <f t="shared" si="197"/>
        <v>1259051</v>
      </c>
      <c r="BR114" s="35">
        <f t="shared" si="197"/>
        <v>0</v>
      </c>
      <c r="BS114" s="35">
        <f t="shared" si="197"/>
        <v>0</v>
      </c>
      <c r="BT114" s="35">
        <f t="shared" si="197"/>
        <v>0</v>
      </c>
      <c r="BU114" s="35">
        <f t="shared" si="197"/>
        <v>0</v>
      </c>
      <c r="BV114" s="35">
        <f t="shared" si="197"/>
        <v>0</v>
      </c>
      <c r="BW114" s="35">
        <f t="shared" si="197"/>
        <v>0</v>
      </c>
      <c r="BX114" s="35">
        <f t="shared" si="197"/>
        <v>0</v>
      </c>
      <c r="BY114" s="35">
        <f t="shared" si="197"/>
        <v>0</v>
      </c>
      <c r="BZ114" s="35">
        <f t="shared" si="197"/>
        <v>0</v>
      </c>
      <c r="CA114" s="35">
        <f t="shared" si="197"/>
        <v>0</v>
      </c>
      <c r="CB114" s="35">
        <f t="shared" si="197"/>
        <v>0</v>
      </c>
      <c r="CC114" s="35">
        <f t="shared" si="197"/>
        <v>0</v>
      </c>
      <c r="CD114" s="35">
        <f t="shared" si="197"/>
        <v>0</v>
      </c>
      <c r="CE114" s="35">
        <f t="shared" si="197"/>
        <v>0</v>
      </c>
      <c r="CF114" s="35">
        <f t="shared" si="197"/>
        <v>0</v>
      </c>
      <c r="CG114" s="35">
        <f t="shared" si="197"/>
        <v>0</v>
      </c>
      <c r="CH114" s="35">
        <f t="shared" si="197"/>
        <v>0</v>
      </c>
      <c r="CI114" s="35">
        <f t="shared" si="197"/>
        <v>0</v>
      </c>
      <c r="CJ114" s="35">
        <f t="shared" si="197"/>
        <v>0</v>
      </c>
      <c r="CK114" s="35">
        <f t="shared" si="197"/>
        <v>0</v>
      </c>
      <c r="CL114" s="35">
        <f t="shared" si="197"/>
        <v>0</v>
      </c>
      <c r="CM114" s="35">
        <f t="shared" si="197"/>
        <v>0</v>
      </c>
      <c r="CN114" s="35">
        <f t="shared" si="197"/>
        <v>0</v>
      </c>
      <c r="CO114" s="35">
        <f t="shared" si="197"/>
        <v>0</v>
      </c>
      <c r="CP114" s="35">
        <f t="shared" si="197"/>
        <v>0</v>
      </c>
      <c r="CQ114" s="35">
        <f t="shared" si="197"/>
        <v>0</v>
      </c>
      <c r="CR114" s="35"/>
      <c r="CS114" s="35"/>
      <c r="CT114" s="35">
        <f t="shared" ref="CT114:CZ114" si="198">SUM(CT115+CT118+CT120+CT124)</f>
        <v>0</v>
      </c>
      <c r="CU114" s="35">
        <f t="shared" si="198"/>
        <v>0</v>
      </c>
      <c r="CV114" s="35">
        <f t="shared" si="198"/>
        <v>0</v>
      </c>
      <c r="CW114" s="35">
        <f t="shared" si="198"/>
        <v>0</v>
      </c>
      <c r="CX114" s="35">
        <f t="shared" si="198"/>
        <v>0</v>
      </c>
      <c r="CY114" s="35">
        <f t="shared" si="198"/>
        <v>0</v>
      </c>
      <c r="CZ114" s="36">
        <f t="shared" si="198"/>
        <v>0</v>
      </c>
    </row>
    <row r="115" spans="1:104" ht="15.6" x14ac:dyDescent="0.3">
      <c r="A115" s="20"/>
      <c r="B115" s="21" t="s">
        <v>218</v>
      </c>
      <c r="C115" s="21" t="s">
        <v>1</v>
      </c>
      <c r="D115" s="22" t="s">
        <v>219</v>
      </c>
      <c r="E115" s="23">
        <f>SUM(E116:E117)</f>
        <v>4894727</v>
      </c>
      <c r="F115" s="24">
        <f t="shared" ref="F115:BT115" si="199">SUM(F116:F117)</f>
        <v>4894727</v>
      </c>
      <c r="G115" s="24">
        <f t="shared" si="199"/>
        <v>0</v>
      </c>
      <c r="H115" s="24">
        <f t="shared" si="199"/>
        <v>0</v>
      </c>
      <c r="I115" s="24">
        <f t="shared" si="199"/>
        <v>0</v>
      </c>
      <c r="J115" s="24">
        <f t="shared" si="199"/>
        <v>0</v>
      </c>
      <c r="K115" s="24">
        <f t="shared" si="199"/>
        <v>0</v>
      </c>
      <c r="L115" s="24">
        <f t="shared" si="199"/>
        <v>0</v>
      </c>
      <c r="M115" s="24">
        <f t="shared" si="199"/>
        <v>0</v>
      </c>
      <c r="N115" s="24">
        <f t="shared" si="199"/>
        <v>0</v>
      </c>
      <c r="O115" s="24">
        <f t="shared" si="199"/>
        <v>0</v>
      </c>
      <c r="P115" s="24">
        <f t="shared" si="199"/>
        <v>0</v>
      </c>
      <c r="Q115" s="24">
        <f t="shared" si="199"/>
        <v>0</v>
      </c>
      <c r="R115" s="24">
        <f t="shared" si="199"/>
        <v>0</v>
      </c>
      <c r="S115" s="24">
        <f t="shared" si="199"/>
        <v>0</v>
      </c>
      <c r="T115" s="24">
        <f t="shared" si="199"/>
        <v>0</v>
      </c>
      <c r="U115" s="24">
        <f t="shared" si="199"/>
        <v>0</v>
      </c>
      <c r="V115" s="24">
        <f t="shared" si="199"/>
        <v>0</v>
      </c>
      <c r="W115" s="24">
        <f t="shared" si="199"/>
        <v>0</v>
      </c>
      <c r="X115" s="24">
        <f t="shared" si="199"/>
        <v>0</v>
      </c>
      <c r="Y115" s="24">
        <f t="shared" si="199"/>
        <v>0</v>
      </c>
      <c r="Z115" s="24">
        <f t="shared" si="199"/>
        <v>0</v>
      </c>
      <c r="AA115" s="24">
        <f t="shared" si="199"/>
        <v>0</v>
      </c>
      <c r="AB115" s="24">
        <f t="shared" si="199"/>
        <v>0</v>
      </c>
      <c r="AC115" s="24">
        <f t="shared" si="199"/>
        <v>0</v>
      </c>
      <c r="AD115" s="24">
        <f t="shared" si="199"/>
        <v>0</v>
      </c>
      <c r="AE115" s="24">
        <f t="shared" si="199"/>
        <v>0</v>
      </c>
      <c r="AF115" s="24">
        <f t="shared" si="199"/>
        <v>0</v>
      </c>
      <c r="AG115" s="24">
        <f t="shared" si="199"/>
        <v>0</v>
      </c>
      <c r="AH115" s="24">
        <f t="shared" si="199"/>
        <v>0</v>
      </c>
      <c r="AI115" s="24">
        <f t="shared" si="199"/>
        <v>0</v>
      </c>
      <c r="AJ115" s="24">
        <f t="shared" si="199"/>
        <v>0</v>
      </c>
      <c r="AK115" s="24">
        <f t="shared" si="199"/>
        <v>0</v>
      </c>
      <c r="AL115" s="24">
        <f t="shared" si="199"/>
        <v>0</v>
      </c>
      <c r="AM115" s="24">
        <f t="shared" si="199"/>
        <v>0</v>
      </c>
      <c r="AN115" s="24">
        <f t="shared" si="199"/>
        <v>0</v>
      </c>
      <c r="AO115" s="24">
        <f t="shared" si="199"/>
        <v>0</v>
      </c>
      <c r="AP115" s="24">
        <f t="shared" si="199"/>
        <v>0</v>
      </c>
      <c r="AQ115" s="24">
        <f t="shared" si="199"/>
        <v>0</v>
      </c>
      <c r="AR115" s="24">
        <f t="shared" ref="AR115" si="200">SUM(AR116:AR117)</f>
        <v>0</v>
      </c>
      <c r="AS115" s="24">
        <f t="shared" si="199"/>
        <v>0</v>
      </c>
      <c r="AT115" s="24">
        <f t="shared" si="199"/>
        <v>0</v>
      </c>
      <c r="AU115" s="24">
        <f t="shared" si="199"/>
        <v>0</v>
      </c>
      <c r="AV115" s="24">
        <f t="shared" si="199"/>
        <v>0</v>
      </c>
      <c r="AW115" s="24">
        <f t="shared" si="199"/>
        <v>0</v>
      </c>
      <c r="AX115" s="24">
        <f t="shared" si="199"/>
        <v>0</v>
      </c>
      <c r="AY115" s="24">
        <f t="shared" si="199"/>
        <v>0</v>
      </c>
      <c r="AZ115" s="24">
        <f t="shared" si="199"/>
        <v>0</v>
      </c>
      <c r="BA115" s="24">
        <f t="shared" si="199"/>
        <v>0</v>
      </c>
      <c r="BB115" s="24"/>
      <c r="BC115" s="24">
        <f t="shared" si="199"/>
        <v>0</v>
      </c>
      <c r="BD115" s="24">
        <f t="shared" si="199"/>
        <v>4894727</v>
      </c>
      <c r="BE115" s="24">
        <f t="shared" si="199"/>
        <v>3635676</v>
      </c>
      <c r="BF115" s="24">
        <f t="shared" si="199"/>
        <v>0</v>
      </c>
      <c r="BG115" s="24">
        <f t="shared" si="199"/>
        <v>3635676</v>
      </c>
      <c r="BH115" s="24">
        <f t="shared" si="199"/>
        <v>0</v>
      </c>
      <c r="BI115" s="24">
        <f t="shared" si="199"/>
        <v>0</v>
      </c>
      <c r="BJ115" s="24">
        <f t="shared" si="199"/>
        <v>0</v>
      </c>
      <c r="BK115" s="24">
        <f t="shared" ref="BK115" si="201">SUM(BK116:BK117)</f>
        <v>0</v>
      </c>
      <c r="BL115" s="24">
        <f t="shared" si="199"/>
        <v>0</v>
      </c>
      <c r="BM115" s="24">
        <f t="shared" si="199"/>
        <v>0</v>
      </c>
      <c r="BN115" s="24">
        <f t="shared" si="199"/>
        <v>0</v>
      </c>
      <c r="BO115" s="24">
        <f t="shared" si="199"/>
        <v>1259051</v>
      </c>
      <c r="BP115" s="24">
        <f t="shared" si="199"/>
        <v>0</v>
      </c>
      <c r="BQ115" s="24">
        <f t="shared" si="199"/>
        <v>1259051</v>
      </c>
      <c r="BR115" s="24">
        <f t="shared" si="199"/>
        <v>0</v>
      </c>
      <c r="BS115" s="24">
        <f t="shared" si="199"/>
        <v>0</v>
      </c>
      <c r="BT115" s="24">
        <f t="shared" si="199"/>
        <v>0</v>
      </c>
      <c r="BU115" s="24">
        <f t="shared" ref="BU115:CZ115" si="202">SUM(BU116:BU117)</f>
        <v>0</v>
      </c>
      <c r="BV115" s="24">
        <f t="shared" si="202"/>
        <v>0</v>
      </c>
      <c r="BW115" s="24">
        <f t="shared" si="202"/>
        <v>0</v>
      </c>
      <c r="BX115" s="24">
        <f t="shared" si="202"/>
        <v>0</v>
      </c>
      <c r="BY115" s="24">
        <f t="shared" si="202"/>
        <v>0</v>
      </c>
      <c r="BZ115" s="24">
        <f t="shared" si="202"/>
        <v>0</v>
      </c>
      <c r="CA115" s="24">
        <f t="shared" si="202"/>
        <v>0</v>
      </c>
      <c r="CB115" s="24">
        <f t="shared" si="202"/>
        <v>0</v>
      </c>
      <c r="CC115" s="24">
        <f t="shared" si="202"/>
        <v>0</v>
      </c>
      <c r="CD115" s="24">
        <f t="shared" si="202"/>
        <v>0</v>
      </c>
      <c r="CE115" s="24">
        <f t="shared" si="202"/>
        <v>0</v>
      </c>
      <c r="CF115" s="24">
        <f t="shared" si="202"/>
        <v>0</v>
      </c>
      <c r="CG115" s="24">
        <f t="shared" si="202"/>
        <v>0</v>
      </c>
      <c r="CH115" s="24">
        <f t="shared" si="202"/>
        <v>0</v>
      </c>
      <c r="CI115" s="24">
        <f t="shared" si="202"/>
        <v>0</v>
      </c>
      <c r="CJ115" s="24">
        <f t="shared" si="202"/>
        <v>0</v>
      </c>
      <c r="CK115" s="24">
        <f t="shared" ref="CK115:CL115" si="203">SUM(CK116:CK117)</f>
        <v>0</v>
      </c>
      <c r="CL115" s="24">
        <f t="shared" si="203"/>
        <v>0</v>
      </c>
      <c r="CM115" s="24">
        <f t="shared" si="202"/>
        <v>0</v>
      </c>
      <c r="CN115" s="24">
        <f t="shared" si="202"/>
        <v>0</v>
      </c>
      <c r="CO115" s="24">
        <f t="shared" si="202"/>
        <v>0</v>
      </c>
      <c r="CP115" s="24">
        <f t="shared" ref="CP115" si="204">SUM(CP116:CP117)</f>
        <v>0</v>
      </c>
      <c r="CQ115" s="24">
        <f t="shared" si="202"/>
        <v>0</v>
      </c>
      <c r="CR115" s="24">
        <f t="shared" ref="CR115" si="205">SUM(CR116:CR117)</f>
        <v>0</v>
      </c>
      <c r="CS115" s="24">
        <f t="shared" si="202"/>
        <v>0</v>
      </c>
      <c r="CT115" s="24">
        <f t="shared" si="202"/>
        <v>0</v>
      </c>
      <c r="CU115" s="24">
        <f t="shared" si="202"/>
        <v>0</v>
      </c>
      <c r="CV115" s="24">
        <f t="shared" si="202"/>
        <v>0</v>
      </c>
      <c r="CW115" s="24">
        <f t="shared" si="202"/>
        <v>0</v>
      </c>
      <c r="CX115" s="24">
        <f t="shared" si="202"/>
        <v>0</v>
      </c>
      <c r="CY115" s="24">
        <f t="shared" si="202"/>
        <v>0</v>
      </c>
      <c r="CZ115" s="25">
        <f t="shared" si="202"/>
        <v>0</v>
      </c>
    </row>
    <row r="116" spans="1:104" ht="15.6" x14ac:dyDescent="0.3">
      <c r="A116" s="26"/>
      <c r="B116" s="27" t="s">
        <v>1</v>
      </c>
      <c r="C116" s="27" t="s">
        <v>82</v>
      </c>
      <c r="D116" s="28" t="s">
        <v>220</v>
      </c>
      <c r="E116" s="23">
        <f>SUM(F116+CD116+CW116)</f>
        <v>3635676</v>
      </c>
      <c r="F116" s="24">
        <f>SUM(G116+BD116)</f>
        <v>3635676</v>
      </c>
      <c r="G116" s="24">
        <f>SUM(H116+I116+J116+Q116+T116+U116+V116+AF116+AE116)</f>
        <v>0</v>
      </c>
      <c r="H116" s="24">
        <v>0</v>
      </c>
      <c r="I116" s="24">
        <v>0</v>
      </c>
      <c r="J116" s="24">
        <f t="shared" si="111"/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f t="shared" si="112"/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f>SUM(W116:AD116)</f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f>SUM(AG116:BC116)</f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/>
      <c r="AS116" s="24">
        <v>0</v>
      </c>
      <c r="AT116" s="24">
        <v>0</v>
      </c>
      <c r="AU116" s="24">
        <v>0</v>
      </c>
      <c r="AV116" s="24"/>
      <c r="AW116" s="24"/>
      <c r="AX116" s="24">
        <v>0</v>
      </c>
      <c r="AY116" s="24">
        <v>0</v>
      </c>
      <c r="AZ116" s="24">
        <v>0</v>
      </c>
      <c r="BA116" s="24">
        <v>0</v>
      </c>
      <c r="BB116" s="24"/>
      <c r="BC116" s="24">
        <v>0</v>
      </c>
      <c r="BD116" s="24">
        <f>SUM(BE116+BI116+BM116+BO116+BR116)</f>
        <v>3635676</v>
      </c>
      <c r="BE116" s="24">
        <f>SUM(BF116:BH116)</f>
        <v>3635676</v>
      </c>
      <c r="BF116" s="24">
        <v>0</v>
      </c>
      <c r="BG116" s="29">
        <v>3635676</v>
      </c>
      <c r="BH116" s="24">
        <v>0</v>
      </c>
      <c r="BI116" s="24">
        <f>SUM(BL116:BL116)</f>
        <v>0</v>
      </c>
      <c r="BJ116" s="24">
        <v>0</v>
      </c>
      <c r="BK116" s="24">
        <v>0</v>
      </c>
      <c r="BL116" s="24">
        <v>0</v>
      </c>
      <c r="BM116" s="24">
        <v>0</v>
      </c>
      <c r="BN116" s="24">
        <v>0</v>
      </c>
      <c r="BO116" s="24">
        <f t="shared" si="113"/>
        <v>0</v>
      </c>
      <c r="BP116" s="24">
        <v>0</v>
      </c>
      <c r="BQ116" s="24">
        <v>0</v>
      </c>
      <c r="BR116" s="24">
        <f>SUM(BS116:CC116)</f>
        <v>0</v>
      </c>
      <c r="BS116" s="24">
        <v>0</v>
      </c>
      <c r="BT116" s="24">
        <v>0</v>
      </c>
      <c r="BU116" s="24">
        <v>0</v>
      </c>
      <c r="BV116" s="24">
        <v>0</v>
      </c>
      <c r="BW116" s="24">
        <v>0</v>
      </c>
      <c r="BX116" s="24">
        <v>0</v>
      </c>
      <c r="BY116" s="24">
        <v>0</v>
      </c>
      <c r="BZ116" s="24">
        <v>0</v>
      </c>
      <c r="CA116" s="24">
        <v>0</v>
      </c>
      <c r="CB116" s="24">
        <v>0</v>
      </c>
      <c r="CC116" s="24">
        <v>0</v>
      </c>
      <c r="CD116" s="24">
        <f>SUM(CE116+CV116)</f>
        <v>0</v>
      </c>
      <c r="CE116" s="24">
        <f>SUM(CF116+CI116+CN116)</f>
        <v>0</v>
      </c>
      <c r="CF116" s="24">
        <f t="shared" si="114"/>
        <v>0</v>
      </c>
      <c r="CG116" s="24">
        <v>0</v>
      </c>
      <c r="CH116" s="24">
        <v>0</v>
      </c>
      <c r="CI116" s="24">
        <f>SUM(CJ116:CM116)</f>
        <v>0</v>
      </c>
      <c r="CJ116" s="24">
        <v>0</v>
      </c>
      <c r="CK116" s="24">
        <v>0</v>
      </c>
      <c r="CL116" s="24">
        <v>0</v>
      </c>
      <c r="CM116" s="24">
        <v>0</v>
      </c>
      <c r="CN116" s="24">
        <f>SUM(CO116:CS116)</f>
        <v>0</v>
      </c>
      <c r="CO116" s="24">
        <v>0</v>
      </c>
      <c r="CP116" s="24">
        <v>0</v>
      </c>
      <c r="CQ116" s="24">
        <v>0</v>
      </c>
      <c r="CR116" s="24"/>
      <c r="CS116" s="24"/>
      <c r="CT116" s="24">
        <v>0</v>
      </c>
      <c r="CU116" s="24">
        <v>0</v>
      </c>
      <c r="CV116" s="24">
        <v>0</v>
      </c>
      <c r="CW116" s="24">
        <f t="shared" si="115"/>
        <v>0</v>
      </c>
      <c r="CX116" s="24">
        <f t="shared" si="116"/>
        <v>0</v>
      </c>
      <c r="CY116" s="24">
        <v>0</v>
      </c>
      <c r="CZ116" s="25">
        <v>0</v>
      </c>
    </row>
    <row r="117" spans="1:104" ht="31.2" x14ac:dyDescent="0.3">
      <c r="A117" s="26"/>
      <c r="B117" s="27" t="s">
        <v>1</v>
      </c>
      <c r="C117" s="27" t="s">
        <v>82</v>
      </c>
      <c r="D117" s="28" t="s">
        <v>552</v>
      </c>
      <c r="E117" s="23">
        <f>SUM(F117+CD117+CW117)</f>
        <v>1259051</v>
      </c>
      <c r="F117" s="24">
        <f>SUM(G117+BD117)</f>
        <v>1259051</v>
      </c>
      <c r="G117" s="24">
        <f>SUM(H117+I117+J117+Q117+T117+U117+V117+AF117+AE117)</f>
        <v>0</v>
      </c>
      <c r="H117" s="24">
        <v>0</v>
      </c>
      <c r="I117" s="24">
        <v>0</v>
      </c>
      <c r="J117" s="24">
        <f t="shared" ref="J117" si="206">SUM(K117:P117)</f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f t="shared" ref="Q117" si="207">SUM(R117:S117)</f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f>SUM(W117:AD117)</f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f>SUM(AG117:BC117)</f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/>
      <c r="AS117" s="24">
        <v>0</v>
      </c>
      <c r="AT117" s="24">
        <v>0</v>
      </c>
      <c r="AU117" s="24">
        <v>0</v>
      </c>
      <c r="AV117" s="24"/>
      <c r="AW117" s="24"/>
      <c r="AX117" s="24">
        <v>0</v>
      </c>
      <c r="AY117" s="24">
        <v>0</v>
      </c>
      <c r="AZ117" s="24">
        <v>0</v>
      </c>
      <c r="BA117" s="24">
        <v>0</v>
      </c>
      <c r="BB117" s="24"/>
      <c r="BC117" s="24">
        <v>0</v>
      </c>
      <c r="BD117" s="24">
        <f>SUM(BE117+BI117+BM117+BO117+BR117)</f>
        <v>1259051</v>
      </c>
      <c r="BE117" s="24">
        <f>SUM(BF117:BH117)</f>
        <v>0</v>
      </c>
      <c r="BF117" s="24">
        <v>0</v>
      </c>
      <c r="BG117" s="24"/>
      <c r="BH117" s="24">
        <v>0</v>
      </c>
      <c r="BI117" s="24">
        <f>SUM(BL117:BL117)</f>
        <v>0</v>
      </c>
      <c r="BJ117" s="24">
        <v>0</v>
      </c>
      <c r="BK117" s="24">
        <v>0</v>
      </c>
      <c r="BL117" s="24">
        <v>0</v>
      </c>
      <c r="BM117" s="24">
        <v>0</v>
      </c>
      <c r="BN117" s="24">
        <v>0</v>
      </c>
      <c r="BO117" s="24">
        <f>SUM(BP117:BQ117)</f>
        <v>1259051</v>
      </c>
      <c r="BP117" s="24">
        <v>0</v>
      </c>
      <c r="BQ117" s="29">
        <v>1259051</v>
      </c>
      <c r="BR117" s="24">
        <f>SUM(BS117:CC117)</f>
        <v>0</v>
      </c>
      <c r="BS117" s="24">
        <v>0</v>
      </c>
      <c r="BT117" s="24">
        <v>0</v>
      </c>
      <c r="BU117" s="24">
        <v>0</v>
      </c>
      <c r="BV117" s="24">
        <v>0</v>
      </c>
      <c r="BW117" s="24">
        <v>0</v>
      </c>
      <c r="BX117" s="24">
        <v>0</v>
      </c>
      <c r="BY117" s="24">
        <v>0</v>
      </c>
      <c r="BZ117" s="24">
        <v>0</v>
      </c>
      <c r="CA117" s="24">
        <v>0</v>
      </c>
      <c r="CB117" s="24">
        <v>0</v>
      </c>
      <c r="CC117" s="24">
        <v>0</v>
      </c>
      <c r="CD117" s="24">
        <f>SUM(CE117+CV117)</f>
        <v>0</v>
      </c>
      <c r="CE117" s="24">
        <f>SUM(CF117+CI117+CN117)</f>
        <v>0</v>
      </c>
      <c r="CF117" s="24">
        <f t="shared" ref="CF117" si="208">SUM(CG117:CH117)</f>
        <v>0</v>
      </c>
      <c r="CG117" s="24">
        <v>0</v>
      </c>
      <c r="CH117" s="24">
        <v>0</v>
      </c>
      <c r="CI117" s="24">
        <f>SUM(CJ117:CM117)</f>
        <v>0</v>
      </c>
      <c r="CJ117" s="24">
        <v>0</v>
      </c>
      <c r="CK117" s="24">
        <v>0</v>
      </c>
      <c r="CL117" s="24">
        <v>0</v>
      </c>
      <c r="CM117" s="24">
        <v>0</v>
      </c>
      <c r="CN117" s="24">
        <f>SUM(CO117:CS117)</f>
        <v>0</v>
      </c>
      <c r="CO117" s="24">
        <v>0</v>
      </c>
      <c r="CP117" s="24">
        <v>0</v>
      </c>
      <c r="CQ117" s="24">
        <v>0</v>
      </c>
      <c r="CR117" s="24"/>
      <c r="CS117" s="24"/>
      <c r="CT117" s="24">
        <v>0</v>
      </c>
      <c r="CU117" s="24">
        <v>0</v>
      </c>
      <c r="CV117" s="24">
        <v>0</v>
      </c>
      <c r="CW117" s="24">
        <f t="shared" ref="CW117" si="209">SUM(CX117)</f>
        <v>0</v>
      </c>
      <c r="CX117" s="24">
        <f t="shared" ref="CX117" si="210">SUM(CY117:CZ117)</f>
        <v>0</v>
      </c>
      <c r="CY117" s="24">
        <v>0</v>
      </c>
      <c r="CZ117" s="25">
        <v>0</v>
      </c>
    </row>
    <row r="118" spans="1:104" ht="15.6" x14ac:dyDescent="0.3">
      <c r="A118" s="20"/>
      <c r="B118" s="21" t="s">
        <v>221</v>
      </c>
      <c r="C118" s="21" t="s">
        <v>1</v>
      </c>
      <c r="D118" s="22" t="s">
        <v>222</v>
      </c>
      <c r="E118" s="23">
        <f t="shared" ref="E118:BA118" si="211">SUM(E119:E119)</f>
        <v>18724102</v>
      </c>
      <c r="F118" s="24">
        <f t="shared" si="211"/>
        <v>18724102</v>
      </c>
      <c r="G118" s="24">
        <f t="shared" si="211"/>
        <v>0</v>
      </c>
      <c r="H118" s="24">
        <f t="shared" si="211"/>
        <v>0</v>
      </c>
      <c r="I118" s="24">
        <f t="shared" si="211"/>
        <v>0</v>
      </c>
      <c r="J118" s="24">
        <f t="shared" si="211"/>
        <v>0</v>
      </c>
      <c r="K118" s="24">
        <f t="shared" si="211"/>
        <v>0</v>
      </c>
      <c r="L118" s="24">
        <f t="shared" si="211"/>
        <v>0</v>
      </c>
      <c r="M118" s="24">
        <f t="shared" si="211"/>
        <v>0</v>
      </c>
      <c r="N118" s="24">
        <f t="shared" si="211"/>
        <v>0</v>
      </c>
      <c r="O118" s="24">
        <f t="shared" si="211"/>
        <v>0</v>
      </c>
      <c r="P118" s="24">
        <f t="shared" si="211"/>
        <v>0</v>
      </c>
      <c r="Q118" s="24">
        <f t="shared" si="211"/>
        <v>0</v>
      </c>
      <c r="R118" s="24">
        <f t="shared" si="211"/>
        <v>0</v>
      </c>
      <c r="S118" s="24">
        <f t="shared" si="211"/>
        <v>0</v>
      </c>
      <c r="T118" s="24">
        <f t="shared" si="211"/>
        <v>0</v>
      </c>
      <c r="U118" s="24">
        <f t="shared" si="211"/>
        <v>0</v>
      </c>
      <c r="V118" s="24">
        <f t="shared" si="211"/>
        <v>0</v>
      </c>
      <c r="W118" s="24">
        <f t="shared" si="211"/>
        <v>0</v>
      </c>
      <c r="X118" s="24">
        <f t="shared" si="211"/>
        <v>0</v>
      </c>
      <c r="Y118" s="24">
        <f t="shared" si="211"/>
        <v>0</v>
      </c>
      <c r="Z118" s="24">
        <f t="shared" si="211"/>
        <v>0</v>
      </c>
      <c r="AA118" s="24">
        <f t="shared" si="211"/>
        <v>0</v>
      </c>
      <c r="AB118" s="24">
        <f t="shared" si="211"/>
        <v>0</v>
      </c>
      <c r="AC118" s="24">
        <f t="shared" si="211"/>
        <v>0</v>
      </c>
      <c r="AD118" s="24">
        <f t="shared" si="211"/>
        <v>0</v>
      </c>
      <c r="AE118" s="24">
        <f t="shared" si="211"/>
        <v>0</v>
      </c>
      <c r="AF118" s="24">
        <f t="shared" si="211"/>
        <v>0</v>
      </c>
      <c r="AG118" s="24">
        <f t="shared" si="211"/>
        <v>0</v>
      </c>
      <c r="AH118" s="24">
        <f t="shared" si="211"/>
        <v>0</v>
      </c>
      <c r="AI118" s="24">
        <f t="shared" si="211"/>
        <v>0</v>
      </c>
      <c r="AJ118" s="24">
        <f t="shared" si="211"/>
        <v>0</v>
      </c>
      <c r="AK118" s="24">
        <f t="shared" si="211"/>
        <v>0</v>
      </c>
      <c r="AL118" s="24">
        <f t="shared" si="211"/>
        <v>0</v>
      </c>
      <c r="AM118" s="24">
        <f t="shared" si="211"/>
        <v>0</v>
      </c>
      <c r="AN118" s="24">
        <f t="shared" si="211"/>
        <v>0</v>
      </c>
      <c r="AO118" s="24">
        <f t="shared" si="211"/>
        <v>0</v>
      </c>
      <c r="AP118" s="24">
        <f t="shared" si="211"/>
        <v>0</v>
      </c>
      <c r="AQ118" s="24">
        <f t="shared" si="211"/>
        <v>0</v>
      </c>
      <c r="AR118" s="24">
        <f t="shared" si="211"/>
        <v>0</v>
      </c>
      <c r="AS118" s="24">
        <f t="shared" si="211"/>
        <v>0</v>
      </c>
      <c r="AT118" s="24">
        <f t="shared" si="211"/>
        <v>0</v>
      </c>
      <c r="AU118" s="24">
        <f t="shared" si="211"/>
        <v>0</v>
      </c>
      <c r="AV118" s="24">
        <f t="shared" si="211"/>
        <v>0</v>
      </c>
      <c r="AW118" s="24">
        <f t="shared" si="211"/>
        <v>0</v>
      </c>
      <c r="AX118" s="24">
        <f t="shared" si="211"/>
        <v>0</v>
      </c>
      <c r="AY118" s="24">
        <f t="shared" si="211"/>
        <v>0</v>
      </c>
      <c r="AZ118" s="24">
        <f t="shared" si="211"/>
        <v>0</v>
      </c>
      <c r="BA118" s="24">
        <f t="shared" si="211"/>
        <v>0</v>
      </c>
      <c r="BB118" s="24"/>
      <c r="BC118" s="24">
        <f t="shared" ref="BC118:CZ118" si="212">SUM(BC119:BC119)</f>
        <v>0</v>
      </c>
      <c r="BD118" s="24">
        <f t="shared" si="212"/>
        <v>18724102</v>
      </c>
      <c r="BE118" s="24">
        <f t="shared" si="212"/>
        <v>18724102</v>
      </c>
      <c r="BF118" s="24">
        <f t="shared" si="212"/>
        <v>0</v>
      </c>
      <c r="BG118" s="24">
        <f t="shared" si="212"/>
        <v>0</v>
      </c>
      <c r="BH118" s="24">
        <f t="shared" si="212"/>
        <v>18724102</v>
      </c>
      <c r="BI118" s="24">
        <f t="shared" si="212"/>
        <v>0</v>
      </c>
      <c r="BJ118" s="24">
        <f t="shared" si="212"/>
        <v>0</v>
      </c>
      <c r="BK118" s="24">
        <f t="shared" si="212"/>
        <v>0</v>
      </c>
      <c r="BL118" s="24">
        <f t="shared" si="212"/>
        <v>0</v>
      </c>
      <c r="BM118" s="24">
        <f t="shared" si="212"/>
        <v>0</v>
      </c>
      <c r="BN118" s="24">
        <f t="shared" si="212"/>
        <v>0</v>
      </c>
      <c r="BO118" s="24">
        <f t="shared" si="212"/>
        <v>0</v>
      </c>
      <c r="BP118" s="24">
        <f t="shared" si="212"/>
        <v>0</v>
      </c>
      <c r="BQ118" s="24">
        <f t="shared" si="212"/>
        <v>0</v>
      </c>
      <c r="BR118" s="24">
        <f t="shared" si="212"/>
        <v>0</v>
      </c>
      <c r="BS118" s="24">
        <f t="shared" si="212"/>
        <v>0</v>
      </c>
      <c r="BT118" s="24">
        <f t="shared" si="212"/>
        <v>0</v>
      </c>
      <c r="BU118" s="24">
        <f t="shared" si="212"/>
        <v>0</v>
      </c>
      <c r="BV118" s="24">
        <f t="shared" si="212"/>
        <v>0</v>
      </c>
      <c r="BW118" s="24">
        <f t="shared" si="212"/>
        <v>0</v>
      </c>
      <c r="BX118" s="24">
        <f t="shared" si="212"/>
        <v>0</v>
      </c>
      <c r="BY118" s="24">
        <f t="shared" si="212"/>
        <v>0</v>
      </c>
      <c r="BZ118" s="24">
        <f t="shared" si="212"/>
        <v>0</v>
      </c>
      <c r="CA118" s="24">
        <f t="shared" si="212"/>
        <v>0</v>
      </c>
      <c r="CB118" s="24">
        <f t="shared" si="212"/>
        <v>0</v>
      </c>
      <c r="CC118" s="24">
        <f t="shared" si="212"/>
        <v>0</v>
      </c>
      <c r="CD118" s="24">
        <f t="shared" si="212"/>
        <v>0</v>
      </c>
      <c r="CE118" s="24">
        <f t="shared" si="212"/>
        <v>0</v>
      </c>
      <c r="CF118" s="24">
        <f t="shared" si="212"/>
        <v>0</v>
      </c>
      <c r="CG118" s="24">
        <f t="shared" si="212"/>
        <v>0</v>
      </c>
      <c r="CH118" s="24">
        <f t="shared" si="212"/>
        <v>0</v>
      </c>
      <c r="CI118" s="24">
        <f t="shared" si="212"/>
        <v>0</v>
      </c>
      <c r="CJ118" s="24">
        <f t="shared" si="212"/>
        <v>0</v>
      </c>
      <c r="CK118" s="24">
        <f t="shared" si="212"/>
        <v>0</v>
      </c>
      <c r="CL118" s="24">
        <f t="shared" si="212"/>
        <v>0</v>
      </c>
      <c r="CM118" s="24">
        <f t="shared" si="212"/>
        <v>0</v>
      </c>
      <c r="CN118" s="24">
        <f t="shared" si="212"/>
        <v>0</v>
      </c>
      <c r="CO118" s="24">
        <f t="shared" si="212"/>
        <v>0</v>
      </c>
      <c r="CP118" s="24">
        <f t="shared" si="212"/>
        <v>0</v>
      </c>
      <c r="CQ118" s="24">
        <f t="shared" si="212"/>
        <v>0</v>
      </c>
      <c r="CR118" s="24">
        <f t="shared" si="212"/>
        <v>0</v>
      </c>
      <c r="CS118" s="24">
        <f t="shared" si="212"/>
        <v>0</v>
      </c>
      <c r="CT118" s="24">
        <f t="shared" si="212"/>
        <v>0</v>
      </c>
      <c r="CU118" s="24">
        <f t="shared" si="212"/>
        <v>0</v>
      </c>
      <c r="CV118" s="24">
        <f t="shared" si="212"/>
        <v>0</v>
      </c>
      <c r="CW118" s="24">
        <f t="shared" si="212"/>
        <v>0</v>
      </c>
      <c r="CX118" s="24">
        <f t="shared" si="212"/>
        <v>0</v>
      </c>
      <c r="CY118" s="24">
        <f t="shared" si="212"/>
        <v>0</v>
      </c>
      <c r="CZ118" s="25">
        <f t="shared" si="212"/>
        <v>0</v>
      </c>
    </row>
    <row r="119" spans="1:104" ht="31.2" x14ac:dyDescent="0.3">
      <c r="A119" s="26"/>
      <c r="B119" s="27"/>
      <c r="C119" s="27" t="s">
        <v>106</v>
      </c>
      <c r="D119" s="39" t="s">
        <v>223</v>
      </c>
      <c r="E119" s="23">
        <f>SUM(F119+CD119+CW119)</f>
        <v>18724102</v>
      </c>
      <c r="F119" s="24">
        <f>SUM(G119+BD119)</f>
        <v>18724102</v>
      </c>
      <c r="G119" s="24">
        <f>SUM(H119+I119+J119+Q119+T119+U119+V119+AF119+AE119)</f>
        <v>0</v>
      </c>
      <c r="H119" s="24">
        <v>0</v>
      </c>
      <c r="I119" s="24">
        <v>0</v>
      </c>
      <c r="J119" s="24">
        <f t="shared" ref="J119" si="213">SUM(K119:P119)</f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f t="shared" ref="Q119" si="214">SUM(R119:S119)</f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f>SUM(W119:AD119)</f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f>SUM(AG119:BC119)</f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/>
      <c r="AS119" s="24">
        <v>0</v>
      </c>
      <c r="AT119" s="24">
        <v>0</v>
      </c>
      <c r="AU119" s="24">
        <v>0</v>
      </c>
      <c r="AV119" s="24"/>
      <c r="AW119" s="24"/>
      <c r="AX119" s="24">
        <v>0</v>
      </c>
      <c r="AY119" s="24">
        <v>0</v>
      </c>
      <c r="AZ119" s="24">
        <v>0</v>
      </c>
      <c r="BA119" s="24">
        <v>0</v>
      </c>
      <c r="BB119" s="24"/>
      <c r="BC119" s="24">
        <v>0</v>
      </c>
      <c r="BD119" s="24">
        <f>SUM(BE119+BI119+BM119+BO119+BR119)</f>
        <v>18724102</v>
      </c>
      <c r="BE119" s="24">
        <f>SUM(BF119:BH119)</f>
        <v>18724102</v>
      </c>
      <c r="BF119" s="24">
        <v>0</v>
      </c>
      <c r="BG119" s="24">
        <v>0</v>
      </c>
      <c r="BH119" s="29">
        <f>10229102+8495000</f>
        <v>18724102</v>
      </c>
      <c r="BI119" s="24">
        <f>SUM(BL119:BL119)</f>
        <v>0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f t="shared" ref="BO119" si="215">SUM(BP119)</f>
        <v>0</v>
      </c>
      <c r="BP119" s="24">
        <v>0</v>
      </c>
      <c r="BQ119" s="24">
        <v>0</v>
      </c>
      <c r="BR119" s="24">
        <f>SUM(BS119:CC119)</f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>
        <v>0</v>
      </c>
      <c r="CD119" s="24">
        <f>SUM(CE119+CV119)</f>
        <v>0</v>
      </c>
      <c r="CE119" s="24">
        <f>SUM(CF119+CI119+CN119)</f>
        <v>0</v>
      </c>
      <c r="CF119" s="24">
        <f t="shared" ref="CF119" si="216">SUM(CG119:CH119)</f>
        <v>0</v>
      </c>
      <c r="CG119" s="24">
        <v>0</v>
      </c>
      <c r="CH119" s="24">
        <v>0</v>
      </c>
      <c r="CI119" s="24">
        <f>SUM(CJ119:CM119)</f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f>SUM(CO119:CS119)</f>
        <v>0</v>
      </c>
      <c r="CO119" s="24">
        <v>0</v>
      </c>
      <c r="CP119" s="24">
        <v>0</v>
      </c>
      <c r="CQ119" s="24">
        <v>0</v>
      </c>
      <c r="CR119" s="24"/>
      <c r="CS119" s="24"/>
      <c r="CT119" s="24">
        <v>0</v>
      </c>
      <c r="CU119" s="24">
        <v>0</v>
      </c>
      <c r="CV119" s="24">
        <v>0</v>
      </c>
      <c r="CW119" s="24">
        <f t="shared" ref="CW119" si="217">SUM(CX119)</f>
        <v>0</v>
      </c>
      <c r="CX119" s="24">
        <f t="shared" ref="CX119" si="218">SUM(CY119:CZ119)</f>
        <v>0</v>
      </c>
      <c r="CY119" s="24">
        <v>0</v>
      </c>
      <c r="CZ119" s="25">
        <v>0</v>
      </c>
    </row>
    <row r="120" spans="1:104" ht="15.6" x14ac:dyDescent="0.3">
      <c r="A120" s="20"/>
      <c r="B120" s="21" t="s">
        <v>224</v>
      </c>
      <c r="C120" s="21" t="s">
        <v>1</v>
      </c>
      <c r="D120" s="22" t="s">
        <v>225</v>
      </c>
      <c r="E120" s="23">
        <f>SUM(E121:E123)</f>
        <v>5644538</v>
      </c>
      <c r="F120" s="24">
        <f t="shared" ref="F120:BR120" si="219">SUM(F121:F123)</f>
        <v>5644538</v>
      </c>
      <c r="G120" s="24">
        <f t="shared" si="219"/>
        <v>5644538</v>
      </c>
      <c r="H120" s="24">
        <f t="shared" si="219"/>
        <v>0</v>
      </c>
      <c r="I120" s="24">
        <f t="shared" si="219"/>
        <v>0</v>
      </c>
      <c r="J120" s="24">
        <f t="shared" si="219"/>
        <v>0</v>
      </c>
      <c r="K120" s="24">
        <f t="shared" si="219"/>
        <v>0</v>
      </c>
      <c r="L120" s="24">
        <f t="shared" si="219"/>
        <v>0</v>
      </c>
      <c r="M120" s="24">
        <f t="shared" si="219"/>
        <v>0</v>
      </c>
      <c r="N120" s="24">
        <f t="shared" si="219"/>
        <v>0</v>
      </c>
      <c r="O120" s="24">
        <f t="shared" si="219"/>
        <v>0</v>
      </c>
      <c r="P120" s="24">
        <f t="shared" si="219"/>
        <v>0</v>
      </c>
      <c r="Q120" s="24">
        <f t="shared" si="219"/>
        <v>0</v>
      </c>
      <c r="R120" s="24">
        <f t="shared" si="219"/>
        <v>0</v>
      </c>
      <c r="S120" s="24">
        <f t="shared" si="219"/>
        <v>0</v>
      </c>
      <c r="T120" s="24">
        <f t="shared" si="219"/>
        <v>0</v>
      </c>
      <c r="U120" s="24">
        <f t="shared" si="219"/>
        <v>0</v>
      </c>
      <c r="V120" s="24">
        <f t="shared" si="219"/>
        <v>0</v>
      </c>
      <c r="W120" s="24">
        <f t="shared" si="219"/>
        <v>0</v>
      </c>
      <c r="X120" s="24">
        <f t="shared" si="219"/>
        <v>0</v>
      </c>
      <c r="Y120" s="24">
        <f t="shared" si="219"/>
        <v>0</v>
      </c>
      <c r="Z120" s="24">
        <f t="shared" si="219"/>
        <v>0</v>
      </c>
      <c r="AA120" s="24">
        <f t="shared" si="219"/>
        <v>0</v>
      </c>
      <c r="AB120" s="24">
        <f t="shared" si="219"/>
        <v>0</v>
      </c>
      <c r="AC120" s="24">
        <f t="shared" si="219"/>
        <v>0</v>
      </c>
      <c r="AD120" s="24">
        <f t="shared" si="219"/>
        <v>0</v>
      </c>
      <c r="AE120" s="24">
        <f t="shared" si="219"/>
        <v>0</v>
      </c>
      <c r="AF120" s="24">
        <f t="shared" si="219"/>
        <v>5644538</v>
      </c>
      <c r="AG120" s="24">
        <f t="shared" si="219"/>
        <v>0</v>
      </c>
      <c r="AH120" s="24">
        <f t="shared" si="219"/>
        <v>0</v>
      </c>
      <c r="AI120" s="24">
        <f t="shared" si="219"/>
        <v>0</v>
      </c>
      <c r="AJ120" s="24">
        <f t="shared" si="219"/>
        <v>0</v>
      </c>
      <c r="AK120" s="24">
        <f t="shared" si="219"/>
        <v>0</v>
      </c>
      <c r="AL120" s="24">
        <f t="shared" si="219"/>
        <v>0</v>
      </c>
      <c r="AM120" s="24">
        <f t="shared" si="219"/>
        <v>0</v>
      </c>
      <c r="AN120" s="24">
        <f t="shared" si="219"/>
        <v>0</v>
      </c>
      <c r="AO120" s="24">
        <f t="shared" si="219"/>
        <v>0</v>
      </c>
      <c r="AP120" s="24">
        <f t="shared" si="219"/>
        <v>0</v>
      </c>
      <c r="AQ120" s="24">
        <f t="shared" si="219"/>
        <v>0</v>
      </c>
      <c r="AR120" s="24">
        <f t="shared" ref="AR120" si="220">SUM(AR121:AR123)</f>
        <v>0</v>
      </c>
      <c r="AS120" s="24">
        <f t="shared" si="219"/>
        <v>0</v>
      </c>
      <c r="AT120" s="24">
        <f t="shared" si="219"/>
        <v>0</v>
      </c>
      <c r="AU120" s="24">
        <f t="shared" si="219"/>
        <v>0</v>
      </c>
      <c r="AV120" s="24">
        <f t="shared" si="219"/>
        <v>0</v>
      </c>
      <c r="AW120" s="24">
        <f t="shared" si="219"/>
        <v>0</v>
      </c>
      <c r="AX120" s="24">
        <f t="shared" si="219"/>
        <v>0</v>
      </c>
      <c r="AY120" s="24">
        <f t="shared" si="219"/>
        <v>0</v>
      </c>
      <c r="AZ120" s="24">
        <f t="shared" si="219"/>
        <v>0</v>
      </c>
      <c r="BA120" s="24">
        <f t="shared" si="219"/>
        <v>0</v>
      </c>
      <c r="BB120" s="24">
        <f t="shared" si="219"/>
        <v>0</v>
      </c>
      <c r="BC120" s="24">
        <f t="shared" si="219"/>
        <v>5644538</v>
      </c>
      <c r="BD120" s="24">
        <f t="shared" si="219"/>
        <v>0</v>
      </c>
      <c r="BE120" s="24">
        <f t="shared" si="219"/>
        <v>0</v>
      </c>
      <c r="BF120" s="24">
        <f t="shared" si="219"/>
        <v>0</v>
      </c>
      <c r="BG120" s="24">
        <f t="shared" si="219"/>
        <v>0</v>
      </c>
      <c r="BH120" s="24">
        <f t="shared" si="219"/>
        <v>0</v>
      </c>
      <c r="BI120" s="24">
        <f t="shared" si="219"/>
        <v>0</v>
      </c>
      <c r="BJ120" s="24">
        <f t="shared" si="219"/>
        <v>0</v>
      </c>
      <c r="BK120" s="24">
        <f t="shared" si="219"/>
        <v>0</v>
      </c>
      <c r="BL120" s="24">
        <f t="shared" si="219"/>
        <v>0</v>
      </c>
      <c r="BM120" s="24">
        <f t="shared" si="219"/>
        <v>0</v>
      </c>
      <c r="BN120" s="24">
        <f t="shared" si="219"/>
        <v>0</v>
      </c>
      <c r="BO120" s="24">
        <f t="shared" si="219"/>
        <v>0</v>
      </c>
      <c r="BP120" s="24">
        <f t="shared" si="219"/>
        <v>0</v>
      </c>
      <c r="BQ120" s="24">
        <f t="shared" si="219"/>
        <v>0</v>
      </c>
      <c r="BR120" s="24">
        <f t="shared" si="219"/>
        <v>0</v>
      </c>
      <c r="BS120" s="24">
        <f t="shared" ref="BS120:CZ120" si="221">SUM(BS121:BS123)</f>
        <v>0</v>
      </c>
      <c r="BT120" s="24">
        <f t="shared" si="221"/>
        <v>0</v>
      </c>
      <c r="BU120" s="24">
        <f t="shared" si="221"/>
        <v>0</v>
      </c>
      <c r="BV120" s="24">
        <f t="shared" si="221"/>
        <v>0</v>
      </c>
      <c r="BW120" s="24">
        <f t="shared" si="221"/>
        <v>0</v>
      </c>
      <c r="BX120" s="24">
        <f t="shared" si="221"/>
        <v>0</v>
      </c>
      <c r="BY120" s="24">
        <f t="shared" si="221"/>
        <v>0</v>
      </c>
      <c r="BZ120" s="24">
        <f t="shared" si="221"/>
        <v>0</v>
      </c>
      <c r="CA120" s="24">
        <f t="shared" si="221"/>
        <v>0</v>
      </c>
      <c r="CB120" s="24">
        <f t="shared" si="221"/>
        <v>0</v>
      </c>
      <c r="CC120" s="24">
        <f t="shared" si="221"/>
        <v>0</v>
      </c>
      <c r="CD120" s="24">
        <f t="shared" si="221"/>
        <v>0</v>
      </c>
      <c r="CE120" s="24">
        <f t="shared" si="221"/>
        <v>0</v>
      </c>
      <c r="CF120" s="24">
        <f t="shared" si="221"/>
        <v>0</v>
      </c>
      <c r="CG120" s="24">
        <f t="shared" si="221"/>
        <v>0</v>
      </c>
      <c r="CH120" s="24">
        <f t="shared" si="221"/>
        <v>0</v>
      </c>
      <c r="CI120" s="24">
        <f t="shared" si="221"/>
        <v>0</v>
      </c>
      <c r="CJ120" s="24">
        <f t="shared" si="221"/>
        <v>0</v>
      </c>
      <c r="CK120" s="24">
        <f t="shared" si="221"/>
        <v>0</v>
      </c>
      <c r="CL120" s="24">
        <f t="shared" si="221"/>
        <v>0</v>
      </c>
      <c r="CM120" s="24">
        <f t="shared" si="221"/>
        <v>0</v>
      </c>
      <c r="CN120" s="24">
        <f t="shared" si="221"/>
        <v>0</v>
      </c>
      <c r="CO120" s="24">
        <f t="shared" si="221"/>
        <v>0</v>
      </c>
      <c r="CP120" s="24">
        <f t="shared" si="221"/>
        <v>0</v>
      </c>
      <c r="CQ120" s="24">
        <f t="shared" si="221"/>
        <v>0</v>
      </c>
      <c r="CR120" s="24">
        <f t="shared" si="221"/>
        <v>0</v>
      </c>
      <c r="CS120" s="24">
        <f t="shared" si="221"/>
        <v>0</v>
      </c>
      <c r="CT120" s="24">
        <f t="shared" si="221"/>
        <v>0</v>
      </c>
      <c r="CU120" s="24">
        <f t="shared" si="221"/>
        <v>0</v>
      </c>
      <c r="CV120" s="24">
        <f t="shared" si="221"/>
        <v>0</v>
      </c>
      <c r="CW120" s="24">
        <f t="shared" si="221"/>
        <v>0</v>
      </c>
      <c r="CX120" s="24">
        <f t="shared" si="221"/>
        <v>0</v>
      </c>
      <c r="CY120" s="24">
        <f t="shared" si="221"/>
        <v>0</v>
      </c>
      <c r="CZ120" s="25">
        <f t="shared" si="221"/>
        <v>0</v>
      </c>
    </row>
    <row r="121" spans="1:104" ht="15.6" x14ac:dyDescent="0.3">
      <c r="A121" s="26"/>
      <c r="B121" s="27" t="s">
        <v>1</v>
      </c>
      <c r="C121" s="27" t="s">
        <v>117</v>
      </c>
      <c r="D121" s="28" t="s">
        <v>226</v>
      </c>
      <c r="E121" s="23">
        <f>SUM(F121+CD121+CW121)</f>
        <v>0</v>
      </c>
      <c r="F121" s="24">
        <f>SUM(G121+BD121)</f>
        <v>0</v>
      </c>
      <c r="G121" s="24">
        <f>SUM(H121+I121+J121+Q121+T121+U121+V121+AF121+AE121)</f>
        <v>0</v>
      </c>
      <c r="H121" s="24">
        <v>0</v>
      </c>
      <c r="I121" s="24">
        <v>0</v>
      </c>
      <c r="J121" s="24">
        <f t="shared" si="111"/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f t="shared" si="112"/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f>SUM(W121:AD121)</f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f>SUM(AG121:BC121)</f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/>
      <c r="AS121" s="24">
        <v>0</v>
      </c>
      <c r="AT121" s="24">
        <v>0</v>
      </c>
      <c r="AU121" s="24">
        <v>0</v>
      </c>
      <c r="AV121" s="24"/>
      <c r="AW121" s="24"/>
      <c r="AX121" s="24">
        <v>0</v>
      </c>
      <c r="AY121" s="24">
        <v>0</v>
      </c>
      <c r="AZ121" s="24">
        <v>0</v>
      </c>
      <c r="BA121" s="24">
        <v>0</v>
      </c>
      <c r="BB121" s="24"/>
      <c r="BC121" s="30">
        <f>5844890-5844890</f>
        <v>0</v>
      </c>
      <c r="BD121" s="24">
        <f>SUM(BE121+BI121+BM121+BO121+BR121)</f>
        <v>0</v>
      </c>
      <c r="BE121" s="24">
        <f>SUM(BF121:BH121)</f>
        <v>0</v>
      </c>
      <c r="BF121" s="24">
        <v>0</v>
      </c>
      <c r="BG121" s="24">
        <v>0</v>
      </c>
      <c r="BH121" s="24">
        <v>0</v>
      </c>
      <c r="BI121" s="24">
        <f>SUM(BL121:BL121)</f>
        <v>0</v>
      </c>
      <c r="BJ121" s="24">
        <v>0</v>
      </c>
      <c r="BK121" s="24">
        <v>0</v>
      </c>
      <c r="BL121" s="24">
        <v>0</v>
      </c>
      <c r="BM121" s="24">
        <v>0</v>
      </c>
      <c r="BN121" s="24">
        <v>0</v>
      </c>
      <c r="BO121" s="24">
        <f t="shared" si="113"/>
        <v>0</v>
      </c>
      <c r="BP121" s="24">
        <v>0</v>
      </c>
      <c r="BQ121" s="24">
        <v>0</v>
      </c>
      <c r="BR121" s="24">
        <f>SUM(BS121:CC121)</f>
        <v>0</v>
      </c>
      <c r="BS121" s="24">
        <v>0</v>
      </c>
      <c r="BT121" s="24">
        <v>0</v>
      </c>
      <c r="BU121" s="24">
        <v>0</v>
      </c>
      <c r="BV121" s="24">
        <v>0</v>
      </c>
      <c r="BW121" s="24">
        <v>0</v>
      </c>
      <c r="BX121" s="24">
        <v>0</v>
      </c>
      <c r="BY121" s="24">
        <v>0</v>
      </c>
      <c r="BZ121" s="24">
        <v>0</v>
      </c>
      <c r="CA121" s="24">
        <v>0</v>
      </c>
      <c r="CB121" s="24">
        <v>0</v>
      </c>
      <c r="CC121" s="24">
        <v>0</v>
      </c>
      <c r="CD121" s="24">
        <f>SUM(CE121+CV121)</f>
        <v>0</v>
      </c>
      <c r="CE121" s="24">
        <f>SUM(CF121+CI121+CN121)</f>
        <v>0</v>
      </c>
      <c r="CF121" s="24">
        <f t="shared" si="114"/>
        <v>0</v>
      </c>
      <c r="CG121" s="24">
        <v>0</v>
      </c>
      <c r="CH121" s="24">
        <v>0</v>
      </c>
      <c r="CI121" s="24">
        <f>SUM(CJ121:CM121)</f>
        <v>0</v>
      </c>
      <c r="CJ121" s="24">
        <v>0</v>
      </c>
      <c r="CK121" s="24">
        <v>0</v>
      </c>
      <c r="CL121" s="24">
        <v>0</v>
      </c>
      <c r="CM121" s="24">
        <v>0</v>
      </c>
      <c r="CN121" s="24">
        <f>SUM(CO121:CS121)</f>
        <v>0</v>
      </c>
      <c r="CO121" s="24">
        <v>0</v>
      </c>
      <c r="CP121" s="24">
        <v>0</v>
      </c>
      <c r="CQ121" s="24">
        <v>0</v>
      </c>
      <c r="CR121" s="24"/>
      <c r="CS121" s="24"/>
      <c r="CT121" s="24">
        <v>0</v>
      </c>
      <c r="CU121" s="24">
        <v>0</v>
      </c>
      <c r="CV121" s="24">
        <v>0</v>
      </c>
      <c r="CW121" s="24">
        <f t="shared" si="115"/>
        <v>0</v>
      </c>
      <c r="CX121" s="24">
        <f t="shared" si="116"/>
        <v>0</v>
      </c>
      <c r="CY121" s="24">
        <v>0</v>
      </c>
      <c r="CZ121" s="25">
        <v>0</v>
      </c>
    </row>
    <row r="122" spans="1:104" ht="31.2" x14ac:dyDescent="0.3">
      <c r="A122" s="26"/>
      <c r="B122" s="27"/>
      <c r="C122" s="27" t="s">
        <v>82</v>
      </c>
      <c r="D122" s="39" t="s">
        <v>629</v>
      </c>
      <c r="E122" s="23">
        <f>SUM(F122+CD122+CW122)</f>
        <v>976800</v>
      </c>
      <c r="F122" s="24">
        <f>SUM(G122+BD122)</f>
        <v>976800</v>
      </c>
      <c r="G122" s="24">
        <f t="shared" ref="G122:G123" si="222">SUM(H122+I122+J122+Q122+T122+U122+V122+AF122+AE122)</f>
        <v>976800</v>
      </c>
      <c r="H122" s="24">
        <v>0</v>
      </c>
      <c r="I122" s="24">
        <v>0</v>
      </c>
      <c r="J122" s="24">
        <f t="shared" ref="J122:J123" si="223">SUM(K122:P122)</f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f t="shared" ref="Q122:Q123" si="224">SUM(R122:S122)</f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f t="shared" ref="V122:V123" si="225">SUM(W122:AD122)</f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f>SUM(AG122:BC122)</f>
        <v>976800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/>
      <c r="AS122" s="24">
        <v>0</v>
      </c>
      <c r="AT122" s="24">
        <v>0</v>
      </c>
      <c r="AU122" s="24">
        <v>0</v>
      </c>
      <c r="AV122" s="24"/>
      <c r="AW122" s="24"/>
      <c r="AX122" s="24">
        <v>0</v>
      </c>
      <c r="AY122" s="24">
        <v>0</v>
      </c>
      <c r="AZ122" s="24">
        <v>0</v>
      </c>
      <c r="BA122" s="24">
        <v>0</v>
      </c>
      <c r="BB122" s="24"/>
      <c r="BC122" s="24">
        <f>0+976800</f>
        <v>976800</v>
      </c>
      <c r="BD122" s="24">
        <f t="shared" ref="BD122:BD123" si="226">SUM(BE122+BI122+BM122+BO122+BR122)</f>
        <v>0</v>
      </c>
      <c r="BE122" s="24">
        <f t="shared" ref="BE122:BE123" si="227">SUM(BF122:BH122)</f>
        <v>0</v>
      </c>
      <c r="BF122" s="24">
        <v>0</v>
      </c>
      <c r="BG122" s="24">
        <v>0</v>
      </c>
      <c r="BH122" s="29"/>
      <c r="BI122" s="24">
        <f t="shared" ref="BI122:BI123" si="228">SUM(BL122:BL122)</f>
        <v>0</v>
      </c>
      <c r="BJ122" s="24">
        <v>0</v>
      </c>
      <c r="BK122" s="24">
        <v>0</v>
      </c>
      <c r="BL122" s="24">
        <v>0</v>
      </c>
      <c r="BM122" s="24">
        <v>0</v>
      </c>
      <c r="BN122" s="24">
        <v>0</v>
      </c>
      <c r="BO122" s="24">
        <f t="shared" ref="BO122:BO123" si="229">SUM(BP122)</f>
        <v>0</v>
      </c>
      <c r="BP122" s="24">
        <v>0</v>
      </c>
      <c r="BQ122" s="24">
        <v>0</v>
      </c>
      <c r="BR122" s="24">
        <f t="shared" ref="BR122:BR123" si="230">SUM(BS122:CC122)</f>
        <v>0</v>
      </c>
      <c r="BS122" s="24">
        <v>0</v>
      </c>
      <c r="BT122" s="24">
        <v>0</v>
      </c>
      <c r="BU122" s="24">
        <v>0</v>
      </c>
      <c r="BV122" s="24">
        <v>0</v>
      </c>
      <c r="BW122" s="24">
        <v>0</v>
      </c>
      <c r="BX122" s="24">
        <v>0</v>
      </c>
      <c r="BY122" s="24">
        <v>0</v>
      </c>
      <c r="BZ122" s="24">
        <v>0</v>
      </c>
      <c r="CA122" s="24">
        <v>0</v>
      </c>
      <c r="CB122" s="24">
        <v>0</v>
      </c>
      <c r="CC122" s="24">
        <v>0</v>
      </c>
      <c r="CD122" s="24">
        <f t="shared" ref="CD122:CD123" si="231">SUM(CE122+CV122)</f>
        <v>0</v>
      </c>
      <c r="CE122" s="24">
        <f t="shared" ref="CE122:CE123" si="232">SUM(CF122+CI122+CN122)</f>
        <v>0</v>
      </c>
      <c r="CF122" s="24">
        <f t="shared" ref="CF122:CF123" si="233">SUM(CG122:CH122)</f>
        <v>0</v>
      </c>
      <c r="CG122" s="24">
        <v>0</v>
      </c>
      <c r="CH122" s="24">
        <v>0</v>
      </c>
      <c r="CI122" s="24">
        <f t="shared" ref="CI122:CI123" si="234">SUM(CJ122:CM122)</f>
        <v>0</v>
      </c>
      <c r="CJ122" s="24">
        <v>0</v>
      </c>
      <c r="CK122" s="24">
        <v>0</v>
      </c>
      <c r="CL122" s="24">
        <v>0</v>
      </c>
      <c r="CM122" s="24">
        <v>0</v>
      </c>
      <c r="CN122" s="24">
        <f t="shared" ref="CN122:CN123" si="235">SUM(CO122:CS122)</f>
        <v>0</v>
      </c>
      <c r="CO122" s="24">
        <v>0</v>
      </c>
      <c r="CP122" s="24">
        <v>0</v>
      </c>
      <c r="CQ122" s="24">
        <v>0</v>
      </c>
      <c r="CR122" s="24"/>
      <c r="CS122" s="24"/>
      <c r="CT122" s="24">
        <v>0</v>
      </c>
      <c r="CU122" s="24">
        <v>0</v>
      </c>
      <c r="CV122" s="24">
        <v>0</v>
      </c>
      <c r="CW122" s="24">
        <f t="shared" ref="CW122:CW123" si="236">SUM(CX122)</f>
        <v>0</v>
      </c>
      <c r="CX122" s="24">
        <f t="shared" ref="CX122:CX123" si="237">SUM(CY122:CZ122)</f>
        <v>0</v>
      </c>
      <c r="CY122" s="24">
        <v>0</v>
      </c>
      <c r="CZ122" s="25">
        <v>0</v>
      </c>
    </row>
    <row r="123" spans="1:104" ht="31.2" x14ac:dyDescent="0.3">
      <c r="A123" s="26"/>
      <c r="B123" s="27"/>
      <c r="C123" s="27" t="s">
        <v>106</v>
      </c>
      <c r="D123" s="39" t="s">
        <v>630</v>
      </c>
      <c r="E123" s="23">
        <f>SUM(F123+CD123+CW123)</f>
        <v>4667738</v>
      </c>
      <c r="F123" s="24">
        <f>SUM(G123+BD123)</f>
        <v>4667738</v>
      </c>
      <c r="G123" s="24">
        <f t="shared" si="222"/>
        <v>4667738</v>
      </c>
      <c r="H123" s="24">
        <v>0</v>
      </c>
      <c r="I123" s="24">
        <v>0</v>
      </c>
      <c r="J123" s="24">
        <f t="shared" si="223"/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f t="shared" si="224"/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f t="shared" si="225"/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f>SUM(AG123:BC123)</f>
        <v>4667738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/>
      <c r="AS123" s="24">
        <v>0</v>
      </c>
      <c r="AT123" s="24">
        <v>0</v>
      </c>
      <c r="AU123" s="24">
        <v>0</v>
      </c>
      <c r="AV123" s="24"/>
      <c r="AW123" s="24"/>
      <c r="AX123" s="24">
        <v>0</v>
      </c>
      <c r="AY123" s="24">
        <v>0</v>
      </c>
      <c r="AZ123" s="24">
        <v>0</v>
      </c>
      <c r="BA123" s="24">
        <v>0</v>
      </c>
      <c r="BB123" s="24"/>
      <c r="BC123" s="24">
        <f>0+4868090-200352</f>
        <v>4667738</v>
      </c>
      <c r="BD123" s="24">
        <f t="shared" si="226"/>
        <v>0</v>
      </c>
      <c r="BE123" s="24">
        <f t="shared" si="227"/>
        <v>0</v>
      </c>
      <c r="BF123" s="24">
        <v>0</v>
      </c>
      <c r="BG123" s="24">
        <v>0</v>
      </c>
      <c r="BH123" s="29"/>
      <c r="BI123" s="24">
        <f t="shared" si="228"/>
        <v>0</v>
      </c>
      <c r="BJ123" s="24">
        <v>0</v>
      </c>
      <c r="BK123" s="24">
        <v>0</v>
      </c>
      <c r="BL123" s="24">
        <v>0</v>
      </c>
      <c r="BM123" s="24">
        <v>0</v>
      </c>
      <c r="BN123" s="24">
        <v>0</v>
      </c>
      <c r="BO123" s="24">
        <f t="shared" si="229"/>
        <v>0</v>
      </c>
      <c r="BP123" s="24">
        <v>0</v>
      </c>
      <c r="BQ123" s="24">
        <v>0</v>
      </c>
      <c r="BR123" s="24">
        <f t="shared" si="230"/>
        <v>0</v>
      </c>
      <c r="BS123" s="24">
        <v>0</v>
      </c>
      <c r="BT123" s="24">
        <v>0</v>
      </c>
      <c r="BU123" s="24">
        <v>0</v>
      </c>
      <c r="BV123" s="24">
        <v>0</v>
      </c>
      <c r="BW123" s="24">
        <v>0</v>
      </c>
      <c r="BX123" s="24">
        <v>0</v>
      </c>
      <c r="BY123" s="24">
        <v>0</v>
      </c>
      <c r="BZ123" s="24">
        <v>0</v>
      </c>
      <c r="CA123" s="24">
        <v>0</v>
      </c>
      <c r="CB123" s="24">
        <v>0</v>
      </c>
      <c r="CC123" s="24">
        <v>0</v>
      </c>
      <c r="CD123" s="24">
        <f t="shared" si="231"/>
        <v>0</v>
      </c>
      <c r="CE123" s="24">
        <f t="shared" si="232"/>
        <v>0</v>
      </c>
      <c r="CF123" s="24">
        <f t="shared" si="233"/>
        <v>0</v>
      </c>
      <c r="CG123" s="24">
        <v>0</v>
      </c>
      <c r="CH123" s="24">
        <v>0</v>
      </c>
      <c r="CI123" s="24">
        <f t="shared" si="234"/>
        <v>0</v>
      </c>
      <c r="CJ123" s="24">
        <v>0</v>
      </c>
      <c r="CK123" s="24">
        <v>0</v>
      </c>
      <c r="CL123" s="24">
        <v>0</v>
      </c>
      <c r="CM123" s="24">
        <v>0</v>
      </c>
      <c r="CN123" s="24">
        <f t="shared" si="235"/>
        <v>0</v>
      </c>
      <c r="CO123" s="24">
        <v>0</v>
      </c>
      <c r="CP123" s="24">
        <v>0</v>
      </c>
      <c r="CQ123" s="24">
        <v>0</v>
      </c>
      <c r="CR123" s="24"/>
      <c r="CS123" s="24"/>
      <c r="CT123" s="24">
        <v>0</v>
      </c>
      <c r="CU123" s="24">
        <v>0</v>
      </c>
      <c r="CV123" s="24">
        <v>0</v>
      </c>
      <c r="CW123" s="24">
        <f t="shared" si="236"/>
        <v>0</v>
      </c>
      <c r="CX123" s="24">
        <f t="shared" si="237"/>
        <v>0</v>
      </c>
      <c r="CY123" s="24">
        <v>0</v>
      </c>
      <c r="CZ123" s="25">
        <v>0</v>
      </c>
    </row>
    <row r="124" spans="1:104" ht="31.2" x14ac:dyDescent="0.3">
      <c r="A124" s="20"/>
      <c r="B124" s="21" t="s">
        <v>227</v>
      </c>
      <c r="C124" s="21" t="s">
        <v>1</v>
      </c>
      <c r="D124" s="22" t="s">
        <v>228</v>
      </c>
      <c r="E124" s="23">
        <f t="shared" ref="E124:BA124" si="238">SUM(E125:E125)</f>
        <v>1563895</v>
      </c>
      <c r="F124" s="24">
        <f t="shared" si="238"/>
        <v>1563895</v>
      </c>
      <c r="G124" s="24">
        <f t="shared" si="238"/>
        <v>1563895</v>
      </c>
      <c r="H124" s="24">
        <f t="shared" si="238"/>
        <v>0</v>
      </c>
      <c r="I124" s="24">
        <f t="shared" si="238"/>
        <v>0</v>
      </c>
      <c r="J124" s="24">
        <f t="shared" si="238"/>
        <v>0</v>
      </c>
      <c r="K124" s="24">
        <f t="shared" si="238"/>
        <v>0</v>
      </c>
      <c r="L124" s="24">
        <f t="shared" si="238"/>
        <v>0</v>
      </c>
      <c r="M124" s="24">
        <f t="shared" si="238"/>
        <v>0</v>
      </c>
      <c r="N124" s="24">
        <f t="shared" si="238"/>
        <v>0</v>
      </c>
      <c r="O124" s="24">
        <f t="shared" si="238"/>
        <v>0</v>
      </c>
      <c r="P124" s="24">
        <f t="shared" si="238"/>
        <v>0</v>
      </c>
      <c r="Q124" s="24">
        <f t="shared" si="238"/>
        <v>0</v>
      </c>
      <c r="R124" s="24">
        <f t="shared" si="238"/>
        <v>0</v>
      </c>
      <c r="S124" s="24">
        <f t="shared" si="238"/>
        <v>0</v>
      </c>
      <c r="T124" s="24">
        <f t="shared" si="238"/>
        <v>0</v>
      </c>
      <c r="U124" s="24">
        <f t="shared" si="238"/>
        <v>0</v>
      </c>
      <c r="V124" s="24">
        <f t="shared" si="238"/>
        <v>0</v>
      </c>
      <c r="W124" s="24">
        <f t="shared" si="238"/>
        <v>0</v>
      </c>
      <c r="X124" s="24">
        <f t="shared" si="238"/>
        <v>0</v>
      </c>
      <c r="Y124" s="24">
        <f t="shared" si="238"/>
        <v>0</v>
      </c>
      <c r="Z124" s="24">
        <f t="shared" si="238"/>
        <v>0</v>
      </c>
      <c r="AA124" s="24">
        <f t="shared" si="238"/>
        <v>0</v>
      </c>
      <c r="AB124" s="24">
        <f t="shared" si="238"/>
        <v>0</v>
      </c>
      <c r="AC124" s="24">
        <f t="shared" si="238"/>
        <v>0</v>
      </c>
      <c r="AD124" s="24">
        <f t="shared" si="238"/>
        <v>0</v>
      </c>
      <c r="AE124" s="24">
        <f t="shared" si="238"/>
        <v>0</v>
      </c>
      <c r="AF124" s="24">
        <f t="shared" si="238"/>
        <v>1563895</v>
      </c>
      <c r="AG124" s="24">
        <f t="shared" si="238"/>
        <v>0</v>
      </c>
      <c r="AH124" s="24">
        <f t="shared" si="238"/>
        <v>0</v>
      </c>
      <c r="AI124" s="24">
        <f t="shared" si="238"/>
        <v>0</v>
      </c>
      <c r="AJ124" s="24">
        <f t="shared" si="238"/>
        <v>0</v>
      </c>
      <c r="AK124" s="24">
        <f t="shared" si="238"/>
        <v>0</v>
      </c>
      <c r="AL124" s="24">
        <f t="shared" si="238"/>
        <v>0</v>
      </c>
      <c r="AM124" s="24">
        <f t="shared" si="238"/>
        <v>0</v>
      </c>
      <c r="AN124" s="24">
        <f t="shared" si="238"/>
        <v>0</v>
      </c>
      <c r="AO124" s="24">
        <f t="shared" si="238"/>
        <v>0</v>
      </c>
      <c r="AP124" s="24">
        <f t="shared" si="238"/>
        <v>0</v>
      </c>
      <c r="AQ124" s="24">
        <f t="shared" si="238"/>
        <v>0</v>
      </c>
      <c r="AR124" s="24">
        <f t="shared" si="238"/>
        <v>0</v>
      </c>
      <c r="AS124" s="24">
        <f t="shared" si="238"/>
        <v>0</v>
      </c>
      <c r="AT124" s="24">
        <f t="shared" si="238"/>
        <v>0</v>
      </c>
      <c r="AU124" s="24">
        <f t="shared" si="238"/>
        <v>0</v>
      </c>
      <c r="AV124" s="24">
        <f t="shared" si="238"/>
        <v>0</v>
      </c>
      <c r="AW124" s="24">
        <f t="shared" si="238"/>
        <v>0</v>
      </c>
      <c r="AX124" s="24">
        <f t="shared" si="238"/>
        <v>0</v>
      </c>
      <c r="AY124" s="24">
        <f t="shared" si="238"/>
        <v>0</v>
      </c>
      <c r="AZ124" s="24">
        <f t="shared" si="238"/>
        <v>0</v>
      </c>
      <c r="BA124" s="24">
        <f t="shared" si="238"/>
        <v>0</v>
      </c>
      <c r="BB124" s="24"/>
      <c r="BC124" s="24">
        <f t="shared" ref="BC124:CZ124" si="239">SUM(BC125:BC125)</f>
        <v>1563895</v>
      </c>
      <c r="BD124" s="24">
        <f t="shared" si="239"/>
        <v>0</v>
      </c>
      <c r="BE124" s="24">
        <f t="shared" si="239"/>
        <v>0</v>
      </c>
      <c r="BF124" s="24">
        <f t="shared" si="239"/>
        <v>0</v>
      </c>
      <c r="BG124" s="24">
        <f t="shared" si="239"/>
        <v>0</v>
      </c>
      <c r="BH124" s="24">
        <f t="shared" si="239"/>
        <v>0</v>
      </c>
      <c r="BI124" s="24">
        <f t="shared" si="239"/>
        <v>0</v>
      </c>
      <c r="BJ124" s="24">
        <f t="shared" si="239"/>
        <v>0</v>
      </c>
      <c r="BK124" s="24">
        <f t="shared" si="239"/>
        <v>0</v>
      </c>
      <c r="BL124" s="24">
        <f t="shared" si="239"/>
        <v>0</v>
      </c>
      <c r="BM124" s="24">
        <f t="shared" si="239"/>
        <v>0</v>
      </c>
      <c r="BN124" s="24">
        <f t="shared" si="239"/>
        <v>0</v>
      </c>
      <c r="BO124" s="24">
        <f t="shared" si="239"/>
        <v>0</v>
      </c>
      <c r="BP124" s="24">
        <f t="shared" si="239"/>
        <v>0</v>
      </c>
      <c r="BQ124" s="24">
        <f t="shared" si="239"/>
        <v>0</v>
      </c>
      <c r="BR124" s="24">
        <f t="shared" si="239"/>
        <v>0</v>
      </c>
      <c r="BS124" s="24">
        <f t="shared" si="239"/>
        <v>0</v>
      </c>
      <c r="BT124" s="24">
        <f t="shared" si="239"/>
        <v>0</v>
      </c>
      <c r="BU124" s="24">
        <f t="shared" si="239"/>
        <v>0</v>
      </c>
      <c r="BV124" s="24">
        <f t="shared" si="239"/>
        <v>0</v>
      </c>
      <c r="BW124" s="24">
        <f t="shared" si="239"/>
        <v>0</v>
      </c>
      <c r="BX124" s="24">
        <f t="shared" si="239"/>
        <v>0</v>
      </c>
      <c r="BY124" s="24">
        <f t="shared" si="239"/>
        <v>0</v>
      </c>
      <c r="BZ124" s="24">
        <f t="shared" si="239"/>
        <v>0</v>
      </c>
      <c r="CA124" s="24">
        <f t="shared" si="239"/>
        <v>0</v>
      </c>
      <c r="CB124" s="24">
        <f t="shared" si="239"/>
        <v>0</v>
      </c>
      <c r="CC124" s="24">
        <f t="shared" si="239"/>
        <v>0</v>
      </c>
      <c r="CD124" s="24">
        <f t="shared" si="239"/>
        <v>0</v>
      </c>
      <c r="CE124" s="24">
        <f t="shared" si="239"/>
        <v>0</v>
      </c>
      <c r="CF124" s="24">
        <f t="shared" si="239"/>
        <v>0</v>
      </c>
      <c r="CG124" s="24">
        <f t="shared" si="239"/>
        <v>0</v>
      </c>
      <c r="CH124" s="24">
        <f t="shared" si="239"/>
        <v>0</v>
      </c>
      <c r="CI124" s="24">
        <f t="shared" si="239"/>
        <v>0</v>
      </c>
      <c r="CJ124" s="24">
        <f t="shared" si="239"/>
        <v>0</v>
      </c>
      <c r="CK124" s="24">
        <f t="shared" si="239"/>
        <v>0</v>
      </c>
      <c r="CL124" s="24">
        <f t="shared" si="239"/>
        <v>0</v>
      </c>
      <c r="CM124" s="24">
        <f t="shared" si="239"/>
        <v>0</v>
      </c>
      <c r="CN124" s="24">
        <f t="shared" si="239"/>
        <v>0</v>
      </c>
      <c r="CO124" s="24">
        <f t="shared" si="239"/>
        <v>0</v>
      </c>
      <c r="CP124" s="24">
        <f t="shared" si="239"/>
        <v>0</v>
      </c>
      <c r="CQ124" s="24">
        <f t="shared" si="239"/>
        <v>0</v>
      </c>
      <c r="CR124" s="24">
        <f t="shared" si="239"/>
        <v>0</v>
      </c>
      <c r="CS124" s="24">
        <f t="shared" si="239"/>
        <v>0</v>
      </c>
      <c r="CT124" s="24">
        <f t="shared" si="239"/>
        <v>0</v>
      </c>
      <c r="CU124" s="24">
        <f t="shared" si="239"/>
        <v>0</v>
      </c>
      <c r="CV124" s="24">
        <f t="shared" si="239"/>
        <v>0</v>
      </c>
      <c r="CW124" s="24">
        <f t="shared" si="239"/>
        <v>0</v>
      </c>
      <c r="CX124" s="24">
        <f t="shared" si="239"/>
        <v>0</v>
      </c>
      <c r="CY124" s="24">
        <f t="shared" si="239"/>
        <v>0</v>
      </c>
      <c r="CZ124" s="25">
        <f t="shared" si="239"/>
        <v>0</v>
      </c>
    </row>
    <row r="125" spans="1:104" ht="31.2" x14ac:dyDescent="0.3">
      <c r="A125" s="26" t="s">
        <v>1</v>
      </c>
      <c r="B125" s="27" t="s">
        <v>1</v>
      </c>
      <c r="C125" s="27" t="s">
        <v>106</v>
      </c>
      <c r="D125" s="28" t="s">
        <v>556</v>
      </c>
      <c r="E125" s="23">
        <f>SUM(F125+CD125+CW125)</f>
        <v>1563895</v>
      </c>
      <c r="F125" s="24">
        <f>SUM(G125+BD125)</f>
        <v>1563895</v>
      </c>
      <c r="G125" s="24">
        <f>SUM(H125+I125+J125+Q125+T125+U125+V125+AF125+AE125)</f>
        <v>1563895</v>
      </c>
      <c r="H125" s="24">
        <v>0</v>
      </c>
      <c r="I125" s="24">
        <v>0</v>
      </c>
      <c r="J125" s="24">
        <f t="shared" si="111"/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f t="shared" si="112"/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f>SUM(W125:AD125)</f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f>SUM(AG125:BC125)</f>
        <v>1563895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/>
      <c r="AS125" s="24">
        <v>0</v>
      </c>
      <c r="AT125" s="24">
        <v>0</v>
      </c>
      <c r="AU125" s="24">
        <v>0</v>
      </c>
      <c r="AV125" s="24"/>
      <c r="AW125" s="24"/>
      <c r="AX125" s="24">
        <v>0</v>
      </c>
      <c r="AY125" s="24">
        <v>0</v>
      </c>
      <c r="AZ125" s="24">
        <v>0</v>
      </c>
      <c r="BA125" s="24">
        <v>0</v>
      </c>
      <c r="BB125" s="24"/>
      <c r="BC125" s="29">
        <f>1650923-87028</f>
        <v>1563895</v>
      </c>
      <c r="BD125" s="24">
        <f>SUM(BE125+BI125+BM125+BO125+BR125)</f>
        <v>0</v>
      </c>
      <c r="BE125" s="24">
        <f>SUM(BF125:BH125)</f>
        <v>0</v>
      </c>
      <c r="BF125" s="24">
        <v>0</v>
      </c>
      <c r="BG125" s="24">
        <v>0</v>
      </c>
      <c r="BH125" s="24">
        <v>0</v>
      </c>
      <c r="BI125" s="24">
        <f>SUM(BL125:BL125)</f>
        <v>0</v>
      </c>
      <c r="BJ125" s="24">
        <v>0</v>
      </c>
      <c r="BK125" s="24">
        <v>0</v>
      </c>
      <c r="BL125" s="24">
        <v>0</v>
      </c>
      <c r="BM125" s="24">
        <v>0</v>
      </c>
      <c r="BN125" s="24">
        <v>0</v>
      </c>
      <c r="BO125" s="24">
        <f t="shared" si="113"/>
        <v>0</v>
      </c>
      <c r="BP125" s="24">
        <v>0</v>
      </c>
      <c r="BQ125" s="24">
        <v>0</v>
      </c>
      <c r="BR125" s="24">
        <f>SUM(BS125:CC125)</f>
        <v>0</v>
      </c>
      <c r="BS125" s="24">
        <v>0</v>
      </c>
      <c r="BT125" s="24">
        <v>0</v>
      </c>
      <c r="BU125" s="24">
        <v>0</v>
      </c>
      <c r="BV125" s="24">
        <v>0</v>
      </c>
      <c r="BW125" s="24">
        <v>0</v>
      </c>
      <c r="BX125" s="24">
        <v>0</v>
      </c>
      <c r="BY125" s="24">
        <v>0</v>
      </c>
      <c r="BZ125" s="24">
        <v>0</v>
      </c>
      <c r="CA125" s="24">
        <v>0</v>
      </c>
      <c r="CB125" s="24">
        <v>0</v>
      </c>
      <c r="CC125" s="24">
        <v>0</v>
      </c>
      <c r="CD125" s="24">
        <f>SUM(CE125+CV125)</f>
        <v>0</v>
      </c>
      <c r="CE125" s="24">
        <f>SUM(CF125+CI125+CN125)</f>
        <v>0</v>
      </c>
      <c r="CF125" s="24">
        <f t="shared" si="114"/>
        <v>0</v>
      </c>
      <c r="CG125" s="24">
        <v>0</v>
      </c>
      <c r="CH125" s="24">
        <v>0</v>
      </c>
      <c r="CI125" s="24">
        <f>SUM(CJ125:CM125)</f>
        <v>0</v>
      </c>
      <c r="CJ125" s="24">
        <v>0</v>
      </c>
      <c r="CK125" s="24">
        <v>0</v>
      </c>
      <c r="CL125" s="24">
        <v>0</v>
      </c>
      <c r="CM125" s="24">
        <v>0</v>
      </c>
      <c r="CN125" s="24">
        <f>SUM(CO125:CS125)</f>
        <v>0</v>
      </c>
      <c r="CO125" s="24">
        <v>0</v>
      </c>
      <c r="CP125" s="24">
        <v>0</v>
      </c>
      <c r="CQ125" s="24">
        <v>0</v>
      </c>
      <c r="CR125" s="24"/>
      <c r="CS125" s="24"/>
      <c r="CT125" s="24">
        <v>0</v>
      </c>
      <c r="CU125" s="24">
        <v>0</v>
      </c>
      <c r="CV125" s="24">
        <v>0</v>
      </c>
      <c r="CW125" s="24">
        <f t="shared" si="115"/>
        <v>0</v>
      </c>
      <c r="CX125" s="24">
        <f t="shared" si="116"/>
        <v>0</v>
      </c>
      <c r="CY125" s="24">
        <v>0</v>
      </c>
      <c r="CZ125" s="25">
        <v>0</v>
      </c>
    </row>
    <row r="126" spans="1:104" ht="15.6" x14ac:dyDescent="0.3">
      <c r="A126" s="31" t="s">
        <v>229</v>
      </c>
      <c r="B126" s="32" t="s">
        <v>1</v>
      </c>
      <c r="C126" s="32" t="s">
        <v>1</v>
      </c>
      <c r="D126" s="33" t="s">
        <v>230</v>
      </c>
      <c r="E126" s="34">
        <f>SUM(E127+E131+E135+E139+E141+E143)</f>
        <v>320292715</v>
      </c>
      <c r="F126" s="35">
        <f t="shared" ref="F126:BX126" si="240">SUM(F127+F131+F135+F139+F141+F143)</f>
        <v>317183341</v>
      </c>
      <c r="G126" s="35">
        <f t="shared" si="240"/>
        <v>276731827</v>
      </c>
      <c r="H126" s="35">
        <f t="shared" si="240"/>
        <v>193396147</v>
      </c>
      <c r="I126" s="35">
        <f t="shared" si="240"/>
        <v>45274965</v>
      </c>
      <c r="J126" s="35">
        <f t="shared" si="240"/>
        <v>21106235</v>
      </c>
      <c r="K126" s="35">
        <f t="shared" si="240"/>
        <v>315930</v>
      </c>
      <c r="L126" s="35">
        <f t="shared" si="240"/>
        <v>1577115</v>
      </c>
      <c r="M126" s="35">
        <f t="shared" si="240"/>
        <v>15978704</v>
      </c>
      <c r="N126" s="35">
        <f t="shared" si="240"/>
        <v>300995</v>
      </c>
      <c r="O126" s="35">
        <f t="shared" si="240"/>
        <v>1590279</v>
      </c>
      <c r="P126" s="35">
        <f t="shared" si="240"/>
        <v>1343212</v>
      </c>
      <c r="Q126" s="35">
        <f t="shared" si="240"/>
        <v>2390</v>
      </c>
      <c r="R126" s="35">
        <f t="shared" si="240"/>
        <v>2390</v>
      </c>
      <c r="S126" s="35">
        <f t="shared" si="240"/>
        <v>0</v>
      </c>
      <c r="T126" s="35">
        <f t="shared" si="240"/>
        <v>0</v>
      </c>
      <c r="U126" s="35">
        <f t="shared" si="240"/>
        <v>723769</v>
      </c>
      <c r="V126" s="35">
        <f t="shared" si="240"/>
        <v>11174645</v>
      </c>
      <c r="W126" s="35">
        <f t="shared" si="240"/>
        <v>230356</v>
      </c>
      <c r="X126" s="35">
        <f t="shared" si="240"/>
        <v>7311822</v>
      </c>
      <c r="Y126" s="35">
        <f t="shared" si="240"/>
        <v>2033218</v>
      </c>
      <c r="Z126" s="35">
        <f t="shared" si="240"/>
        <v>1222463</v>
      </c>
      <c r="AA126" s="35">
        <f t="shared" si="240"/>
        <v>287168</v>
      </c>
      <c r="AB126" s="35">
        <f t="shared" si="240"/>
        <v>0</v>
      </c>
      <c r="AC126" s="35">
        <f t="shared" si="240"/>
        <v>0</v>
      </c>
      <c r="AD126" s="35">
        <f t="shared" si="240"/>
        <v>89618</v>
      </c>
      <c r="AE126" s="35">
        <f t="shared" si="240"/>
        <v>0</v>
      </c>
      <c r="AF126" s="35">
        <f t="shared" si="240"/>
        <v>5053676</v>
      </c>
      <c r="AG126" s="35">
        <f t="shared" si="240"/>
        <v>0</v>
      </c>
      <c r="AH126" s="35">
        <f t="shared" si="240"/>
        <v>0</v>
      </c>
      <c r="AI126" s="35">
        <f t="shared" si="240"/>
        <v>17551</v>
      </c>
      <c r="AJ126" s="35">
        <f t="shared" si="240"/>
        <v>1292149</v>
      </c>
      <c r="AK126" s="35">
        <f t="shared" si="240"/>
        <v>272365</v>
      </c>
      <c r="AL126" s="35">
        <f t="shared" si="240"/>
        <v>990997</v>
      </c>
      <c r="AM126" s="35">
        <f t="shared" si="240"/>
        <v>0</v>
      </c>
      <c r="AN126" s="35">
        <f t="shared" si="240"/>
        <v>15962</v>
      </c>
      <c r="AO126" s="35">
        <f t="shared" si="240"/>
        <v>345608</v>
      </c>
      <c r="AP126" s="35">
        <f t="shared" si="240"/>
        <v>0</v>
      </c>
      <c r="AQ126" s="35">
        <f t="shared" si="240"/>
        <v>46852</v>
      </c>
      <c r="AR126" s="35"/>
      <c r="AS126" s="35">
        <f t="shared" si="240"/>
        <v>0</v>
      </c>
      <c r="AT126" s="35">
        <f t="shared" si="240"/>
        <v>865874</v>
      </c>
      <c r="AU126" s="35">
        <f t="shared" si="240"/>
        <v>114812</v>
      </c>
      <c r="AV126" s="35"/>
      <c r="AW126" s="35"/>
      <c r="AX126" s="35">
        <f t="shared" si="240"/>
        <v>0</v>
      </c>
      <c r="AY126" s="35">
        <f t="shared" si="240"/>
        <v>0</v>
      </c>
      <c r="AZ126" s="35">
        <f t="shared" si="240"/>
        <v>0</v>
      </c>
      <c r="BA126" s="35">
        <f t="shared" si="240"/>
        <v>0</v>
      </c>
      <c r="BB126" s="35"/>
      <c r="BC126" s="35">
        <f t="shared" si="240"/>
        <v>1091506</v>
      </c>
      <c r="BD126" s="35">
        <f t="shared" si="240"/>
        <v>40451514</v>
      </c>
      <c r="BE126" s="35">
        <f t="shared" si="240"/>
        <v>0</v>
      </c>
      <c r="BF126" s="35">
        <f t="shared" si="240"/>
        <v>0</v>
      </c>
      <c r="BG126" s="35">
        <f t="shared" si="240"/>
        <v>0</v>
      </c>
      <c r="BH126" s="35">
        <f t="shared" si="240"/>
        <v>0</v>
      </c>
      <c r="BI126" s="35">
        <f t="shared" si="240"/>
        <v>0</v>
      </c>
      <c r="BJ126" s="35">
        <f t="shared" si="240"/>
        <v>0</v>
      </c>
      <c r="BK126" s="35">
        <f t="shared" ref="BK126" si="241">SUM(BK127+BK131+BK135+BK139+BK141+BK143)</f>
        <v>0</v>
      </c>
      <c r="BL126" s="35">
        <f t="shared" si="240"/>
        <v>0</v>
      </c>
      <c r="BM126" s="35">
        <f t="shared" si="240"/>
        <v>0</v>
      </c>
      <c r="BN126" s="35">
        <f t="shared" si="240"/>
        <v>0</v>
      </c>
      <c r="BO126" s="35">
        <f t="shared" si="240"/>
        <v>0</v>
      </c>
      <c r="BP126" s="35">
        <f t="shared" si="240"/>
        <v>0</v>
      </c>
      <c r="BQ126" s="35">
        <f t="shared" ref="BQ126" si="242">SUM(BQ127+BQ131+BQ135+BQ139+BQ141+BQ143)</f>
        <v>0</v>
      </c>
      <c r="BR126" s="35">
        <f t="shared" si="240"/>
        <v>40451514</v>
      </c>
      <c r="BS126" s="35">
        <f t="shared" si="240"/>
        <v>0</v>
      </c>
      <c r="BT126" s="35">
        <f t="shared" si="240"/>
        <v>0</v>
      </c>
      <c r="BU126" s="35">
        <f t="shared" si="240"/>
        <v>14085124</v>
      </c>
      <c r="BV126" s="35">
        <f t="shared" si="240"/>
        <v>0</v>
      </c>
      <c r="BW126" s="35">
        <f t="shared" si="240"/>
        <v>0</v>
      </c>
      <c r="BX126" s="35">
        <f t="shared" si="240"/>
        <v>374363</v>
      </c>
      <c r="BY126" s="35">
        <f t="shared" ref="BY126:CZ126" si="243">SUM(BY127+BY131+BY135+BY139+BY141+BY143)</f>
        <v>0</v>
      </c>
      <c r="BZ126" s="35">
        <f t="shared" si="243"/>
        <v>0</v>
      </c>
      <c r="CA126" s="35">
        <f t="shared" si="243"/>
        <v>0</v>
      </c>
      <c r="CB126" s="35">
        <f t="shared" si="243"/>
        <v>14815881</v>
      </c>
      <c r="CC126" s="35">
        <f t="shared" si="243"/>
        <v>11176146</v>
      </c>
      <c r="CD126" s="35">
        <f t="shared" si="243"/>
        <v>3109374</v>
      </c>
      <c r="CE126" s="35">
        <f t="shared" si="243"/>
        <v>3109374</v>
      </c>
      <c r="CF126" s="35">
        <f t="shared" si="243"/>
        <v>2586415</v>
      </c>
      <c r="CG126" s="35">
        <f t="shared" si="243"/>
        <v>0</v>
      </c>
      <c r="CH126" s="35">
        <f t="shared" si="243"/>
        <v>2586415</v>
      </c>
      <c r="CI126" s="35">
        <f t="shared" si="243"/>
        <v>0</v>
      </c>
      <c r="CJ126" s="35">
        <f t="shared" si="243"/>
        <v>0</v>
      </c>
      <c r="CK126" s="35">
        <f t="shared" ref="CK126:CL126" si="244">SUM(CK127+CK131+CK135+CK139+CK141+CK143)</f>
        <v>0</v>
      </c>
      <c r="CL126" s="35">
        <f t="shared" si="244"/>
        <v>0</v>
      </c>
      <c r="CM126" s="35">
        <f t="shared" si="243"/>
        <v>0</v>
      </c>
      <c r="CN126" s="35">
        <f t="shared" si="243"/>
        <v>522959</v>
      </c>
      <c r="CO126" s="35">
        <f t="shared" si="243"/>
        <v>0</v>
      </c>
      <c r="CP126" s="35">
        <f t="shared" ref="CP126" si="245">SUM(CP127+CP131+CP135+CP139+CP141+CP143)</f>
        <v>522959</v>
      </c>
      <c r="CQ126" s="35">
        <f t="shared" si="243"/>
        <v>0</v>
      </c>
      <c r="CR126" s="35"/>
      <c r="CS126" s="35"/>
      <c r="CT126" s="35">
        <f t="shared" si="243"/>
        <v>0</v>
      </c>
      <c r="CU126" s="35">
        <f t="shared" si="243"/>
        <v>0</v>
      </c>
      <c r="CV126" s="35">
        <f t="shared" si="243"/>
        <v>0</v>
      </c>
      <c r="CW126" s="35">
        <f t="shared" si="243"/>
        <v>0</v>
      </c>
      <c r="CX126" s="35">
        <f t="shared" si="243"/>
        <v>0</v>
      </c>
      <c r="CY126" s="35">
        <f t="shared" si="243"/>
        <v>0</v>
      </c>
      <c r="CZ126" s="36">
        <f t="shared" si="243"/>
        <v>0</v>
      </c>
    </row>
    <row r="127" spans="1:104" ht="15.6" x14ac:dyDescent="0.3">
      <c r="A127" s="20"/>
      <c r="B127" s="21" t="s">
        <v>231</v>
      </c>
      <c r="C127" s="21" t="s">
        <v>1</v>
      </c>
      <c r="D127" s="22" t="s">
        <v>232</v>
      </c>
      <c r="E127" s="23">
        <f>SUM(E128:E130)</f>
        <v>69584282</v>
      </c>
      <c r="F127" s="24">
        <f t="shared" ref="F127:BX127" si="246">SUM(F128:F130)</f>
        <v>68626941</v>
      </c>
      <c r="G127" s="24">
        <f t="shared" si="246"/>
        <v>59205888</v>
      </c>
      <c r="H127" s="24">
        <f t="shared" si="246"/>
        <v>33405709</v>
      </c>
      <c r="I127" s="24">
        <f t="shared" si="246"/>
        <v>7760629</v>
      </c>
      <c r="J127" s="24">
        <f t="shared" si="246"/>
        <v>13061325</v>
      </c>
      <c r="K127" s="24">
        <f t="shared" si="246"/>
        <v>214311</v>
      </c>
      <c r="L127" s="24">
        <f t="shared" si="246"/>
        <v>1345322</v>
      </c>
      <c r="M127" s="24">
        <f t="shared" si="246"/>
        <v>10233759</v>
      </c>
      <c r="N127" s="24">
        <f t="shared" si="246"/>
        <v>300995</v>
      </c>
      <c r="O127" s="24">
        <f t="shared" si="246"/>
        <v>512456</v>
      </c>
      <c r="P127" s="24">
        <f t="shared" si="246"/>
        <v>454482</v>
      </c>
      <c r="Q127" s="24">
        <f t="shared" si="246"/>
        <v>0</v>
      </c>
      <c r="R127" s="24">
        <f t="shared" si="246"/>
        <v>0</v>
      </c>
      <c r="S127" s="24">
        <f t="shared" si="246"/>
        <v>0</v>
      </c>
      <c r="T127" s="24">
        <f t="shared" si="246"/>
        <v>0</v>
      </c>
      <c r="U127" s="24">
        <f t="shared" si="246"/>
        <v>104521</v>
      </c>
      <c r="V127" s="24">
        <f t="shared" si="246"/>
        <v>2732747</v>
      </c>
      <c r="W127" s="24">
        <f t="shared" si="246"/>
        <v>103322</v>
      </c>
      <c r="X127" s="24">
        <f t="shared" si="246"/>
        <v>1384165</v>
      </c>
      <c r="Y127" s="24">
        <f t="shared" si="246"/>
        <v>575933</v>
      </c>
      <c r="Z127" s="24">
        <f t="shared" si="246"/>
        <v>520200</v>
      </c>
      <c r="AA127" s="24">
        <f t="shared" si="246"/>
        <v>59882</v>
      </c>
      <c r="AB127" s="24">
        <f t="shared" si="246"/>
        <v>0</v>
      </c>
      <c r="AC127" s="24">
        <f t="shared" si="246"/>
        <v>0</v>
      </c>
      <c r="AD127" s="24">
        <f t="shared" si="246"/>
        <v>89245</v>
      </c>
      <c r="AE127" s="24">
        <f t="shared" si="246"/>
        <v>0</v>
      </c>
      <c r="AF127" s="24">
        <f t="shared" si="246"/>
        <v>2140957</v>
      </c>
      <c r="AG127" s="24">
        <f t="shared" si="246"/>
        <v>0</v>
      </c>
      <c r="AH127" s="24">
        <f t="shared" si="246"/>
        <v>0</v>
      </c>
      <c r="AI127" s="24">
        <f t="shared" si="246"/>
        <v>546</v>
      </c>
      <c r="AJ127" s="24">
        <f t="shared" si="246"/>
        <v>334811</v>
      </c>
      <c r="AK127" s="24">
        <f t="shared" si="246"/>
        <v>113826</v>
      </c>
      <c r="AL127" s="24">
        <f t="shared" si="246"/>
        <v>865672</v>
      </c>
      <c r="AM127" s="24">
        <f t="shared" si="246"/>
        <v>0</v>
      </c>
      <c r="AN127" s="24">
        <f t="shared" si="246"/>
        <v>8916</v>
      </c>
      <c r="AO127" s="24">
        <f t="shared" si="246"/>
        <v>13021</v>
      </c>
      <c r="AP127" s="24">
        <f t="shared" si="246"/>
        <v>0</v>
      </c>
      <c r="AQ127" s="24">
        <f t="shared" si="246"/>
        <v>43868</v>
      </c>
      <c r="AR127" s="24"/>
      <c r="AS127" s="24">
        <f t="shared" si="246"/>
        <v>0</v>
      </c>
      <c r="AT127" s="24">
        <f t="shared" si="246"/>
        <v>672418</v>
      </c>
      <c r="AU127" s="24">
        <f t="shared" si="246"/>
        <v>0</v>
      </c>
      <c r="AV127" s="24"/>
      <c r="AW127" s="24"/>
      <c r="AX127" s="24">
        <f t="shared" si="246"/>
        <v>0</v>
      </c>
      <c r="AY127" s="24">
        <f t="shared" si="246"/>
        <v>0</v>
      </c>
      <c r="AZ127" s="24">
        <f t="shared" si="246"/>
        <v>0</v>
      </c>
      <c r="BA127" s="24">
        <f t="shared" si="246"/>
        <v>0</v>
      </c>
      <c r="BB127" s="24"/>
      <c r="BC127" s="24">
        <f t="shared" si="246"/>
        <v>87879</v>
      </c>
      <c r="BD127" s="24">
        <f t="shared" si="246"/>
        <v>9421053</v>
      </c>
      <c r="BE127" s="24">
        <f t="shared" si="246"/>
        <v>0</v>
      </c>
      <c r="BF127" s="24">
        <f t="shared" si="246"/>
        <v>0</v>
      </c>
      <c r="BG127" s="24">
        <f t="shared" si="246"/>
        <v>0</v>
      </c>
      <c r="BH127" s="24">
        <f t="shared" si="246"/>
        <v>0</v>
      </c>
      <c r="BI127" s="24">
        <f t="shared" si="246"/>
        <v>0</v>
      </c>
      <c r="BJ127" s="24">
        <f t="shared" si="246"/>
        <v>0</v>
      </c>
      <c r="BK127" s="24">
        <f t="shared" ref="BK127" si="247">SUM(BK128:BK130)</f>
        <v>0</v>
      </c>
      <c r="BL127" s="24">
        <f t="shared" si="246"/>
        <v>0</v>
      </c>
      <c r="BM127" s="24">
        <f t="shared" si="246"/>
        <v>0</v>
      </c>
      <c r="BN127" s="24">
        <f t="shared" si="246"/>
        <v>0</v>
      </c>
      <c r="BO127" s="24">
        <f t="shared" si="246"/>
        <v>0</v>
      </c>
      <c r="BP127" s="24">
        <f t="shared" si="246"/>
        <v>0</v>
      </c>
      <c r="BQ127" s="24">
        <f t="shared" ref="BQ127" si="248">SUM(BQ128:BQ130)</f>
        <v>0</v>
      </c>
      <c r="BR127" s="24">
        <f t="shared" si="246"/>
        <v>9421053</v>
      </c>
      <c r="BS127" s="24">
        <f t="shared" si="246"/>
        <v>0</v>
      </c>
      <c r="BT127" s="24">
        <f t="shared" si="246"/>
        <v>0</v>
      </c>
      <c r="BU127" s="24">
        <f t="shared" si="246"/>
        <v>0</v>
      </c>
      <c r="BV127" s="24">
        <f t="shared" si="246"/>
        <v>0</v>
      </c>
      <c r="BW127" s="24">
        <f t="shared" si="246"/>
        <v>0</v>
      </c>
      <c r="BX127" s="24">
        <f t="shared" si="246"/>
        <v>374363</v>
      </c>
      <c r="BY127" s="24">
        <f t="shared" ref="BY127:CZ127" si="249">SUM(BY128:BY130)</f>
        <v>0</v>
      </c>
      <c r="BZ127" s="24">
        <f t="shared" si="249"/>
        <v>0</v>
      </c>
      <c r="CA127" s="24">
        <f t="shared" si="249"/>
        <v>0</v>
      </c>
      <c r="CB127" s="24">
        <f t="shared" si="249"/>
        <v>0</v>
      </c>
      <c r="CC127" s="24">
        <f t="shared" si="249"/>
        <v>9046690</v>
      </c>
      <c r="CD127" s="24">
        <f t="shared" si="249"/>
        <v>957341</v>
      </c>
      <c r="CE127" s="24">
        <f t="shared" si="249"/>
        <v>957341</v>
      </c>
      <c r="CF127" s="24">
        <f t="shared" si="249"/>
        <v>566850</v>
      </c>
      <c r="CG127" s="24">
        <f t="shared" si="249"/>
        <v>0</v>
      </c>
      <c r="CH127" s="24">
        <f t="shared" si="249"/>
        <v>566850</v>
      </c>
      <c r="CI127" s="24">
        <f t="shared" si="249"/>
        <v>0</v>
      </c>
      <c r="CJ127" s="24">
        <f t="shared" si="249"/>
        <v>0</v>
      </c>
      <c r="CK127" s="24">
        <f t="shared" ref="CK127:CL127" si="250">SUM(CK128:CK130)</f>
        <v>0</v>
      </c>
      <c r="CL127" s="24">
        <f t="shared" si="250"/>
        <v>0</v>
      </c>
      <c r="CM127" s="24">
        <f t="shared" si="249"/>
        <v>0</v>
      </c>
      <c r="CN127" s="24">
        <f t="shared" si="249"/>
        <v>390491</v>
      </c>
      <c r="CO127" s="24">
        <f t="shared" si="249"/>
        <v>0</v>
      </c>
      <c r="CP127" s="24">
        <f t="shared" ref="CP127" si="251">SUM(CP128:CP130)</f>
        <v>390491</v>
      </c>
      <c r="CQ127" s="24">
        <f t="shared" si="249"/>
        <v>0</v>
      </c>
      <c r="CR127" s="24"/>
      <c r="CS127" s="24"/>
      <c r="CT127" s="24">
        <f t="shared" si="249"/>
        <v>0</v>
      </c>
      <c r="CU127" s="24">
        <f t="shared" si="249"/>
        <v>0</v>
      </c>
      <c r="CV127" s="24">
        <f t="shared" si="249"/>
        <v>0</v>
      </c>
      <c r="CW127" s="24">
        <f t="shared" si="249"/>
        <v>0</v>
      </c>
      <c r="CX127" s="24">
        <f t="shared" si="249"/>
        <v>0</v>
      </c>
      <c r="CY127" s="24">
        <f t="shared" si="249"/>
        <v>0</v>
      </c>
      <c r="CZ127" s="25">
        <f t="shared" si="249"/>
        <v>0</v>
      </c>
    </row>
    <row r="128" spans="1:104" ht="15.6" x14ac:dyDescent="0.3">
      <c r="A128" s="26"/>
      <c r="B128" s="27" t="s">
        <v>1</v>
      </c>
      <c r="C128" s="27" t="s">
        <v>84</v>
      </c>
      <c r="D128" s="28" t="s">
        <v>233</v>
      </c>
      <c r="E128" s="23">
        <f>SUM(F128+CD128+CW128)</f>
        <v>24102525</v>
      </c>
      <c r="F128" s="24">
        <f>SUM(G128+BD128)</f>
        <v>23933772</v>
      </c>
      <c r="G128" s="24">
        <f>SUM(H128+I128+J128+Q128+T128+U128+V128+AF128+AE128)</f>
        <v>19101131</v>
      </c>
      <c r="H128" s="29">
        <v>9501205</v>
      </c>
      <c r="I128" s="29">
        <v>2226845</v>
      </c>
      <c r="J128" s="24">
        <f t="shared" si="111"/>
        <v>5905892</v>
      </c>
      <c r="K128" s="29">
        <v>60537</v>
      </c>
      <c r="L128" s="29">
        <f>749764-139465</f>
        <v>610299</v>
      </c>
      <c r="M128" s="29">
        <f>4287588+128700</f>
        <v>4416288</v>
      </c>
      <c r="N128" s="29">
        <v>300995</v>
      </c>
      <c r="O128" s="29">
        <v>317378</v>
      </c>
      <c r="P128" s="29">
        <v>200395</v>
      </c>
      <c r="Q128" s="24">
        <f t="shared" si="112"/>
        <v>0</v>
      </c>
      <c r="R128" s="24">
        <v>0</v>
      </c>
      <c r="S128" s="24">
        <v>0</v>
      </c>
      <c r="T128" s="24">
        <v>0</v>
      </c>
      <c r="U128" s="29">
        <v>30478</v>
      </c>
      <c r="V128" s="24">
        <f t="shared" ref="V128:V130" si="252">SUM(W128:AD128)</f>
        <v>987369</v>
      </c>
      <c r="W128" s="29">
        <v>6214</v>
      </c>
      <c r="X128" s="29">
        <f>543141+2808-44800</f>
        <v>501149</v>
      </c>
      <c r="Y128" s="29">
        <f>243099-12526</f>
        <v>230573</v>
      </c>
      <c r="Z128" s="29">
        <f>127488+69564-1535</f>
        <v>195517</v>
      </c>
      <c r="AA128" s="29">
        <v>14160</v>
      </c>
      <c r="AB128" s="29">
        <v>0</v>
      </c>
      <c r="AC128" s="29">
        <v>0</v>
      </c>
      <c r="AD128" s="29">
        <f>41440+16-1700</f>
        <v>39756</v>
      </c>
      <c r="AE128" s="24"/>
      <c r="AF128" s="24">
        <f>SUM(AG128:BC128)</f>
        <v>449342</v>
      </c>
      <c r="AG128" s="24">
        <v>0</v>
      </c>
      <c r="AH128" s="24">
        <v>0</v>
      </c>
      <c r="AI128" s="29">
        <v>0</v>
      </c>
      <c r="AJ128" s="29">
        <v>141460</v>
      </c>
      <c r="AK128" s="29">
        <v>5776</v>
      </c>
      <c r="AL128" s="29">
        <v>13447</v>
      </c>
      <c r="AM128" s="29">
        <v>0</v>
      </c>
      <c r="AN128" s="29">
        <f>75598-74963</f>
        <v>635</v>
      </c>
      <c r="AO128" s="29">
        <v>5071</v>
      </c>
      <c r="AP128" s="29">
        <v>0</v>
      </c>
      <c r="AQ128" s="29">
        <v>1976</v>
      </c>
      <c r="AR128" s="29">
        <v>0</v>
      </c>
      <c r="AS128" s="29">
        <v>0</v>
      </c>
      <c r="AT128" s="29">
        <v>254841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26136</v>
      </c>
      <c r="BD128" s="24">
        <f>SUM(BE128+BI128+BM128+BO128+BR128)</f>
        <v>4832641</v>
      </c>
      <c r="BE128" s="24">
        <f>SUM(BF128:BH128)</f>
        <v>0</v>
      </c>
      <c r="BF128" s="24">
        <v>0</v>
      </c>
      <c r="BG128" s="24">
        <v>0</v>
      </c>
      <c r="BH128" s="24">
        <v>0</v>
      </c>
      <c r="BI128" s="24">
        <f>SUM(BL128:BL128)</f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f t="shared" si="113"/>
        <v>0</v>
      </c>
      <c r="BP128" s="24">
        <v>0</v>
      </c>
      <c r="BQ128" s="24">
        <v>0</v>
      </c>
      <c r="BR128" s="24">
        <f>SUM(BS128:CC128)</f>
        <v>4832641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30">
        <v>206738</v>
      </c>
      <c r="BY128" s="24">
        <v>0</v>
      </c>
      <c r="BZ128" s="24">
        <v>0</v>
      </c>
      <c r="CA128" s="24">
        <v>0</v>
      </c>
      <c r="CB128" s="24">
        <v>0</v>
      </c>
      <c r="CC128" s="29">
        <f>4614633+11270</f>
        <v>4625903</v>
      </c>
      <c r="CD128" s="24">
        <f>SUM(CE128+CV128)</f>
        <v>168753</v>
      </c>
      <c r="CE128" s="24">
        <f>SUM(CF128+CI128+CN128)</f>
        <v>168753</v>
      </c>
      <c r="CF128" s="24">
        <f t="shared" si="114"/>
        <v>168753</v>
      </c>
      <c r="CG128" s="24">
        <v>0</v>
      </c>
      <c r="CH128" s="29">
        <v>168753</v>
      </c>
      <c r="CI128" s="24">
        <f>SUM(CJ128:CM128)</f>
        <v>0</v>
      </c>
      <c r="CJ128" s="24">
        <v>0</v>
      </c>
      <c r="CK128" s="24">
        <v>0</v>
      </c>
      <c r="CL128" s="24">
        <v>0</v>
      </c>
      <c r="CM128" s="24">
        <v>0</v>
      </c>
      <c r="CN128" s="24">
        <f>SUM(CO128:CS128)</f>
        <v>0</v>
      </c>
      <c r="CO128" s="24">
        <v>0</v>
      </c>
      <c r="CP128" s="24">
        <v>0</v>
      </c>
      <c r="CQ128" s="24">
        <v>0</v>
      </c>
      <c r="CR128" s="24"/>
      <c r="CS128" s="24"/>
      <c r="CT128" s="24"/>
      <c r="CU128" s="24"/>
      <c r="CV128" s="24">
        <v>0</v>
      </c>
      <c r="CW128" s="24">
        <f t="shared" si="115"/>
        <v>0</v>
      </c>
      <c r="CX128" s="24">
        <f t="shared" si="116"/>
        <v>0</v>
      </c>
      <c r="CY128" s="24">
        <v>0</v>
      </c>
      <c r="CZ128" s="25">
        <v>0</v>
      </c>
    </row>
    <row r="129" spans="1:104" ht="15.6" x14ac:dyDescent="0.3">
      <c r="A129" s="26"/>
      <c r="B129" s="27" t="s">
        <v>1</v>
      </c>
      <c r="C129" s="27" t="s">
        <v>84</v>
      </c>
      <c r="D129" s="28" t="s">
        <v>234</v>
      </c>
      <c r="E129" s="23">
        <f>SUM(F129+CD129+CW129)</f>
        <v>36211615</v>
      </c>
      <c r="F129" s="24">
        <f>SUM(G129+BD129)</f>
        <v>35423027</v>
      </c>
      <c r="G129" s="24">
        <f>SUM(H129+I129+J129+Q129+T129+U129+V129+AF129+AE129)</f>
        <v>30852325</v>
      </c>
      <c r="H129" s="29">
        <v>17386718</v>
      </c>
      <c r="I129" s="29">
        <v>4021295</v>
      </c>
      <c r="J129" s="24">
        <f t="shared" si="111"/>
        <v>6731485</v>
      </c>
      <c r="K129" s="29">
        <v>147572</v>
      </c>
      <c r="L129" s="29">
        <f>1384307-646548-16147</f>
        <v>721612</v>
      </c>
      <c r="M129" s="29">
        <v>5430285</v>
      </c>
      <c r="N129" s="29">
        <v>0</v>
      </c>
      <c r="O129" s="29">
        <v>195078</v>
      </c>
      <c r="P129" s="29">
        <v>236938</v>
      </c>
      <c r="Q129" s="24">
        <f t="shared" si="112"/>
        <v>0</v>
      </c>
      <c r="R129" s="24">
        <v>0</v>
      </c>
      <c r="S129" s="24">
        <v>0</v>
      </c>
      <c r="T129" s="24">
        <v>0</v>
      </c>
      <c r="U129" s="29">
        <v>43496</v>
      </c>
      <c r="V129" s="24">
        <f t="shared" si="252"/>
        <v>1060361</v>
      </c>
      <c r="W129" s="29">
        <v>67769</v>
      </c>
      <c r="X129" s="29">
        <f>478408+2359-13200</f>
        <v>467567</v>
      </c>
      <c r="Y129" s="29">
        <f>205548-2000</f>
        <v>203548</v>
      </c>
      <c r="Z129" s="29">
        <f>249206-1080</f>
        <v>248126</v>
      </c>
      <c r="AA129" s="29">
        <v>23862</v>
      </c>
      <c r="AB129" s="29">
        <v>0</v>
      </c>
      <c r="AC129" s="29">
        <v>0</v>
      </c>
      <c r="AD129" s="29">
        <f>52348+21-2880</f>
        <v>49489</v>
      </c>
      <c r="AE129" s="24"/>
      <c r="AF129" s="24">
        <f>SUM(AG129:BC129)</f>
        <v>1608970</v>
      </c>
      <c r="AG129" s="24">
        <v>0</v>
      </c>
      <c r="AH129" s="24"/>
      <c r="AI129" s="29">
        <v>172</v>
      </c>
      <c r="AJ129" s="29">
        <v>193351</v>
      </c>
      <c r="AK129" s="29">
        <v>102425</v>
      </c>
      <c r="AL129" s="29">
        <v>851225</v>
      </c>
      <c r="AM129" s="29">
        <v>0</v>
      </c>
      <c r="AN129" s="29">
        <f>187832-180000</f>
        <v>7832</v>
      </c>
      <c r="AO129" s="29">
        <v>4990</v>
      </c>
      <c r="AP129" s="29">
        <v>0</v>
      </c>
      <c r="AQ129" s="29">
        <v>41892</v>
      </c>
      <c r="AR129" s="29">
        <v>0</v>
      </c>
      <c r="AS129" s="29">
        <v>0</v>
      </c>
      <c r="AT129" s="29">
        <f>447407-102067</f>
        <v>345340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61743</v>
      </c>
      <c r="BD129" s="24">
        <f>SUM(BE129+BI129+BM129+BO129+BR129)</f>
        <v>4570702</v>
      </c>
      <c r="BE129" s="24">
        <f>SUM(BF129:BH129)</f>
        <v>0</v>
      </c>
      <c r="BF129" s="24">
        <v>0</v>
      </c>
      <c r="BG129" s="24">
        <v>0</v>
      </c>
      <c r="BH129" s="24">
        <v>0</v>
      </c>
      <c r="BI129" s="24">
        <f>SUM(BL129:BL129)</f>
        <v>0</v>
      </c>
      <c r="BJ129" s="24">
        <v>0</v>
      </c>
      <c r="BK129" s="24">
        <v>0</v>
      </c>
      <c r="BL129" s="24">
        <v>0</v>
      </c>
      <c r="BM129" s="24">
        <v>0</v>
      </c>
      <c r="BN129" s="24">
        <v>0</v>
      </c>
      <c r="BO129" s="24">
        <f t="shared" si="113"/>
        <v>0</v>
      </c>
      <c r="BP129" s="24">
        <v>0</v>
      </c>
      <c r="BQ129" s="24">
        <v>0</v>
      </c>
      <c r="BR129" s="24">
        <f>SUM(BS129:CC129)</f>
        <v>4570702</v>
      </c>
      <c r="BS129" s="24">
        <v>0</v>
      </c>
      <c r="BT129" s="24">
        <v>0</v>
      </c>
      <c r="BU129" s="24">
        <v>0</v>
      </c>
      <c r="BV129" s="24">
        <v>0</v>
      </c>
      <c r="BW129" s="24">
        <v>0</v>
      </c>
      <c r="BX129" s="30">
        <v>167625</v>
      </c>
      <c r="BY129" s="24">
        <v>0</v>
      </c>
      <c r="BZ129" s="24">
        <v>0</v>
      </c>
      <c r="CA129" s="24">
        <v>0</v>
      </c>
      <c r="CB129" s="24">
        <v>0</v>
      </c>
      <c r="CC129" s="29">
        <f>4314527+88550</f>
        <v>4403077</v>
      </c>
      <c r="CD129" s="24">
        <f>SUM(CE129+CV129)</f>
        <v>788588</v>
      </c>
      <c r="CE129" s="24">
        <f>SUM(CF129+CI129+CN129)</f>
        <v>788588</v>
      </c>
      <c r="CF129" s="24">
        <f t="shared" si="114"/>
        <v>398097</v>
      </c>
      <c r="CG129" s="24">
        <v>0</v>
      </c>
      <c r="CH129" s="29">
        <v>398097</v>
      </c>
      <c r="CI129" s="24">
        <f>SUM(CJ129:CM129)</f>
        <v>0</v>
      </c>
      <c r="CJ129" s="24">
        <v>0</v>
      </c>
      <c r="CK129" s="24">
        <v>0</v>
      </c>
      <c r="CL129" s="24">
        <v>0</v>
      </c>
      <c r="CM129" s="24">
        <v>0</v>
      </c>
      <c r="CN129" s="24">
        <f>SUM(CO129:CS129)</f>
        <v>390491</v>
      </c>
      <c r="CO129" s="29"/>
      <c r="CP129" s="29">
        <f>59934+646548-315991</f>
        <v>390491</v>
      </c>
      <c r="CQ129" s="24">
        <v>0</v>
      </c>
      <c r="CR129" s="24"/>
      <c r="CS129" s="24"/>
      <c r="CT129" s="24"/>
      <c r="CU129" s="24"/>
      <c r="CV129" s="24">
        <v>0</v>
      </c>
      <c r="CW129" s="24">
        <f t="shared" si="115"/>
        <v>0</v>
      </c>
      <c r="CX129" s="24">
        <f t="shared" si="116"/>
        <v>0</v>
      </c>
      <c r="CY129" s="24">
        <v>0</v>
      </c>
      <c r="CZ129" s="25">
        <v>0</v>
      </c>
    </row>
    <row r="130" spans="1:104" ht="15.6" x14ac:dyDescent="0.3">
      <c r="A130" s="26"/>
      <c r="B130" s="27" t="s">
        <v>1</v>
      </c>
      <c r="C130" s="27" t="s">
        <v>88</v>
      </c>
      <c r="D130" s="28" t="s">
        <v>235</v>
      </c>
      <c r="E130" s="23">
        <f>SUM(F130+CD130+CW130)</f>
        <v>9270142</v>
      </c>
      <c r="F130" s="24">
        <f>SUM(G130+BD130)</f>
        <v>9270142</v>
      </c>
      <c r="G130" s="24">
        <f>SUM(H130+I130+J130+Q130+T130+U130+V130+AF130+AE130)</f>
        <v>9252432</v>
      </c>
      <c r="H130" s="29">
        <v>6517786</v>
      </c>
      <c r="I130" s="29">
        <v>1512489</v>
      </c>
      <c r="J130" s="24">
        <f t="shared" si="111"/>
        <v>423948</v>
      </c>
      <c r="K130" s="29">
        <v>6202</v>
      </c>
      <c r="L130" s="29">
        <f>13803-392</f>
        <v>13411</v>
      </c>
      <c r="M130" s="29">
        <v>387186</v>
      </c>
      <c r="N130" s="29">
        <v>0</v>
      </c>
      <c r="O130" s="29">
        <v>0</v>
      </c>
      <c r="P130" s="29">
        <v>17149</v>
      </c>
      <c r="Q130" s="24">
        <f t="shared" si="112"/>
        <v>0</v>
      </c>
      <c r="R130" s="24">
        <v>0</v>
      </c>
      <c r="S130" s="30"/>
      <c r="T130" s="24">
        <v>0</v>
      </c>
      <c r="U130" s="29">
        <f>45547-15000</f>
        <v>30547</v>
      </c>
      <c r="V130" s="24">
        <f t="shared" si="252"/>
        <v>685017</v>
      </c>
      <c r="W130" s="29">
        <v>29339</v>
      </c>
      <c r="X130" s="29">
        <f>385484+29965</f>
        <v>415449</v>
      </c>
      <c r="Y130" s="29">
        <v>141812</v>
      </c>
      <c r="Z130" s="29">
        <v>76557</v>
      </c>
      <c r="AA130" s="29">
        <v>21860</v>
      </c>
      <c r="AB130" s="29">
        <v>0</v>
      </c>
      <c r="AC130" s="29">
        <v>0</v>
      </c>
      <c r="AD130" s="29">
        <v>0</v>
      </c>
      <c r="AE130" s="24">
        <v>0</v>
      </c>
      <c r="AF130" s="24">
        <f>SUM(AG130:BC130)</f>
        <v>82645</v>
      </c>
      <c r="AG130" s="24">
        <v>0</v>
      </c>
      <c r="AH130" s="24"/>
      <c r="AI130" s="29">
        <v>374</v>
      </c>
      <c r="AJ130" s="29">
        <v>0</v>
      </c>
      <c r="AK130" s="29">
        <v>5625</v>
      </c>
      <c r="AL130" s="29">
        <v>1000</v>
      </c>
      <c r="AM130" s="29">
        <v>0</v>
      </c>
      <c r="AN130" s="29">
        <f>2093-1644</f>
        <v>449</v>
      </c>
      <c r="AO130" s="29">
        <v>2960</v>
      </c>
      <c r="AP130" s="29">
        <v>0</v>
      </c>
      <c r="AQ130" s="29">
        <v>0</v>
      </c>
      <c r="AR130" s="29">
        <v>0</v>
      </c>
      <c r="AS130" s="29">
        <v>0</v>
      </c>
      <c r="AT130" s="29">
        <f>78804-6567</f>
        <v>72237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4">
        <f>SUM(BE130+BI130+BM130+BO130+BR130)</f>
        <v>17710</v>
      </c>
      <c r="BE130" s="24">
        <f>SUM(BF130:BH130)</f>
        <v>0</v>
      </c>
      <c r="BF130" s="24">
        <v>0</v>
      </c>
      <c r="BG130" s="24">
        <v>0</v>
      </c>
      <c r="BH130" s="24">
        <v>0</v>
      </c>
      <c r="BI130" s="24">
        <f>SUM(BL130:BL130)</f>
        <v>0</v>
      </c>
      <c r="BJ130" s="24">
        <v>0</v>
      </c>
      <c r="BK130" s="24">
        <v>0</v>
      </c>
      <c r="BL130" s="24">
        <v>0</v>
      </c>
      <c r="BM130" s="24">
        <v>0</v>
      </c>
      <c r="BN130" s="24">
        <v>0</v>
      </c>
      <c r="BO130" s="24">
        <f t="shared" si="113"/>
        <v>0</v>
      </c>
      <c r="BP130" s="24">
        <v>0</v>
      </c>
      <c r="BQ130" s="24">
        <v>0</v>
      </c>
      <c r="BR130" s="24">
        <f>SUM(BS130:CC130)</f>
        <v>17710</v>
      </c>
      <c r="BS130" s="24">
        <v>0</v>
      </c>
      <c r="BT130" s="24">
        <v>0</v>
      </c>
      <c r="BU130" s="24">
        <v>0</v>
      </c>
      <c r="BV130" s="24">
        <v>0</v>
      </c>
      <c r="BW130" s="24">
        <v>0</v>
      </c>
      <c r="BX130" s="24">
        <v>0</v>
      </c>
      <c r="BY130" s="24">
        <v>0</v>
      </c>
      <c r="BZ130" s="24">
        <v>0</v>
      </c>
      <c r="CA130" s="24">
        <v>0</v>
      </c>
      <c r="CB130" s="24">
        <v>0</v>
      </c>
      <c r="CC130" s="24">
        <f>0+17710</f>
        <v>17710</v>
      </c>
      <c r="CD130" s="24">
        <f>SUM(CE130+CV130)</f>
        <v>0</v>
      </c>
      <c r="CE130" s="24">
        <f>SUM(CF130+CI130+CN130)</f>
        <v>0</v>
      </c>
      <c r="CF130" s="24">
        <f t="shared" si="114"/>
        <v>0</v>
      </c>
      <c r="CG130" s="24">
        <v>0</v>
      </c>
      <c r="CH130" s="29">
        <v>0</v>
      </c>
      <c r="CI130" s="24">
        <f>SUM(CJ130:CM130)</f>
        <v>0</v>
      </c>
      <c r="CJ130" s="24">
        <v>0</v>
      </c>
      <c r="CK130" s="24">
        <v>0</v>
      </c>
      <c r="CL130" s="24">
        <v>0</v>
      </c>
      <c r="CM130" s="24">
        <v>0</v>
      </c>
      <c r="CN130" s="24">
        <f>SUM(CO130:CS130)</f>
        <v>0</v>
      </c>
      <c r="CO130" s="24">
        <v>0</v>
      </c>
      <c r="CP130" s="24">
        <v>0</v>
      </c>
      <c r="CQ130" s="24">
        <v>0</v>
      </c>
      <c r="CR130" s="24"/>
      <c r="CS130" s="24"/>
      <c r="CT130" s="24">
        <v>0</v>
      </c>
      <c r="CU130" s="24">
        <v>0</v>
      </c>
      <c r="CV130" s="24">
        <v>0</v>
      </c>
      <c r="CW130" s="24">
        <f t="shared" si="115"/>
        <v>0</v>
      </c>
      <c r="CX130" s="24">
        <f t="shared" si="116"/>
        <v>0</v>
      </c>
      <c r="CY130" s="24">
        <v>0</v>
      </c>
      <c r="CZ130" s="25">
        <v>0</v>
      </c>
    </row>
    <row r="131" spans="1:104" ht="15.6" x14ac:dyDescent="0.3">
      <c r="A131" s="20"/>
      <c r="B131" s="21" t="s">
        <v>236</v>
      </c>
      <c r="C131" s="21" t="s">
        <v>1</v>
      </c>
      <c r="D131" s="22" t="s">
        <v>237</v>
      </c>
      <c r="E131" s="23">
        <f>SUM(E132:E134)</f>
        <v>113349310</v>
      </c>
      <c r="F131" s="24">
        <f t="shared" ref="F131:BX131" si="253">SUM(F132:F134)</f>
        <v>111557798</v>
      </c>
      <c r="G131" s="24">
        <f t="shared" si="253"/>
        <v>94885618</v>
      </c>
      <c r="H131" s="24">
        <f t="shared" si="253"/>
        <v>66664775</v>
      </c>
      <c r="I131" s="24">
        <f t="shared" si="253"/>
        <v>15625042</v>
      </c>
      <c r="J131" s="24">
        <f t="shared" si="253"/>
        <v>5134425</v>
      </c>
      <c r="K131" s="24">
        <f t="shared" si="253"/>
        <v>79999</v>
      </c>
      <c r="L131" s="24">
        <f t="shared" si="253"/>
        <v>65397</v>
      </c>
      <c r="M131" s="24">
        <f t="shared" si="253"/>
        <v>3428094</v>
      </c>
      <c r="N131" s="24">
        <f t="shared" si="253"/>
        <v>0</v>
      </c>
      <c r="O131" s="24">
        <f t="shared" si="253"/>
        <v>893766</v>
      </c>
      <c r="P131" s="24">
        <f t="shared" si="253"/>
        <v>667169</v>
      </c>
      <c r="Q131" s="24">
        <f t="shared" si="253"/>
        <v>0</v>
      </c>
      <c r="R131" s="24">
        <f t="shared" si="253"/>
        <v>0</v>
      </c>
      <c r="S131" s="24">
        <f t="shared" si="253"/>
        <v>0</v>
      </c>
      <c r="T131" s="24">
        <f t="shared" si="253"/>
        <v>0</v>
      </c>
      <c r="U131" s="24">
        <f t="shared" si="253"/>
        <v>230219</v>
      </c>
      <c r="V131" s="24">
        <f t="shared" si="253"/>
        <v>5444628</v>
      </c>
      <c r="W131" s="24">
        <f t="shared" si="253"/>
        <v>95932</v>
      </c>
      <c r="X131" s="24">
        <f t="shared" si="253"/>
        <v>3934486</v>
      </c>
      <c r="Y131" s="24">
        <f t="shared" si="253"/>
        <v>915067</v>
      </c>
      <c r="Z131" s="24">
        <f t="shared" si="253"/>
        <v>418728</v>
      </c>
      <c r="AA131" s="24">
        <f t="shared" si="253"/>
        <v>80236</v>
      </c>
      <c r="AB131" s="24">
        <f t="shared" si="253"/>
        <v>0</v>
      </c>
      <c r="AC131" s="24">
        <f t="shared" si="253"/>
        <v>0</v>
      </c>
      <c r="AD131" s="24">
        <f t="shared" si="253"/>
        <v>179</v>
      </c>
      <c r="AE131" s="24">
        <f t="shared" si="253"/>
        <v>0</v>
      </c>
      <c r="AF131" s="24">
        <f t="shared" si="253"/>
        <v>1786529</v>
      </c>
      <c r="AG131" s="24">
        <f t="shared" si="253"/>
        <v>0</v>
      </c>
      <c r="AH131" s="24">
        <f t="shared" si="253"/>
        <v>0</v>
      </c>
      <c r="AI131" s="24">
        <f t="shared" si="253"/>
        <v>16345</v>
      </c>
      <c r="AJ131" s="24">
        <f t="shared" si="253"/>
        <v>850450</v>
      </c>
      <c r="AK131" s="24">
        <f t="shared" si="253"/>
        <v>45615</v>
      </c>
      <c r="AL131" s="24">
        <f t="shared" si="253"/>
        <v>118251</v>
      </c>
      <c r="AM131" s="24">
        <f t="shared" si="253"/>
        <v>0</v>
      </c>
      <c r="AN131" s="24">
        <f t="shared" si="253"/>
        <v>4879</v>
      </c>
      <c r="AO131" s="24">
        <f t="shared" si="253"/>
        <v>71462</v>
      </c>
      <c r="AP131" s="24">
        <f t="shared" si="253"/>
        <v>0</v>
      </c>
      <c r="AQ131" s="24">
        <f t="shared" si="253"/>
        <v>2875</v>
      </c>
      <c r="AR131" s="24"/>
      <c r="AS131" s="24">
        <f t="shared" si="253"/>
        <v>0</v>
      </c>
      <c r="AT131" s="24">
        <f t="shared" si="253"/>
        <v>2970</v>
      </c>
      <c r="AU131" s="24">
        <f t="shared" si="253"/>
        <v>63200</v>
      </c>
      <c r="AV131" s="24"/>
      <c r="AW131" s="24"/>
      <c r="AX131" s="24">
        <f t="shared" si="253"/>
        <v>0</v>
      </c>
      <c r="AY131" s="24">
        <f t="shared" si="253"/>
        <v>0</v>
      </c>
      <c r="AZ131" s="24">
        <f t="shared" si="253"/>
        <v>0</v>
      </c>
      <c r="BA131" s="24">
        <f t="shared" si="253"/>
        <v>0</v>
      </c>
      <c r="BB131" s="24"/>
      <c r="BC131" s="24">
        <f t="shared" si="253"/>
        <v>610482</v>
      </c>
      <c r="BD131" s="24">
        <f t="shared" si="253"/>
        <v>16672180</v>
      </c>
      <c r="BE131" s="24">
        <f t="shared" si="253"/>
        <v>0</v>
      </c>
      <c r="BF131" s="24">
        <f t="shared" si="253"/>
        <v>0</v>
      </c>
      <c r="BG131" s="24">
        <f t="shared" si="253"/>
        <v>0</v>
      </c>
      <c r="BH131" s="24">
        <f t="shared" si="253"/>
        <v>0</v>
      </c>
      <c r="BI131" s="24">
        <f t="shared" si="253"/>
        <v>0</v>
      </c>
      <c r="BJ131" s="24">
        <f t="shared" si="253"/>
        <v>0</v>
      </c>
      <c r="BK131" s="24">
        <f t="shared" ref="BK131" si="254">SUM(BK132:BK134)</f>
        <v>0</v>
      </c>
      <c r="BL131" s="24">
        <f t="shared" si="253"/>
        <v>0</v>
      </c>
      <c r="BM131" s="24">
        <f t="shared" si="253"/>
        <v>0</v>
      </c>
      <c r="BN131" s="24">
        <f t="shared" si="253"/>
        <v>0</v>
      </c>
      <c r="BO131" s="24">
        <f t="shared" si="253"/>
        <v>0</v>
      </c>
      <c r="BP131" s="24">
        <f t="shared" si="253"/>
        <v>0</v>
      </c>
      <c r="BQ131" s="24">
        <f t="shared" ref="BQ131" si="255">SUM(BQ132:BQ134)</f>
        <v>0</v>
      </c>
      <c r="BR131" s="24">
        <f t="shared" si="253"/>
        <v>16672180</v>
      </c>
      <c r="BS131" s="24">
        <f t="shared" si="253"/>
        <v>0</v>
      </c>
      <c r="BT131" s="24">
        <f t="shared" si="253"/>
        <v>0</v>
      </c>
      <c r="BU131" s="24">
        <f t="shared" si="253"/>
        <v>5751852</v>
      </c>
      <c r="BV131" s="24">
        <f t="shared" si="253"/>
        <v>0</v>
      </c>
      <c r="BW131" s="24">
        <f t="shared" si="253"/>
        <v>0</v>
      </c>
      <c r="BX131" s="24">
        <f t="shared" si="253"/>
        <v>0</v>
      </c>
      <c r="BY131" s="24">
        <f t="shared" ref="BY131:CZ131" si="256">SUM(BY132:BY134)</f>
        <v>0</v>
      </c>
      <c r="BZ131" s="24">
        <f t="shared" si="256"/>
        <v>0</v>
      </c>
      <c r="CA131" s="24">
        <f t="shared" si="256"/>
        <v>0</v>
      </c>
      <c r="CB131" s="24">
        <f t="shared" si="256"/>
        <v>10714808</v>
      </c>
      <c r="CC131" s="24">
        <f t="shared" si="256"/>
        <v>205520</v>
      </c>
      <c r="CD131" s="24">
        <f t="shared" si="256"/>
        <v>1791512</v>
      </c>
      <c r="CE131" s="24">
        <f t="shared" si="256"/>
        <v>1791512</v>
      </c>
      <c r="CF131" s="24">
        <f t="shared" si="256"/>
        <v>1676260</v>
      </c>
      <c r="CG131" s="24">
        <f t="shared" si="256"/>
        <v>0</v>
      </c>
      <c r="CH131" s="24">
        <f t="shared" si="256"/>
        <v>1676260</v>
      </c>
      <c r="CI131" s="24">
        <f t="shared" si="256"/>
        <v>0</v>
      </c>
      <c r="CJ131" s="24">
        <f t="shared" si="256"/>
        <v>0</v>
      </c>
      <c r="CK131" s="24">
        <f t="shared" ref="CK131:CL131" si="257">SUM(CK132:CK134)</f>
        <v>0</v>
      </c>
      <c r="CL131" s="24">
        <f t="shared" si="257"/>
        <v>0</v>
      </c>
      <c r="CM131" s="24">
        <f t="shared" si="256"/>
        <v>0</v>
      </c>
      <c r="CN131" s="24">
        <f t="shared" si="256"/>
        <v>115252</v>
      </c>
      <c r="CO131" s="24">
        <f t="shared" si="256"/>
        <v>0</v>
      </c>
      <c r="CP131" s="24">
        <f t="shared" ref="CP131" si="258">SUM(CP132:CP134)</f>
        <v>115252</v>
      </c>
      <c r="CQ131" s="24">
        <f t="shared" si="256"/>
        <v>0</v>
      </c>
      <c r="CR131" s="24"/>
      <c r="CS131" s="24"/>
      <c r="CT131" s="24">
        <f t="shared" si="256"/>
        <v>0</v>
      </c>
      <c r="CU131" s="24">
        <f t="shared" si="256"/>
        <v>0</v>
      </c>
      <c r="CV131" s="24">
        <f t="shared" si="256"/>
        <v>0</v>
      </c>
      <c r="CW131" s="24">
        <f t="shared" si="256"/>
        <v>0</v>
      </c>
      <c r="CX131" s="24">
        <f t="shared" si="256"/>
        <v>0</v>
      </c>
      <c r="CY131" s="24">
        <f t="shared" si="256"/>
        <v>0</v>
      </c>
      <c r="CZ131" s="25">
        <f t="shared" si="256"/>
        <v>0</v>
      </c>
    </row>
    <row r="132" spans="1:104" ht="31.2" x14ac:dyDescent="0.3">
      <c r="A132" s="26"/>
      <c r="B132" s="27" t="s">
        <v>1</v>
      </c>
      <c r="C132" s="27" t="s">
        <v>86</v>
      </c>
      <c r="D132" s="28" t="s">
        <v>238</v>
      </c>
      <c r="E132" s="23">
        <f>SUM(F132+CD132+CW132)</f>
        <v>15127864</v>
      </c>
      <c r="F132" s="24">
        <f>SUM(G132+BD132)</f>
        <v>14975379</v>
      </c>
      <c r="G132" s="24">
        <f>SUM(H132+I132+J132+Q132+T132+U132+V132+AF132+AE132)</f>
        <v>11878246</v>
      </c>
      <c r="H132" s="29">
        <v>8579144</v>
      </c>
      <c r="I132" s="29">
        <v>2080442</v>
      </c>
      <c r="J132" s="24">
        <f t="shared" si="111"/>
        <v>640401</v>
      </c>
      <c r="K132" s="29">
        <v>0</v>
      </c>
      <c r="L132" s="29">
        <v>4897</v>
      </c>
      <c r="M132" s="29">
        <f>431436+52300</f>
        <v>483736</v>
      </c>
      <c r="N132" s="29">
        <v>0</v>
      </c>
      <c r="O132" s="29">
        <v>49550</v>
      </c>
      <c r="P132" s="29">
        <f>47218+55000</f>
        <v>102218</v>
      </c>
      <c r="Q132" s="24">
        <f t="shared" si="112"/>
        <v>0</v>
      </c>
      <c r="R132" s="29">
        <v>0</v>
      </c>
      <c r="S132" s="29">
        <v>0</v>
      </c>
      <c r="T132" s="29">
        <v>0</v>
      </c>
      <c r="U132" s="29">
        <f>158958-107300</f>
        <v>51658</v>
      </c>
      <c r="V132" s="24">
        <f t="shared" ref="V132:V134" si="259">SUM(W132:AD132)</f>
        <v>466015</v>
      </c>
      <c r="W132" s="29">
        <f>35016-1342</f>
        <v>33674</v>
      </c>
      <c r="X132" s="29">
        <f>257630+92615</f>
        <v>350245</v>
      </c>
      <c r="Y132" s="29">
        <v>53417</v>
      </c>
      <c r="Z132" s="29">
        <v>28500</v>
      </c>
      <c r="AA132" s="29">
        <v>0</v>
      </c>
      <c r="AB132" s="29">
        <v>0</v>
      </c>
      <c r="AC132" s="29">
        <v>0</v>
      </c>
      <c r="AD132" s="29">
        <f>355+1-177</f>
        <v>179</v>
      </c>
      <c r="AE132" s="24">
        <v>0</v>
      </c>
      <c r="AF132" s="24">
        <f>SUM(AG132:BC132)</f>
        <v>60586</v>
      </c>
      <c r="AG132" s="24">
        <v>0</v>
      </c>
      <c r="AH132" s="24">
        <v>0</v>
      </c>
      <c r="AI132" s="29">
        <v>4962</v>
      </c>
      <c r="AJ132" s="29">
        <v>19083</v>
      </c>
      <c r="AK132" s="29">
        <v>0</v>
      </c>
      <c r="AL132" s="29">
        <v>6674</v>
      </c>
      <c r="AM132" s="29">
        <v>0</v>
      </c>
      <c r="AN132" s="29">
        <v>807</v>
      </c>
      <c r="AO132" s="29">
        <v>26532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2528</v>
      </c>
      <c r="BD132" s="24">
        <f>SUM(BE132+BI132+BM132+BO132+BR132)</f>
        <v>3097133</v>
      </c>
      <c r="BE132" s="24">
        <f>SUM(BF132:BH132)</f>
        <v>0</v>
      </c>
      <c r="BF132" s="24">
        <v>0</v>
      </c>
      <c r="BG132" s="24">
        <v>0</v>
      </c>
      <c r="BH132" s="24">
        <v>0</v>
      </c>
      <c r="BI132" s="24">
        <f>SUM(BL132:BL132)</f>
        <v>0</v>
      </c>
      <c r="BJ132" s="24">
        <v>0</v>
      </c>
      <c r="BK132" s="24">
        <v>0</v>
      </c>
      <c r="BL132" s="24">
        <v>0</v>
      </c>
      <c r="BM132" s="24">
        <v>0</v>
      </c>
      <c r="BN132" s="24">
        <v>0</v>
      </c>
      <c r="BO132" s="24">
        <f t="shared" si="113"/>
        <v>0</v>
      </c>
      <c r="BP132" s="24">
        <v>0</v>
      </c>
      <c r="BQ132" s="24">
        <v>0</v>
      </c>
      <c r="BR132" s="24">
        <f>SUM(BS132:CC132)</f>
        <v>3097133</v>
      </c>
      <c r="BS132" s="24">
        <v>0</v>
      </c>
      <c r="BT132" s="24">
        <v>0</v>
      </c>
      <c r="BU132" s="29">
        <v>1040034</v>
      </c>
      <c r="BV132" s="24">
        <v>0</v>
      </c>
      <c r="BW132" s="24">
        <v>0</v>
      </c>
      <c r="BX132" s="24">
        <v>0</v>
      </c>
      <c r="BY132" s="24">
        <v>0</v>
      </c>
      <c r="BZ132" s="24">
        <v>0</v>
      </c>
      <c r="CA132" s="24">
        <v>0</v>
      </c>
      <c r="CB132" s="29">
        <f>2737932-867295-19058</f>
        <v>1851579</v>
      </c>
      <c r="CC132" s="29">
        <v>205520</v>
      </c>
      <c r="CD132" s="24">
        <f>SUM(CE132+CV132)</f>
        <v>152485</v>
      </c>
      <c r="CE132" s="24">
        <f>SUM(CF132+CI132+CN132)</f>
        <v>152485</v>
      </c>
      <c r="CF132" s="24">
        <f t="shared" si="114"/>
        <v>152485</v>
      </c>
      <c r="CG132" s="24">
        <v>0</v>
      </c>
      <c r="CH132" s="29">
        <v>152485</v>
      </c>
      <c r="CI132" s="24">
        <f>SUM(CJ132:CM132)</f>
        <v>0</v>
      </c>
      <c r="CJ132" s="24">
        <v>0</v>
      </c>
      <c r="CK132" s="24">
        <v>0</v>
      </c>
      <c r="CL132" s="24">
        <v>0</v>
      </c>
      <c r="CM132" s="24">
        <v>0</v>
      </c>
      <c r="CN132" s="24">
        <f>SUM(CO132:CS132)</f>
        <v>0</v>
      </c>
      <c r="CO132" s="29">
        <v>0</v>
      </c>
      <c r="CP132" s="29">
        <v>0</v>
      </c>
      <c r="CQ132" s="24">
        <v>0</v>
      </c>
      <c r="CR132" s="24"/>
      <c r="CS132" s="24"/>
      <c r="CT132" s="24">
        <v>0</v>
      </c>
      <c r="CU132" s="24">
        <v>0</v>
      </c>
      <c r="CV132" s="24">
        <v>0</v>
      </c>
      <c r="CW132" s="24">
        <f t="shared" si="115"/>
        <v>0</v>
      </c>
      <c r="CX132" s="24">
        <f t="shared" si="116"/>
        <v>0</v>
      </c>
      <c r="CY132" s="24">
        <v>0</v>
      </c>
      <c r="CZ132" s="25">
        <v>0</v>
      </c>
    </row>
    <row r="133" spans="1:104" ht="31.2" x14ac:dyDescent="0.3">
      <c r="A133" s="26"/>
      <c r="B133" s="27" t="s">
        <v>1</v>
      </c>
      <c r="C133" s="27" t="s">
        <v>88</v>
      </c>
      <c r="D133" s="28" t="s">
        <v>239</v>
      </c>
      <c r="E133" s="23">
        <f>SUM(F133+CD133+CW133)</f>
        <v>87966840</v>
      </c>
      <c r="F133" s="24">
        <f>SUM(G133+BD133)</f>
        <v>87370773</v>
      </c>
      <c r="G133" s="24">
        <f>SUM(H133+I133+J133+Q133+T133+U133+V133+AF133+AE133)</f>
        <v>73913218</v>
      </c>
      <c r="H133" s="29">
        <v>53239317</v>
      </c>
      <c r="I133" s="29">
        <v>12415409</v>
      </c>
      <c r="J133" s="24">
        <f t="shared" si="111"/>
        <v>2690826</v>
      </c>
      <c r="K133" s="29">
        <v>0</v>
      </c>
      <c r="L133" s="29">
        <v>43813</v>
      </c>
      <c r="M133" s="29">
        <v>1568032</v>
      </c>
      <c r="N133" s="29">
        <v>0</v>
      </c>
      <c r="O133" s="29">
        <v>706105</v>
      </c>
      <c r="P133" s="29">
        <v>372876</v>
      </c>
      <c r="Q133" s="24">
        <f t="shared" si="112"/>
        <v>0</v>
      </c>
      <c r="R133" s="29">
        <f>751-751</f>
        <v>0</v>
      </c>
      <c r="S133" s="29">
        <v>0</v>
      </c>
      <c r="T133" s="29">
        <v>0</v>
      </c>
      <c r="U133" s="29">
        <f>325208-170000</f>
        <v>155208</v>
      </c>
      <c r="V133" s="24">
        <f t="shared" si="259"/>
        <v>4583836</v>
      </c>
      <c r="W133" s="29">
        <v>41561</v>
      </c>
      <c r="X133" s="29">
        <f>3283254+86636</f>
        <v>3369890</v>
      </c>
      <c r="Y133" s="29">
        <v>791817</v>
      </c>
      <c r="Z133" s="29">
        <v>312446</v>
      </c>
      <c r="AA133" s="29">
        <v>68122</v>
      </c>
      <c r="AB133" s="29">
        <v>0</v>
      </c>
      <c r="AC133" s="29">
        <v>0</v>
      </c>
      <c r="AD133" s="29">
        <v>0</v>
      </c>
      <c r="AE133" s="24">
        <v>0</v>
      </c>
      <c r="AF133" s="24">
        <f>SUM(AG133:BC133)</f>
        <v>828622</v>
      </c>
      <c r="AG133" s="24">
        <v>0</v>
      </c>
      <c r="AH133" s="24"/>
      <c r="AI133" s="29">
        <f>8853-503</f>
        <v>8350</v>
      </c>
      <c r="AJ133" s="29">
        <f>624528-17386</f>
        <v>607142</v>
      </c>
      <c r="AK133" s="29">
        <f>45943-328</f>
        <v>45615</v>
      </c>
      <c r="AL133" s="29">
        <v>111577</v>
      </c>
      <c r="AM133" s="29">
        <v>0</v>
      </c>
      <c r="AN133" s="29">
        <f>2431-777</f>
        <v>1654</v>
      </c>
      <c r="AO133" s="29">
        <f>35522-1682</f>
        <v>33840</v>
      </c>
      <c r="AP133" s="29">
        <v>0</v>
      </c>
      <c r="AQ133" s="29">
        <v>2875</v>
      </c>
      <c r="AR133" s="29">
        <v>0</v>
      </c>
      <c r="AS133" s="29">
        <v>0</v>
      </c>
      <c r="AT133" s="29">
        <v>0</v>
      </c>
      <c r="AU133" s="29">
        <v>11000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f>14071-7502</f>
        <v>6569</v>
      </c>
      <c r="BD133" s="24">
        <f>SUM(BE133+BI133+BM133+BO133+BR133)</f>
        <v>13457555</v>
      </c>
      <c r="BE133" s="24">
        <f>SUM(BF133:BH133)</f>
        <v>0</v>
      </c>
      <c r="BF133" s="24">
        <v>0</v>
      </c>
      <c r="BG133" s="24">
        <v>0</v>
      </c>
      <c r="BH133" s="24">
        <v>0</v>
      </c>
      <c r="BI133" s="24">
        <f>SUM(BL133:BL133)</f>
        <v>0</v>
      </c>
      <c r="BJ133" s="24">
        <v>0</v>
      </c>
      <c r="BK133" s="24">
        <v>0</v>
      </c>
      <c r="BL133" s="24">
        <v>0</v>
      </c>
      <c r="BM133" s="24">
        <v>0</v>
      </c>
      <c r="BN133" s="24">
        <v>0</v>
      </c>
      <c r="BO133" s="24">
        <f t="shared" si="113"/>
        <v>0</v>
      </c>
      <c r="BP133" s="24">
        <v>0</v>
      </c>
      <c r="BQ133" s="24">
        <v>0</v>
      </c>
      <c r="BR133" s="24">
        <f>SUM(BS133:CC133)</f>
        <v>13457555</v>
      </c>
      <c r="BS133" s="24">
        <v>0</v>
      </c>
      <c r="BT133" s="24">
        <v>0</v>
      </c>
      <c r="BU133" s="29">
        <f>6727105-114000-2000000</f>
        <v>4613105</v>
      </c>
      <c r="BV133" s="24">
        <v>0</v>
      </c>
      <c r="BW133" s="24">
        <v>0</v>
      </c>
      <c r="BX133" s="24">
        <v>0</v>
      </c>
      <c r="BY133" s="24">
        <v>0</v>
      </c>
      <c r="BZ133" s="24">
        <v>0</v>
      </c>
      <c r="CA133" s="24">
        <v>0</v>
      </c>
      <c r="CB133" s="29">
        <v>8844450</v>
      </c>
      <c r="CC133" s="29">
        <v>0</v>
      </c>
      <c r="CD133" s="24">
        <f>SUM(CE133+CV133)</f>
        <v>596067</v>
      </c>
      <c r="CE133" s="24">
        <f>SUM(CF133+CI133+CN133)</f>
        <v>596067</v>
      </c>
      <c r="CF133" s="24">
        <f t="shared" si="114"/>
        <v>595527</v>
      </c>
      <c r="CG133" s="24">
        <v>0</v>
      </c>
      <c r="CH133" s="29">
        <f>600000-4473</f>
        <v>595527</v>
      </c>
      <c r="CI133" s="24">
        <f>SUM(CJ133:CM133)</f>
        <v>0</v>
      </c>
      <c r="CJ133" s="24">
        <v>0</v>
      </c>
      <c r="CK133" s="24">
        <v>0</v>
      </c>
      <c r="CL133" s="24">
        <v>0</v>
      </c>
      <c r="CM133" s="24">
        <v>0</v>
      </c>
      <c r="CN133" s="24">
        <f>SUM(CO133:CS133)</f>
        <v>540</v>
      </c>
      <c r="CO133" s="29"/>
      <c r="CP133" s="29">
        <v>540</v>
      </c>
      <c r="CQ133" s="24">
        <v>0</v>
      </c>
      <c r="CR133" s="24"/>
      <c r="CS133" s="24"/>
      <c r="CT133" s="24"/>
      <c r="CU133" s="24"/>
      <c r="CV133" s="24">
        <v>0</v>
      </c>
      <c r="CW133" s="24">
        <f t="shared" si="115"/>
        <v>0</v>
      </c>
      <c r="CX133" s="24">
        <f t="shared" si="116"/>
        <v>0</v>
      </c>
      <c r="CY133" s="24">
        <v>0</v>
      </c>
      <c r="CZ133" s="25">
        <v>0</v>
      </c>
    </row>
    <row r="134" spans="1:104" ht="31.2" x14ac:dyDescent="0.3">
      <c r="A134" s="26"/>
      <c r="B134" s="27" t="s">
        <v>1</v>
      </c>
      <c r="C134" s="27" t="s">
        <v>96</v>
      </c>
      <c r="D134" s="28" t="s">
        <v>429</v>
      </c>
      <c r="E134" s="23">
        <f>SUM(F134+CD134+CW134)</f>
        <v>10254606</v>
      </c>
      <c r="F134" s="24">
        <f>SUM(G134+BD134)</f>
        <v>9211646</v>
      </c>
      <c r="G134" s="24">
        <f>SUM(H134+I134+J134+Q134+T134+U134+V134+AF134+AE134)</f>
        <v>9094154</v>
      </c>
      <c r="H134" s="29">
        <v>4846314</v>
      </c>
      <c r="I134" s="29">
        <v>1129191</v>
      </c>
      <c r="J134" s="24">
        <f t="shared" si="111"/>
        <v>1803198</v>
      </c>
      <c r="K134" s="29">
        <f>102082-22083</f>
        <v>79999</v>
      </c>
      <c r="L134" s="29">
        <v>16687</v>
      </c>
      <c r="M134" s="29">
        <v>1376326</v>
      </c>
      <c r="N134" s="29">
        <v>0</v>
      </c>
      <c r="O134" s="29">
        <v>138111</v>
      </c>
      <c r="P134" s="29">
        <v>192075</v>
      </c>
      <c r="Q134" s="24">
        <f t="shared" si="112"/>
        <v>0</v>
      </c>
      <c r="R134" s="29">
        <v>0</v>
      </c>
      <c r="S134" s="29">
        <v>0</v>
      </c>
      <c r="T134" s="29">
        <v>0</v>
      </c>
      <c r="U134" s="29">
        <v>23353</v>
      </c>
      <c r="V134" s="24">
        <f t="shared" si="259"/>
        <v>394777</v>
      </c>
      <c r="W134" s="29">
        <v>20697</v>
      </c>
      <c r="X134" s="29">
        <f>180148+34203</f>
        <v>214351</v>
      </c>
      <c r="Y134" s="29">
        <f>50189+19644</f>
        <v>69833</v>
      </c>
      <c r="Z134" s="29">
        <f>25313+52469</f>
        <v>77782</v>
      </c>
      <c r="AA134" s="29">
        <v>12114</v>
      </c>
      <c r="AB134" s="29">
        <v>0</v>
      </c>
      <c r="AC134" s="29">
        <v>0</v>
      </c>
      <c r="AD134" s="29">
        <v>0</v>
      </c>
      <c r="AE134" s="24">
        <v>0</v>
      </c>
      <c r="AF134" s="24">
        <f>SUM(AG134:BC134)</f>
        <v>897321</v>
      </c>
      <c r="AG134" s="24">
        <v>0</v>
      </c>
      <c r="AH134" s="24"/>
      <c r="AI134" s="29">
        <v>3033</v>
      </c>
      <c r="AJ134" s="29">
        <v>224225</v>
      </c>
      <c r="AK134" s="29">
        <v>0</v>
      </c>
      <c r="AL134" s="29">
        <v>0</v>
      </c>
      <c r="AM134" s="29">
        <v>0</v>
      </c>
      <c r="AN134" s="29">
        <v>2418</v>
      </c>
      <c r="AO134" s="29">
        <v>11090</v>
      </c>
      <c r="AP134" s="29">
        <v>0</v>
      </c>
      <c r="AQ134" s="29">
        <v>0</v>
      </c>
      <c r="AR134" s="29">
        <v>0</v>
      </c>
      <c r="AS134" s="29">
        <v>0</v>
      </c>
      <c r="AT134" s="29">
        <f>14708-11738</f>
        <v>2970</v>
      </c>
      <c r="AU134" s="29">
        <v>52200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f>201385+400000</f>
        <v>601385</v>
      </c>
      <c r="BD134" s="24">
        <f>SUM(BE134+BI134+BM134+BO134+BR134)</f>
        <v>117492</v>
      </c>
      <c r="BE134" s="24">
        <f>SUM(BF134:BH134)</f>
        <v>0</v>
      </c>
      <c r="BF134" s="24">
        <v>0</v>
      </c>
      <c r="BG134" s="24">
        <v>0</v>
      </c>
      <c r="BH134" s="24">
        <v>0</v>
      </c>
      <c r="BI134" s="24">
        <f>SUM(BL134:BL134)</f>
        <v>0</v>
      </c>
      <c r="BJ134" s="24">
        <v>0</v>
      </c>
      <c r="BK134" s="24">
        <v>0</v>
      </c>
      <c r="BL134" s="24">
        <v>0</v>
      </c>
      <c r="BM134" s="24">
        <v>0</v>
      </c>
      <c r="BN134" s="24">
        <v>0</v>
      </c>
      <c r="BO134" s="24">
        <f t="shared" si="113"/>
        <v>0</v>
      </c>
      <c r="BP134" s="24">
        <v>0</v>
      </c>
      <c r="BQ134" s="24">
        <v>0</v>
      </c>
      <c r="BR134" s="24">
        <f>SUM(BS134:CC134)</f>
        <v>117492</v>
      </c>
      <c r="BS134" s="24">
        <v>0</v>
      </c>
      <c r="BT134" s="24">
        <v>0</v>
      </c>
      <c r="BU134" s="29">
        <v>98713</v>
      </c>
      <c r="BV134" s="24">
        <v>0</v>
      </c>
      <c r="BW134" s="24">
        <v>0</v>
      </c>
      <c r="BX134" s="24">
        <v>0</v>
      </c>
      <c r="BY134" s="24">
        <v>0</v>
      </c>
      <c r="BZ134" s="24">
        <v>0</v>
      </c>
      <c r="CA134" s="24">
        <v>0</v>
      </c>
      <c r="CB134" s="29">
        <v>18779</v>
      </c>
      <c r="CC134" s="29">
        <v>0</v>
      </c>
      <c r="CD134" s="24">
        <f>SUM(CE134+CV134)</f>
        <v>1042960</v>
      </c>
      <c r="CE134" s="24">
        <f>SUM(CF134+CI134+CN134)</f>
        <v>1042960</v>
      </c>
      <c r="CF134" s="24">
        <f t="shared" si="114"/>
        <v>928248</v>
      </c>
      <c r="CG134" s="24">
        <v>0</v>
      </c>
      <c r="CH134" s="29">
        <f>1328248-400000</f>
        <v>928248</v>
      </c>
      <c r="CI134" s="24">
        <f>SUM(CJ134:CM134)</f>
        <v>0</v>
      </c>
      <c r="CJ134" s="24">
        <v>0</v>
      </c>
      <c r="CK134" s="24">
        <v>0</v>
      </c>
      <c r="CL134" s="24">
        <v>0</v>
      </c>
      <c r="CM134" s="24">
        <v>0</v>
      </c>
      <c r="CN134" s="24">
        <f>SUM(CO134:CS134)</f>
        <v>114712</v>
      </c>
      <c r="CO134" s="29"/>
      <c r="CP134" s="29">
        <v>114712</v>
      </c>
      <c r="CQ134" s="24">
        <v>0</v>
      </c>
      <c r="CR134" s="24"/>
      <c r="CS134" s="24"/>
      <c r="CT134" s="24">
        <v>0</v>
      </c>
      <c r="CU134" s="24">
        <v>0</v>
      </c>
      <c r="CV134" s="24">
        <v>0</v>
      </c>
      <c r="CW134" s="24">
        <f t="shared" si="115"/>
        <v>0</v>
      </c>
      <c r="CX134" s="24">
        <f t="shared" si="116"/>
        <v>0</v>
      </c>
      <c r="CY134" s="24">
        <v>0</v>
      </c>
      <c r="CZ134" s="25">
        <v>0</v>
      </c>
    </row>
    <row r="135" spans="1:104" ht="15.6" x14ac:dyDescent="0.3">
      <c r="A135" s="20"/>
      <c r="B135" s="21" t="s">
        <v>240</v>
      </c>
      <c r="C135" s="21" t="s">
        <v>1</v>
      </c>
      <c r="D135" s="22" t="s">
        <v>241</v>
      </c>
      <c r="E135" s="23">
        <f t="shared" ref="E135:BU135" si="260">SUM(E136:E138)</f>
        <v>124600461</v>
      </c>
      <c r="F135" s="24">
        <f t="shared" si="260"/>
        <v>124374707</v>
      </c>
      <c r="G135" s="24">
        <f t="shared" si="260"/>
        <v>111787345</v>
      </c>
      <c r="H135" s="24">
        <f t="shared" si="260"/>
        <v>86534872</v>
      </c>
      <c r="I135" s="24">
        <f t="shared" si="260"/>
        <v>20324599</v>
      </c>
      <c r="J135" s="24">
        <f t="shared" si="260"/>
        <v>1430142</v>
      </c>
      <c r="K135" s="24">
        <f t="shared" si="260"/>
        <v>4555</v>
      </c>
      <c r="L135" s="24">
        <f t="shared" si="260"/>
        <v>2575</v>
      </c>
      <c r="M135" s="24">
        <f t="shared" si="260"/>
        <v>1338897</v>
      </c>
      <c r="N135" s="24">
        <f t="shared" si="260"/>
        <v>0</v>
      </c>
      <c r="O135" s="24">
        <f t="shared" si="260"/>
        <v>36669</v>
      </c>
      <c r="P135" s="24">
        <f t="shared" si="260"/>
        <v>47446</v>
      </c>
      <c r="Q135" s="24">
        <f t="shared" si="260"/>
        <v>1732</v>
      </c>
      <c r="R135" s="24">
        <f t="shared" si="260"/>
        <v>1732</v>
      </c>
      <c r="S135" s="24">
        <f t="shared" si="260"/>
        <v>0</v>
      </c>
      <c r="T135" s="24">
        <f t="shared" si="260"/>
        <v>0</v>
      </c>
      <c r="U135" s="24">
        <f t="shared" si="260"/>
        <v>343170</v>
      </c>
      <c r="V135" s="24">
        <f t="shared" si="260"/>
        <v>2661058</v>
      </c>
      <c r="W135" s="24">
        <f t="shared" si="260"/>
        <v>13163</v>
      </c>
      <c r="X135" s="24">
        <f t="shared" si="260"/>
        <v>1786117</v>
      </c>
      <c r="Y135" s="24">
        <f t="shared" si="260"/>
        <v>488876</v>
      </c>
      <c r="Z135" s="24">
        <f t="shared" si="260"/>
        <v>230776</v>
      </c>
      <c r="AA135" s="24">
        <f t="shared" si="260"/>
        <v>141932</v>
      </c>
      <c r="AB135" s="24">
        <f t="shared" si="260"/>
        <v>0</v>
      </c>
      <c r="AC135" s="24">
        <f t="shared" si="260"/>
        <v>0</v>
      </c>
      <c r="AD135" s="24">
        <f t="shared" si="260"/>
        <v>194</v>
      </c>
      <c r="AE135" s="24">
        <f t="shared" si="260"/>
        <v>0</v>
      </c>
      <c r="AF135" s="24">
        <f t="shared" si="260"/>
        <v>491772</v>
      </c>
      <c r="AG135" s="24">
        <f t="shared" si="260"/>
        <v>0</v>
      </c>
      <c r="AH135" s="24">
        <f t="shared" si="260"/>
        <v>0</v>
      </c>
      <c r="AI135" s="24">
        <f t="shared" si="260"/>
        <v>0</v>
      </c>
      <c r="AJ135" s="24">
        <f t="shared" si="260"/>
        <v>83230</v>
      </c>
      <c r="AK135" s="24">
        <f t="shared" si="260"/>
        <v>110779</v>
      </c>
      <c r="AL135" s="24">
        <f t="shared" si="260"/>
        <v>4910</v>
      </c>
      <c r="AM135" s="24">
        <f t="shared" si="260"/>
        <v>0</v>
      </c>
      <c r="AN135" s="24">
        <f t="shared" si="260"/>
        <v>1169</v>
      </c>
      <c r="AO135" s="24">
        <f t="shared" si="260"/>
        <v>190980</v>
      </c>
      <c r="AP135" s="24">
        <f t="shared" si="260"/>
        <v>0</v>
      </c>
      <c r="AQ135" s="24">
        <f t="shared" si="260"/>
        <v>0</v>
      </c>
      <c r="AR135" s="24"/>
      <c r="AS135" s="24">
        <f t="shared" si="260"/>
        <v>0</v>
      </c>
      <c r="AT135" s="24">
        <f t="shared" si="260"/>
        <v>0</v>
      </c>
      <c r="AU135" s="24">
        <f t="shared" si="260"/>
        <v>51612</v>
      </c>
      <c r="AV135" s="24"/>
      <c r="AW135" s="24"/>
      <c r="AX135" s="24">
        <f t="shared" si="260"/>
        <v>0</v>
      </c>
      <c r="AY135" s="24">
        <f t="shared" si="260"/>
        <v>0</v>
      </c>
      <c r="AZ135" s="24">
        <f t="shared" si="260"/>
        <v>0</v>
      </c>
      <c r="BA135" s="24">
        <f t="shared" si="260"/>
        <v>0</v>
      </c>
      <c r="BB135" s="24"/>
      <c r="BC135" s="24">
        <f t="shared" si="260"/>
        <v>49092</v>
      </c>
      <c r="BD135" s="24">
        <f t="shared" si="260"/>
        <v>12587362</v>
      </c>
      <c r="BE135" s="24">
        <f t="shared" si="260"/>
        <v>0</v>
      </c>
      <c r="BF135" s="24">
        <f t="shared" si="260"/>
        <v>0</v>
      </c>
      <c r="BG135" s="24">
        <f t="shared" si="260"/>
        <v>0</v>
      </c>
      <c r="BH135" s="24">
        <f t="shared" si="260"/>
        <v>0</v>
      </c>
      <c r="BI135" s="24">
        <f t="shared" si="260"/>
        <v>0</v>
      </c>
      <c r="BJ135" s="24">
        <f t="shared" si="260"/>
        <v>0</v>
      </c>
      <c r="BK135" s="24">
        <f t="shared" ref="BK135" si="261">SUM(BK136:BK138)</f>
        <v>0</v>
      </c>
      <c r="BL135" s="24">
        <f t="shared" si="260"/>
        <v>0</v>
      </c>
      <c r="BM135" s="24">
        <f t="shared" si="260"/>
        <v>0</v>
      </c>
      <c r="BN135" s="24">
        <f t="shared" si="260"/>
        <v>0</v>
      </c>
      <c r="BO135" s="24">
        <f t="shared" si="260"/>
        <v>0</v>
      </c>
      <c r="BP135" s="24">
        <f t="shared" si="260"/>
        <v>0</v>
      </c>
      <c r="BQ135" s="24">
        <f t="shared" ref="BQ135" si="262">SUM(BQ136:BQ138)</f>
        <v>0</v>
      </c>
      <c r="BR135" s="24">
        <f t="shared" si="260"/>
        <v>12587362</v>
      </c>
      <c r="BS135" s="24">
        <f t="shared" si="260"/>
        <v>0</v>
      </c>
      <c r="BT135" s="24">
        <f t="shared" si="260"/>
        <v>0</v>
      </c>
      <c r="BU135" s="24">
        <f t="shared" si="260"/>
        <v>8282832</v>
      </c>
      <c r="BV135" s="24">
        <f t="shared" ref="BV135:CZ135" si="263">SUM(BV136:BV138)</f>
        <v>0</v>
      </c>
      <c r="BW135" s="24">
        <f t="shared" si="263"/>
        <v>0</v>
      </c>
      <c r="BX135" s="24">
        <f t="shared" si="263"/>
        <v>0</v>
      </c>
      <c r="BY135" s="24">
        <f t="shared" si="263"/>
        <v>0</v>
      </c>
      <c r="BZ135" s="24">
        <f t="shared" si="263"/>
        <v>0</v>
      </c>
      <c r="CA135" s="24">
        <f t="shared" si="263"/>
        <v>0</v>
      </c>
      <c r="CB135" s="24">
        <f t="shared" si="263"/>
        <v>4101073</v>
      </c>
      <c r="CC135" s="24">
        <f t="shared" si="263"/>
        <v>203457</v>
      </c>
      <c r="CD135" s="24">
        <f t="shared" si="263"/>
        <v>225754</v>
      </c>
      <c r="CE135" s="24">
        <f t="shared" si="263"/>
        <v>225754</v>
      </c>
      <c r="CF135" s="24">
        <f t="shared" si="263"/>
        <v>225754</v>
      </c>
      <c r="CG135" s="24">
        <f t="shared" si="263"/>
        <v>0</v>
      </c>
      <c r="CH135" s="24">
        <f t="shared" si="263"/>
        <v>225754</v>
      </c>
      <c r="CI135" s="24">
        <f t="shared" si="263"/>
        <v>0</v>
      </c>
      <c r="CJ135" s="24">
        <f t="shared" si="263"/>
        <v>0</v>
      </c>
      <c r="CK135" s="24">
        <f t="shared" ref="CK135:CL135" si="264">SUM(CK136:CK138)</f>
        <v>0</v>
      </c>
      <c r="CL135" s="24">
        <f t="shared" si="264"/>
        <v>0</v>
      </c>
      <c r="CM135" s="24">
        <f t="shared" si="263"/>
        <v>0</v>
      </c>
      <c r="CN135" s="24">
        <f t="shared" si="263"/>
        <v>0</v>
      </c>
      <c r="CO135" s="24">
        <f t="shared" si="263"/>
        <v>0</v>
      </c>
      <c r="CP135" s="24">
        <f t="shared" ref="CP135" si="265">SUM(CP136:CP138)</f>
        <v>0</v>
      </c>
      <c r="CQ135" s="24">
        <f t="shared" si="263"/>
        <v>0</v>
      </c>
      <c r="CR135" s="24"/>
      <c r="CS135" s="24"/>
      <c r="CT135" s="24">
        <f t="shared" si="263"/>
        <v>0</v>
      </c>
      <c r="CU135" s="24">
        <f t="shared" si="263"/>
        <v>0</v>
      </c>
      <c r="CV135" s="24">
        <f t="shared" si="263"/>
        <v>0</v>
      </c>
      <c r="CW135" s="24">
        <f t="shared" si="263"/>
        <v>0</v>
      </c>
      <c r="CX135" s="24">
        <f t="shared" si="263"/>
        <v>0</v>
      </c>
      <c r="CY135" s="24">
        <f t="shared" si="263"/>
        <v>0</v>
      </c>
      <c r="CZ135" s="25">
        <f t="shared" si="263"/>
        <v>0</v>
      </c>
    </row>
    <row r="136" spans="1:104" ht="15.6" x14ac:dyDescent="0.3">
      <c r="A136" s="26" t="s">
        <v>1</v>
      </c>
      <c r="B136" s="27" t="s">
        <v>1</v>
      </c>
      <c r="C136" s="27" t="s">
        <v>88</v>
      </c>
      <c r="D136" s="28" t="s">
        <v>242</v>
      </c>
      <c r="E136" s="23">
        <f>SUM(F136+CD136+CW136)</f>
        <v>381210</v>
      </c>
      <c r="F136" s="24">
        <f>SUM(G136+BD136)</f>
        <v>381210</v>
      </c>
      <c r="G136" s="24">
        <f>SUM(H136+I136+J136+Q136+T136+U136+V136+AF136+AE136)</f>
        <v>0</v>
      </c>
      <c r="H136" s="29">
        <v>0</v>
      </c>
      <c r="I136" s="29">
        <v>0</v>
      </c>
      <c r="J136" s="24">
        <f t="shared" si="111"/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4">
        <f t="shared" si="112"/>
        <v>0</v>
      </c>
      <c r="R136" s="29">
        <v>0</v>
      </c>
      <c r="S136" s="29">
        <v>0</v>
      </c>
      <c r="T136" s="29">
        <v>0</v>
      </c>
      <c r="U136" s="29">
        <v>0</v>
      </c>
      <c r="V136" s="24">
        <f t="shared" ref="V136:V138" si="266">SUM(W136:AD136)</f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4">
        <v>0</v>
      </c>
      <c r="AF136" s="24">
        <f>SUM(AG136:BC136)</f>
        <v>0</v>
      </c>
      <c r="AG136" s="30"/>
      <c r="AH136" s="30"/>
      <c r="AI136" s="29"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0</v>
      </c>
      <c r="AP136" s="29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9">
        <v>0</v>
      </c>
      <c r="BC136" s="29">
        <v>0</v>
      </c>
      <c r="BD136" s="24">
        <f>SUM(BE136+BI136+BM136+BO136+BR136)</f>
        <v>381210</v>
      </c>
      <c r="BE136" s="24">
        <f>SUM(BF136:BH136)</f>
        <v>0</v>
      </c>
      <c r="BF136" s="24">
        <v>0</v>
      </c>
      <c r="BG136" s="24">
        <v>0</v>
      </c>
      <c r="BH136" s="24">
        <v>0</v>
      </c>
      <c r="BI136" s="24">
        <f>SUM(BL136:BL136)</f>
        <v>0</v>
      </c>
      <c r="BJ136" s="24">
        <v>0</v>
      </c>
      <c r="BK136" s="24">
        <v>0</v>
      </c>
      <c r="BL136" s="24">
        <v>0</v>
      </c>
      <c r="BM136" s="24">
        <v>0</v>
      </c>
      <c r="BN136" s="24">
        <v>0</v>
      </c>
      <c r="BO136" s="24">
        <f t="shared" si="113"/>
        <v>0</v>
      </c>
      <c r="BP136" s="24">
        <v>0</v>
      </c>
      <c r="BQ136" s="24">
        <v>0</v>
      </c>
      <c r="BR136" s="24">
        <f>SUM(BS136:CC136)</f>
        <v>381210</v>
      </c>
      <c r="BS136" s="24">
        <v>0</v>
      </c>
      <c r="BT136" s="24">
        <v>0</v>
      </c>
      <c r="BU136" s="29">
        <v>381210</v>
      </c>
      <c r="BV136" s="24">
        <v>0</v>
      </c>
      <c r="BW136" s="24">
        <v>0</v>
      </c>
      <c r="BX136" s="24">
        <v>0</v>
      </c>
      <c r="BY136" s="24">
        <v>0</v>
      </c>
      <c r="BZ136" s="24">
        <v>0</v>
      </c>
      <c r="CA136" s="24">
        <v>0</v>
      </c>
      <c r="CB136" s="29">
        <v>0</v>
      </c>
      <c r="CC136" s="29">
        <v>0</v>
      </c>
      <c r="CD136" s="24">
        <f>SUM(CE136+CV136)</f>
        <v>0</v>
      </c>
      <c r="CE136" s="24">
        <f>SUM(CF136+CI136+CN136)</f>
        <v>0</v>
      </c>
      <c r="CF136" s="24">
        <f t="shared" si="114"/>
        <v>0</v>
      </c>
      <c r="CG136" s="24">
        <v>0</v>
      </c>
      <c r="CH136" s="29">
        <v>0</v>
      </c>
      <c r="CI136" s="24">
        <f>SUM(CJ136:CM136)</f>
        <v>0</v>
      </c>
      <c r="CJ136" s="24">
        <v>0</v>
      </c>
      <c r="CK136" s="24">
        <v>0</v>
      </c>
      <c r="CL136" s="24">
        <v>0</v>
      </c>
      <c r="CM136" s="24">
        <v>0</v>
      </c>
      <c r="CN136" s="24">
        <f>SUM(CO136:CS136)</f>
        <v>0</v>
      </c>
      <c r="CO136" s="24">
        <v>0</v>
      </c>
      <c r="CP136" s="24">
        <v>0</v>
      </c>
      <c r="CQ136" s="24">
        <v>0</v>
      </c>
      <c r="CR136" s="24"/>
      <c r="CS136" s="24"/>
      <c r="CT136" s="24">
        <v>0</v>
      </c>
      <c r="CU136" s="24">
        <v>0</v>
      </c>
      <c r="CV136" s="24">
        <v>0</v>
      </c>
      <c r="CW136" s="24">
        <f t="shared" si="115"/>
        <v>0</v>
      </c>
      <c r="CX136" s="24">
        <f t="shared" si="116"/>
        <v>0</v>
      </c>
      <c r="CY136" s="24">
        <v>0</v>
      </c>
      <c r="CZ136" s="25">
        <v>0</v>
      </c>
    </row>
    <row r="137" spans="1:104" ht="15.6" x14ac:dyDescent="0.3">
      <c r="A137" s="26" t="s">
        <v>1</v>
      </c>
      <c r="B137" s="27" t="s">
        <v>1</v>
      </c>
      <c r="C137" s="27" t="s">
        <v>198</v>
      </c>
      <c r="D137" s="28" t="s">
        <v>243</v>
      </c>
      <c r="E137" s="23">
        <f>SUM(F137+CD137+CW137)</f>
        <v>109523367</v>
      </c>
      <c r="F137" s="24">
        <f>SUM(G137+BD137)</f>
        <v>109499127</v>
      </c>
      <c r="G137" s="24">
        <f>SUM(H137+I137+J137+Q137+T137+U137+V137+AF137+AE137)</f>
        <v>98233510</v>
      </c>
      <c r="H137" s="29">
        <f>76556781-363499</f>
        <v>76193282</v>
      </c>
      <c r="I137" s="29">
        <f>17906631-86375</f>
        <v>17820256</v>
      </c>
      <c r="J137" s="24">
        <f t="shared" si="111"/>
        <v>1201270</v>
      </c>
      <c r="K137" s="29">
        <v>0</v>
      </c>
      <c r="L137" s="29">
        <v>0</v>
      </c>
      <c r="M137" s="29">
        <f>324929+827690</f>
        <v>1152619</v>
      </c>
      <c r="N137" s="29">
        <v>0</v>
      </c>
      <c r="O137" s="29">
        <f>14326-785</f>
        <v>13541</v>
      </c>
      <c r="P137" s="29">
        <f>78649-43539</f>
        <v>35110</v>
      </c>
      <c r="Q137" s="24">
        <f t="shared" si="112"/>
        <v>1732</v>
      </c>
      <c r="R137" s="29">
        <v>1732</v>
      </c>
      <c r="S137" s="29">
        <v>0</v>
      </c>
      <c r="T137" s="29">
        <v>0</v>
      </c>
      <c r="U137" s="29">
        <f>318716-24000</f>
        <v>294716</v>
      </c>
      <c r="V137" s="24">
        <f t="shared" si="266"/>
        <v>2403386</v>
      </c>
      <c r="W137" s="29">
        <v>0</v>
      </c>
      <c r="X137" s="29">
        <f>1573951+24625</f>
        <v>1598576</v>
      </c>
      <c r="Y137" s="29">
        <v>450713</v>
      </c>
      <c r="Z137" s="29">
        <v>216618</v>
      </c>
      <c r="AA137" s="29">
        <v>137285</v>
      </c>
      <c r="AB137" s="29">
        <v>0</v>
      </c>
      <c r="AC137" s="29">
        <v>0</v>
      </c>
      <c r="AD137" s="29">
        <v>194</v>
      </c>
      <c r="AE137" s="24"/>
      <c r="AF137" s="24">
        <f>SUM(AG137:BC137)</f>
        <v>318868</v>
      </c>
      <c r="AG137" s="30"/>
      <c r="AH137" s="30"/>
      <c r="AI137" s="29">
        <v>0</v>
      </c>
      <c r="AJ137" s="29">
        <v>6900</v>
      </c>
      <c r="AK137" s="29">
        <v>100779</v>
      </c>
      <c r="AL137" s="29">
        <v>0</v>
      </c>
      <c r="AM137" s="29">
        <v>0</v>
      </c>
      <c r="AN137" s="29">
        <v>0</v>
      </c>
      <c r="AO137" s="29">
        <v>175769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0</v>
      </c>
      <c r="BC137" s="29">
        <f>109978-74558</f>
        <v>35420</v>
      </c>
      <c r="BD137" s="24">
        <f>SUM(BE137+BI137+BM137+BO137+BR137)</f>
        <v>11265617</v>
      </c>
      <c r="BE137" s="24">
        <f>SUM(BF137:BH137)</f>
        <v>0</v>
      </c>
      <c r="BF137" s="24">
        <v>0</v>
      </c>
      <c r="BG137" s="24">
        <v>0</v>
      </c>
      <c r="BH137" s="24">
        <v>0</v>
      </c>
      <c r="BI137" s="24">
        <f>SUM(BL137:BL137)</f>
        <v>0</v>
      </c>
      <c r="BJ137" s="24">
        <v>0</v>
      </c>
      <c r="BK137" s="24">
        <v>0</v>
      </c>
      <c r="BL137" s="24">
        <v>0</v>
      </c>
      <c r="BM137" s="24">
        <v>0</v>
      </c>
      <c r="BN137" s="24">
        <v>0</v>
      </c>
      <c r="BO137" s="24">
        <f t="shared" si="113"/>
        <v>0</v>
      </c>
      <c r="BP137" s="24">
        <v>0</v>
      </c>
      <c r="BQ137" s="24">
        <v>0</v>
      </c>
      <c r="BR137" s="24">
        <f>SUM(BS137:CC137)</f>
        <v>11265617</v>
      </c>
      <c r="BS137" s="24">
        <v>0</v>
      </c>
      <c r="BT137" s="24">
        <v>0</v>
      </c>
      <c r="BU137" s="29">
        <f>7867244-246267-325217</f>
        <v>7295760</v>
      </c>
      <c r="BV137" s="24">
        <v>0</v>
      </c>
      <c r="BW137" s="24">
        <v>0</v>
      </c>
      <c r="BX137" s="24">
        <v>0</v>
      </c>
      <c r="BY137" s="24">
        <v>0</v>
      </c>
      <c r="BZ137" s="24">
        <v>0</v>
      </c>
      <c r="CA137" s="24">
        <v>0</v>
      </c>
      <c r="CB137" s="29">
        <f>4268873-502473</f>
        <v>3766400</v>
      </c>
      <c r="CC137" s="29">
        <f>780679-577222</f>
        <v>203457</v>
      </c>
      <c r="CD137" s="24">
        <f>SUM(CE137+CV137)</f>
        <v>24240</v>
      </c>
      <c r="CE137" s="24">
        <f>SUM(CF137+CI137+CN137)</f>
        <v>24240</v>
      </c>
      <c r="CF137" s="24">
        <f t="shared" si="114"/>
        <v>24240</v>
      </c>
      <c r="CG137" s="24">
        <v>0</v>
      </c>
      <c r="CH137" s="29">
        <f>60854-36614</f>
        <v>24240</v>
      </c>
      <c r="CI137" s="24">
        <f>SUM(CJ137:CM137)</f>
        <v>0</v>
      </c>
      <c r="CJ137" s="24">
        <v>0</v>
      </c>
      <c r="CK137" s="24">
        <v>0</v>
      </c>
      <c r="CL137" s="24">
        <v>0</v>
      </c>
      <c r="CM137" s="24">
        <v>0</v>
      </c>
      <c r="CN137" s="24">
        <f>SUM(CO137:CS137)</f>
        <v>0</v>
      </c>
      <c r="CO137" s="24">
        <v>0</v>
      </c>
      <c r="CP137" s="24">
        <v>0</v>
      </c>
      <c r="CQ137" s="24">
        <v>0</v>
      </c>
      <c r="CR137" s="24"/>
      <c r="CS137" s="24"/>
      <c r="CT137" s="24"/>
      <c r="CU137" s="24"/>
      <c r="CV137" s="24">
        <v>0</v>
      </c>
      <c r="CW137" s="24">
        <f t="shared" si="115"/>
        <v>0</v>
      </c>
      <c r="CX137" s="24">
        <f t="shared" si="116"/>
        <v>0</v>
      </c>
      <c r="CY137" s="24">
        <v>0</v>
      </c>
      <c r="CZ137" s="25">
        <v>0</v>
      </c>
    </row>
    <row r="138" spans="1:104" ht="15.6" x14ac:dyDescent="0.3">
      <c r="A138" s="26" t="s">
        <v>1</v>
      </c>
      <c r="B138" s="27" t="s">
        <v>1</v>
      </c>
      <c r="C138" s="27" t="s">
        <v>98</v>
      </c>
      <c r="D138" s="28" t="s">
        <v>244</v>
      </c>
      <c r="E138" s="23">
        <f>SUM(F138+CD138+CW138)</f>
        <v>14695884</v>
      </c>
      <c r="F138" s="24">
        <f>SUM(G138+BD138)</f>
        <v>14494370</v>
      </c>
      <c r="G138" s="24">
        <f>SUM(H138+I138+J138+Q138+T138+U138+V138+AF138+AE138)</f>
        <v>13553835</v>
      </c>
      <c r="H138" s="29">
        <f>10508875-167285</f>
        <v>10341590</v>
      </c>
      <c r="I138" s="29">
        <f>2520028-15685</f>
        <v>2504343</v>
      </c>
      <c r="J138" s="24">
        <f t="shared" si="111"/>
        <v>228872</v>
      </c>
      <c r="K138" s="29">
        <v>4555</v>
      </c>
      <c r="L138" s="29">
        <v>2575</v>
      </c>
      <c r="M138" s="29">
        <v>186278</v>
      </c>
      <c r="N138" s="29">
        <v>0</v>
      </c>
      <c r="O138" s="29">
        <v>23128</v>
      </c>
      <c r="P138" s="29">
        <f>15216-2880</f>
        <v>12336</v>
      </c>
      <c r="Q138" s="24">
        <f t="shared" si="112"/>
        <v>0</v>
      </c>
      <c r="R138" s="29">
        <v>0</v>
      </c>
      <c r="S138" s="29">
        <v>0</v>
      </c>
      <c r="T138" s="29">
        <v>0</v>
      </c>
      <c r="U138" s="29">
        <f>50640-2186</f>
        <v>48454</v>
      </c>
      <c r="V138" s="24">
        <f t="shared" si="266"/>
        <v>257672</v>
      </c>
      <c r="W138" s="29">
        <v>13163</v>
      </c>
      <c r="X138" s="29">
        <f>184459+3082</f>
        <v>187541</v>
      </c>
      <c r="Y138" s="29">
        <v>38163</v>
      </c>
      <c r="Z138" s="29">
        <v>14158</v>
      </c>
      <c r="AA138" s="29">
        <f>5454-807</f>
        <v>4647</v>
      </c>
      <c r="AB138" s="29">
        <v>0</v>
      </c>
      <c r="AC138" s="29">
        <v>0</v>
      </c>
      <c r="AD138" s="29">
        <v>0</v>
      </c>
      <c r="AE138" s="24">
        <v>0</v>
      </c>
      <c r="AF138" s="24">
        <f>SUM(AG138:BC138)</f>
        <v>172904</v>
      </c>
      <c r="AG138" s="30"/>
      <c r="AH138" s="30"/>
      <c r="AI138" s="29">
        <v>0</v>
      </c>
      <c r="AJ138" s="29">
        <v>76330</v>
      </c>
      <c r="AK138" s="29">
        <v>10000</v>
      </c>
      <c r="AL138" s="29">
        <v>4910</v>
      </c>
      <c r="AM138" s="29">
        <v>0</v>
      </c>
      <c r="AN138" s="29">
        <v>1169</v>
      </c>
      <c r="AO138" s="29">
        <v>15211</v>
      </c>
      <c r="AP138" s="29">
        <v>0</v>
      </c>
      <c r="AQ138" s="29">
        <v>0</v>
      </c>
      <c r="AR138" s="29">
        <v>0</v>
      </c>
      <c r="AS138" s="29">
        <v>0</v>
      </c>
      <c r="AT138" s="29">
        <v>0</v>
      </c>
      <c r="AU138" s="29">
        <v>51612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0</v>
      </c>
      <c r="BC138" s="29">
        <f>26277-12605</f>
        <v>13672</v>
      </c>
      <c r="BD138" s="24">
        <f>SUM(BE138+BI138+BM138+BO138+BR138)</f>
        <v>940535</v>
      </c>
      <c r="BE138" s="24">
        <f>SUM(BF138:BH138)</f>
        <v>0</v>
      </c>
      <c r="BF138" s="24">
        <v>0</v>
      </c>
      <c r="BG138" s="24">
        <v>0</v>
      </c>
      <c r="BH138" s="24">
        <v>0</v>
      </c>
      <c r="BI138" s="24">
        <f>SUM(BL138:BL138)</f>
        <v>0</v>
      </c>
      <c r="BJ138" s="24">
        <v>0</v>
      </c>
      <c r="BK138" s="24">
        <v>0</v>
      </c>
      <c r="BL138" s="24">
        <v>0</v>
      </c>
      <c r="BM138" s="24">
        <v>0</v>
      </c>
      <c r="BN138" s="24">
        <v>0</v>
      </c>
      <c r="BO138" s="24">
        <f t="shared" si="113"/>
        <v>0</v>
      </c>
      <c r="BP138" s="24">
        <v>0</v>
      </c>
      <c r="BQ138" s="24">
        <v>0</v>
      </c>
      <c r="BR138" s="24">
        <f>SUM(BS138:CC138)</f>
        <v>940535</v>
      </c>
      <c r="BS138" s="24">
        <v>0</v>
      </c>
      <c r="BT138" s="24">
        <v>0</v>
      </c>
      <c r="BU138" s="29">
        <v>605862</v>
      </c>
      <c r="BV138" s="24">
        <v>0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9">
        <v>334673</v>
      </c>
      <c r="CC138" s="29">
        <v>0</v>
      </c>
      <c r="CD138" s="24">
        <f>SUM(CE138+CV138)</f>
        <v>201514</v>
      </c>
      <c r="CE138" s="24">
        <f>SUM(CF138+CI138+CN138)</f>
        <v>201514</v>
      </c>
      <c r="CF138" s="24">
        <f t="shared" si="114"/>
        <v>201514</v>
      </c>
      <c r="CG138" s="24">
        <v>0</v>
      </c>
      <c r="CH138" s="29">
        <v>201514</v>
      </c>
      <c r="CI138" s="24">
        <f>SUM(CJ138:CM138)</f>
        <v>0</v>
      </c>
      <c r="CJ138" s="24">
        <v>0</v>
      </c>
      <c r="CK138" s="24">
        <v>0</v>
      </c>
      <c r="CL138" s="24">
        <v>0</v>
      </c>
      <c r="CM138" s="24">
        <v>0</v>
      </c>
      <c r="CN138" s="24">
        <f>SUM(CO138:CS138)</f>
        <v>0</v>
      </c>
      <c r="CO138" s="24"/>
      <c r="CP138" s="24"/>
      <c r="CQ138" s="24">
        <v>0</v>
      </c>
      <c r="CR138" s="24"/>
      <c r="CS138" s="24"/>
      <c r="CT138" s="24">
        <v>0</v>
      </c>
      <c r="CU138" s="24">
        <v>0</v>
      </c>
      <c r="CV138" s="24">
        <v>0</v>
      </c>
      <c r="CW138" s="24">
        <f t="shared" si="115"/>
        <v>0</v>
      </c>
      <c r="CX138" s="24">
        <f t="shared" si="116"/>
        <v>0</v>
      </c>
      <c r="CY138" s="24">
        <v>0</v>
      </c>
      <c r="CZ138" s="25">
        <v>0</v>
      </c>
    </row>
    <row r="139" spans="1:104" ht="31.2" x14ac:dyDescent="0.3">
      <c r="A139" s="20"/>
      <c r="B139" s="21" t="s">
        <v>245</v>
      </c>
      <c r="C139" s="21" t="s">
        <v>1</v>
      </c>
      <c r="D139" s="22" t="s">
        <v>246</v>
      </c>
      <c r="E139" s="23">
        <f>SUM(E140)</f>
        <v>3722054</v>
      </c>
      <c r="F139" s="24">
        <f t="shared" ref="F139:BX139" si="267">SUM(F140)</f>
        <v>3712054</v>
      </c>
      <c r="G139" s="24">
        <f t="shared" si="267"/>
        <v>3712054</v>
      </c>
      <c r="H139" s="24">
        <f t="shared" si="267"/>
        <v>2914782</v>
      </c>
      <c r="I139" s="24">
        <f t="shared" si="267"/>
        <v>652037</v>
      </c>
      <c r="J139" s="24">
        <f t="shared" si="267"/>
        <v>57744</v>
      </c>
      <c r="K139" s="24">
        <f t="shared" si="267"/>
        <v>0</v>
      </c>
      <c r="L139" s="24">
        <f t="shared" si="267"/>
        <v>0</v>
      </c>
      <c r="M139" s="24">
        <f t="shared" si="267"/>
        <v>0</v>
      </c>
      <c r="N139" s="24">
        <f t="shared" si="267"/>
        <v>0</v>
      </c>
      <c r="O139" s="24">
        <f t="shared" si="267"/>
        <v>35381</v>
      </c>
      <c r="P139" s="24">
        <f t="shared" si="267"/>
        <v>22363</v>
      </c>
      <c r="Q139" s="24">
        <f t="shared" si="267"/>
        <v>658</v>
      </c>
      <c r="R139" s="24">
        <f t="shared" si="267"/>
        <v>658</v>
      </c>
      <c r="S139" s="24">
        <f t="shared" si="267"/>
        <v>0</v>
      </c>
      <c r="T139" s="24">
        <f t="shared" si="267"/>
        <v>0</v>
      </c>
      <c r="U139" s="24">
        <f t="shared" si="267"/>
        <v>15919</v>
      </c>
      <c r="V139" s="24">
        <f t="shared" si="267"/>
        <v>70436</v>
      </c>
      <c r="W139" s="24">
        <f t="shared" si="267"/>
        <v>938</v>
      </c>
      <c r="X139" s="24">
        <f t="shared" si="267"/>
        <v>50193</v>
      </c>
      <c r="Y139" s="24">
        <f t="shared" si="267"/>
        <v>11452</v>
      </c>
      <c r="Z139" s="24">
        <f t="shared" si="267"/>
        <v>6348</v>
      </c>
      <c r="AA139" s="24">
        <f t="shared" si="267"/>
        <v>1505</v>
      </c>
      <c r="AB139" s="24">
        <f t="shared" si="267"/>
        <v>0</v>
      </c>
      <c r="AC139" s="24">
        <f t="shared" si="267"/>
        <v>0</v>
      </c>
      <c r="AD139" s="24">
        <f t="shared" si="267"/>
        <v>0</v>
      </c>
      <c r="AE139" s="24">
        <f t="shared" si="267"/>
        <v>0</v>
      </c>
      <c r="AF139" s="24">
        <f t="shared" si="267"/>
        <v>478</v>
      </c>
      <c r="AG139" s="24">
        <f t="shared" si="267"/>
        <v>0</v>
      </c>
      <c r="AH139" s="24">
        <f t="shared" si="267"/>
        <v>0</v>
      </c>
      <c r="AI139" s="24">
        <f t="shared" si="267"/>
        <v>0</v>
      </c>
      <c r="AJ139" s="24">
        <f t="shared" si="267"/>
        <v>0</v>
      </c>
      <c r="AK139" s="24">
        <f t="shared" si="267"/>
        <v>0</v>
      </c>
      <c r="AL139" s="24">
        <f t="shared" si="267"/>
        <v>0</v>
      </c>
      <c r="AM139" s="24">
        <f t="shared" si="267"/>
        <v>0</v>
      </c>
      <c r="AN139" s="24">
        <f t="shared" si="267"/>
        <v>478</v>
      </c>
      <c r="AO139" s="24">
        <f t="shared" si="267"/>
        <v>0</v>
      </c>
      <c r="AP139" s="24">
        <f t="shared" si="267"/>
        <v>0</v>
      </c>
      <c r="AQ139" s="24">
        <f t="shared" si="267"/>
        <v>0</v>
      </c>
      <c r="AR139" s="24"/>
      <c r="AS139" s="24">
        <f t="shared" si="267"/>
        <v>0</v>
      </c>
      <c r="AT139" s="24">
        <f t="shared" si="267"/>
        <v>0</v>
      </c>
      <c r="AU139" s="24">
        <f t="shared" si="267"/>
        <v>0</v>
      </c>
      <c r="AV139" s="24"/>
      <c r="AW139" s="24"/>
      <c r="AX139" s="24">
        <f t="shared" si="267"/>
        <v>0</v>
      </c>
      <c r="AY139" s="24">
        <f t="shared" si="267"/>
        <v>0</v>
      </c>
      <c r="AZ139" s="24">
        <f t="shared" si="267"/>
        <v>0</v>
      </c>
      <c r="BA139" s="24">
        <f t="shared" si="267"/>
        <v>0</v>
      </c>
      <c r="BB139" s="24"/>
      <c r="BC139" s="24">
        <f t="shared" si="267"/>
        <v>0</v>
      </c>
      <c r="BD139" s="24">
        <f t="shared" si="267"/>
        <v>0</v>
      </c>
      <c r="BE139" s="24">
        <f t="shared" si="267"/>
        <v>0</v>
      </c>
      <c r="BF139" s="24">
        <f t="shared" si="267"/>
        <v>0</v>
      </c>
      <c r="BG139" s="24">
        <f t="shared" si="267"/>
        <v>0</v>
      </c>
      <c r="BH139" s="24">
        <f t="shared" si="267"/>
        <v>0</v>
      </c>
      <c r="BI139" s="24">
        <f t="shared" si="267"/>
        <v>0</v>
      </c>
      <c r="BJ139" s="24">
        <f t="shared" si="267"/>
        <v>0</v>
      </c>
      <c r="BK139" s="24">
        <f t="shared" si="267"/>
        <v>0</v>
      </c>
      <c r="BL139" s="24">
        <f t="shared" si="267"/>
        <v>0</v>
      </c>
      <c r="BM139" s="24">
        <f t="shared" si="267"/>
        <v>0</v>
      </c>
      <c r="BN139" s="24">
        <f t="shared" si="267"/>
        <v>0</v>
      </c>
      <c r="BO139" s="24">
        <f t="shared" si="267"/>
        <v>0</v>
      </c>
      <c r="BP139" s="24">
        <f t="shared" si="267"/>
        <v>0</v>
      </c>
      <c r="BQ139" s="24">
        <f t="shared" si="267"/>
        <v>0</v>
      </c>
      <c r="BR139" s="24">
        <f t="shared" si="267"/>
        <v>0</v>
      </c>
      <c r="BS139" s="24">
        <f t="shared" si="267"/>
        <v>0</v>
      </c>
      <c r="BT139" s="24">
        <f t="shared" si="267"/>
        <v>0</v>
      </c>
      <c r="BU139" s="24">
        <f t="shared" si="267"/>
        <v>0</v>
      </c>
      <c r="BV139" s="24">
        <f t="shared" si="267"/>
        <v>0</v>
      </c>
      <c r="BW139" s="24">
        <f t="shared" si="267"/>
        <v>0</v>
      </c>
      <c r="BX139" s="24">
        <f t="shared" si="267"/>
        <v>0</v>
      </c>
      <c r="BY139" s="24">
        <f t="shared" ref="BY139:CZ139" si="268">SUM(BY140)</f>
        <v>0</v>
      </c>
      <c r="BZ139" s="24">
        <f t="shared" si="268"/>
        <v>0</v>
      </c>
      <c r="CA139" s="24">
        <f t="shared" si="268"/>
        <v>0</v>
      </c>
      <c r="CB139" s="24">
        <f t="shared" si="268"/>
        <v>0</v>
      </c>
      <c r="CC139" s="24">
        <f t="shared" si="268"/>
        <v>0</v>
      </c>
      <c r="CD139" s="24">
        <f t="shared" si="268"/>
        <v>10000</v>
      </c>
      <c r="CE139" s="24">
        <f t="shared" si="268"/>
        <v>10000</v>
      </c>
      <c r="CF139" s="24">
        <f t="shared" si="268"/>
        <v>10000</v>
      </c>
      <c r="CG139" s="24">
        <f t="shared" si="268"/>
        <v>0</v>
      </c>
      <c r="CH139" s="24">
        <f t="shared" si="268"/>
        <v>10000</v>
      </c>
      <c r="CI139" s="24">
        <f t="shared" si="268"/>
        <v>0</v>
      </c>
      <c r="CJ139" s="24">
        <f t="shared" si="268"/>
        <v>0</v>
      </c>
      <c r="CK139" s="24">
        <f t="shared" si="268"/>
        <v>0</v>
      </c>
      <c r="CL139" s="24">
        <f t="shared" si="268"/>
        <v>0</v>
      </c>
      <c r="CM139" s="24">
        <f t="shared" si="268"/>
        <v>0</v>
      </c>
      <c r="CN139" s="24">
        <f t="shared" si="268"/>
        <v>0</v>
      </c>
      <c r="CO139" s="24">
        <f t="shared" si="268"/>
        <v>0</v>
      </c>
      <c r="CP139" s="24">
        <f t="shared" si="268"/>
        <v>0</v>
      </c>
      <c r="CQ139" s="24">
        <f t="shared" si="268"/>
        <v>0</v>
      </c>
      <c r="CR139" s="24"/>
      <c r="CS139" s="24"/>
      <c r="CT139" s="24">
        <f t="shared" si="268"/>
        <v>0</v>
      </c>
      <c r="CU139" s="24">
        <f t="shared" si="268"/>
        <v>0</v>
      </c>
      <c r="CV139" s="24">
        <f t="shared" si="268"/>
        <v>0</v>
      </c>
      <c r="CW139" s="24">
        <f t="shared" si="268"/>
        <v>0</v>
      </c>
      <c r="CX139" s="24">
        <f t="shared" si="268"/>
        <v>0</v>
      </c>
      <c r="CY139" s="24">
        <f t="shared" si="268"/>
        <v>0</v>
      </c>
      <c r="CZ139" s="25">
        <f t="shared" si="268"/>
        <v>0</v>
      </c>
    </row>
    <row r="140" spans="1:104" ht="31.2" x14ac:dyDescent="0.3">
      <c r="A140" s="26"/>
      <c r="B140" s="27" t="s">
        <v>1</v>
      </c>
      <c r="C140" s="27" t="s">
        <v>88</v>
      </c>
      <c r="D140" s="28" t="s">
        <v>247</v>
      </c>
      <c r="E140" s="23">
        <f>SUM(F140+CD140+CW140)</f>
        <v>3722054</v>
      </c>
      <c r="F140" s="24">
        <f>SUM(G140+BD140)</f>
        <v>3712054</v>
      </c>
      <c r="G140" s="24">
        <f>SUM(H140+I140+J140+Q140+T140+U140+V140+AF140+AE140)</f>
        <v>3712054</v>
      </c>
      <c r="H140" s="24">
        <v>2914782</v>
      </c>
      <c r="I140" s="24">
        <v>652037</v>
      </c>
      <c r="J140" s="24">
        <f t="shared" si="111"/>
        <v>57744</v>
      </c>
      <c r="K140" s="24">
        <v>0</v>
      </c>
      <c r="L140" s="24">
        <v>0</v>
      </c>
      <c r="M140" s="24">
        <v>0</v>
      </c>
      <c r="N140" s="24">
        <v>0</v>
      </c>
      <c r="O140" s="30">
        <v>35381</v>
      </c>
      <c r="P140" s="30">
        <v>22363</v>
      </c>
      <c r="Q140" s="24">
        <f t="shared" si="112"/>
        <v>658</v>
      </c>
      <c r="R140" s="30">
        <f>896-238</f>
        <v>658</v>
      </c>
      <c r="S140" s="24">
        <v>0</v>
      </c>
      <c r="T140" s="24">
        <v>0</v>
      </c>
      <c r="U140" s="30">
        <f>30919-15000</f>
        <v>15919</v>
      </c>
      <c r="V140" s="24">
        <f>SUM(W140:AD140)</f>
        <v>70436</v>
      </c>
      <c r="W140" s="29">
        <f>13938-13000</f>
        <v>938</v>
      </c>
      <c r="X140" s="29">
        <f>49935+258</f>
        <v>50193</v>
      </c>
      <c r="Y140" s="29">
        <v>11452</v>
      </c>
      <c r="Z140" s="29">
        <v>6348</v>
      </c>
      <c r="AA140" s="29">
        <v>1505</v>
      </c>
      <c r="AB140" s="29">
        <v>0</v>
      </c>
      <c r="AC140" s="29">
        <v>0</v>
      </c>
      <c r="AD140" s="29">
        <v>0</v>
      </c>
      <c r="AE140" s="29">
        <v>0</v>
      </c>
      <c r="AF140" s="24">
        <f>SUM(AG140:BC140)</f>
        <v>478</v>
      </c>
      <c r="AG140" s="24">
        <v>0</v>
      </c>
      <c r="AH140" s="24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478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4">
        <f>SUM(BE140+BI140+BM140+BO140+BR140)</f>
        <v>0</v>
      </c>
      <c r="BE140" s="24">
        <f>SUM(BF140:BH140)</f>
        <v>0</v>
      </c>
      <c r="BF140" s="24">
        <v>0</v>
      </c>
      <c r="BG140" s="24">
        <v>0</v>
      </c>
      <c r="BH140" s="24">
        <v>0</v>
      </c>
      <c r="BI140" s="24">
        <f>SUM(BL140:BL140)</f>
        <v>0</v>
      </c>
      <c r="BJ140" s="24">
        <v>0</v>
      </c>
      <c r="BK140" s="24">
        <v>0</v>
      </c>
      <c r="BL140" s="24">
        <v>0</v>
      </c>
      <c r="BM140" s="24">
        <v>0</v>
      </c>
      <c r="BN140" s="24">
        <v>0</v>
      </c>
      <c r="BO140" s="24">
        <f t="shared" si="113"/>
        <v>0</v>
      </c>
      <c r="BP140" s="24">
        <v>0</v>
      </c>
      <c r="BQ140" s="24">
        <v>0</v>
      </c>
      <c r="BR140" s="24">
        <f>SUM(BS140:CC140)</f>
        <v>0</v>
      </c>
      <c r="BS140" s="24">
        <v>0</v>
      </c>
      <c r="BT140" s="24">
        <v>0</v>
      </c>
      <c r="BU140" s="24">
        <v>0</v>
      </c>
      <c r="BV140" s="24">
        <v>0</v>
      </c>
      <c r="BW140" s="24">
        <v>0</v>
      </c>
      <c r="BX140" s="24">
        <v>0</v>
      </c>
      <c r="BY140" s="24">
        <v>0</v>
      </c>
      <c r="BZ140" s="24">
        <v>0</v>
      </c>
      <c r="CA140" s="24">
        <v>0</v>
      </c>
      <c r="CB140" s="24">
        <v>0</v>
      </c>
      <c r="CC140" s="24">
        <v>0</v>
      </c>
      <c r="CD140" s="24">
        <f>SUM(CE140+CV140)</f>
        <v>10000</v>
      </c>
      <c r="CE140" s="24">
        <f>SUM(CF140+CI140+CN140)</f>
        <v>10000</v>
      </c>
      <c r="CF140" s="24">
        <f t="shared" si="114"/>
        <v>10000</v>
      </c>
      <c r="CG140" s="24">
        <v>0</v>
      </c>
      <c r="CH140" s="24">
        <v>10000</v>
      </c>
      <c r="CI140" s="24">
        <f>SUM(CJ140:CM140)</f>
        <v>0</v>
      </c>
      <c r="CJ140" s="24">
        <v>0</v>
      </c>
      <c r="CK140" s="24">
        <v>0</v>
      </c>
      <c r="CL140" s="24">
        <v>0</v>
      </c>
      <c r="CM140" s="24">
        <v>0</v>
      </c>
      <c r="CN140" s="24">
        <f>SUM(CO140:CS140)</f>
        <v>0</v>
      </c>
      <c r="CO140" s="24">
        <v>0</v>
      </c>
      <c r="CP140" s="24">
        <v>0</v>
      </c>
      <c r="CQ140" s="24">
        <v>0</v>
      </c>
      <c r="CR140" s="24"/>
      <c r="CS140" s="24"/>
      <c r="CT140" s="24">
        <v>0</v>
      </c>
      <c r="CU140" s="24">
        <v>0</v>
      </c>
      <c r="CV140" s="24">
        <v>0</v>
      </c>
      <c r="CW140" s="24">
        <f t="shared" si="115"/>
        <v>0</v>
      </c>
      <c r="CX140" s="24">
        <f t="shared" si="116"/>
        <v>0</v>
      </c>
      <c r="CY140" s="24">
        <v>0</v>
      </c>
      <c r="CZ140" s="25">
        <v>0</v>
      </c>
    </row>
    <row r="141" spans="1:104" ht="31.2" x14ac:dyDescent="0.3">
      <c r="A141" s="20"/>
      <c r="B141" s="21" t="s">
        <v>248</v>
      </c>
      <c r="C141" s="21" t="s">
        <v>1</v>
      </c>
      <c r="D141" s="22" t="s">
        <v>249</v>
      </c>
      <c r="E141" s="23">
        <f t="shared" ref="E141:AL141" si="269">SUM(E142)</f>
        <v>7144066</v>
      </c>
      <c r="F141" s="24">
        <f t="shared" si="269"/>
        <v>7019299</v>
      </c>
      <c r="G141" s="24">
        <f t="shared" si="269"/>
        <v>5298820</v>
      </c>
      <c r="H141" s="24">
        <f t="shared" si="269"/>
        <v>2746156</v>
      </c>
      <c r="I141" s="24">
        <f t="shared" si="269"/>
        <v>643468</v>
      </c>
      <c r="J141" s="24">
        <f t="shared" si="269"/>
        <v>1395172</v>
      </c>
      <c r="K141" s="24">
        <f t="shared" si="269"/>
        <v>17065</v>
      </c>
      <c r="L141" s="24">
        <f t="shared" si="269"/>
        <v>163821</v>
      </c>
      <c r="M141" s="24">
        <f t="shared" si="269"/>
        <v>977954</v>
      </c>
      <c r="N141" s="24">
        <f t="shared" si="269"/>
        <v>0</v>
      </c>
      <c r="O141" s="24">
        <f t="shared" si="269"/>
        <v>112007</v>
      </c>
      <c r="P141" s="24">
        <f t="shared" si="269"/>
        <v>124325</v>
      </c>
      <c r="Q141" s="24">
        <f t="shared" si="269"/>
        <v>0</v>
      </c>
      <c r="R141" s="24">
        <f t="shared" si="269"/>
        <v>0</v>
      </c>
      <c r="S141" s="24">
        <f t="shared" si="269"/>
        <v>0</v>
      </c>
      <c r="T141" s="24">
        <f t="shared" si="269"/>
        <v>0</v>
      </c>
      <c r="U141" s="24">
        <f t="shared" si="269"/>
        <v>16636</v>
      </c>
      <c r="V141" s="24">
        <f t="shared" si="269"/>
        <v>265776</v>
      </c>
      <c r="W141" s="24">
        <f t="shared" si="269"/>
        <v>17001</v>
      </c>
      <c r="X141" s="24">
        <f t="shared" si="269"/>
        <v>156861</v>
      </c>
      <c r="Y141" s="24">
        <f t="shared" si="269"/>
        <v>41890</v>
      </c>
      <c r="Z141" s="24">
        <f t="shared" si="269"/>
        <v>46411</v>
      </c>
      <c r="AA141" s="24">
        <f t="shared" si="269"/>
        <v>3613</v>
      </c>
      <c r="AB141" s="24">
        <f t="shared" si="269"/>
        <v>0</v>
      </c>
      <c r="AC141" s="24">
        <f t="shared" si="269"/>
        <v>0</v>
      </c>
      <c r="AD141" s="24">
        <f t="shared" si="269"/>
        <v>0</v>
      </c>
      <c r="AE141" s="24">
        <f t="shared" si="269"/>
        <v>0</v>
      </c>
      <c r="AF141" s="24">
        <f t="shared" si="269"/>
        <v>231612</v>
      </c>
      <c r="AG141" s="24">
        <f t="shared" si="269"/>
        <v>0</v>
      </c>
      <c r="AH141" s="24">
        <f t="shared" si="269"/>
        <v>0</v>
      </c>
      <c r="AI141" s="24">
        <f t="shared" si="269"/>
        <v>660</v>
      </c>
      <c r="AJ141" s="24">
        <f t="shared" si="269"/>
        <v>23658</v>
      </c>
      <c r="AK141" s="24">
        <f t="shared" si="269"/>
        <v>2145</v>
      </c>
      <c r="AL141" s="24">
        <f t="shared" si="269"/>
        <v>2164</v>
      </c>
      <c r="AM141" s="24">
        <f t="shared" ref="AM141:CZ141" si="270">SUM(AM142)</f>
        <v>0</v>
      </c>
      <c r="AN141" s="24">
        <f t="shared" si="270"/>
        <v>520</v>
      </c>
      <c r="AO141" s="24">
        <f t="shared" si="270"/>
        <v>0</v>
      </c>
      <c r="AP141" s="24">
        <f t="shared" si="270"/>
        <v>0</v>
      </c>
      <c r="AQ141" s="24">
        <f t="shared" si="270"/>
        <v>109</v>
      </c>
      <c r="AR141" s="24"/>
      <c r="AS141" s="24">
        <f t="shared" si="270"/>
        <v>0</v>
      </c>
      <c r="AT141" s="24">
        <f t="shared" si="270"/>
        <v>190486</v>
      </c>
      <c r="AU141" s="24">
        <f t="shared" si="270"/>
        <v>0</v>
      </c>
      <c r="AV141" s="24"/>
      <c r="AW141" s="24"/>
      <c r="AX141" s="24">
        <f t="shared" si="270"/>
        <v>0</v>
      </c>
      <c r="AY141" s="24">
        <f t="shared" si="270"/>
        <v>0</v>
      </c>
      <c r="AZ141" s="24">
        <f t="shared" si="270"/>
        <v>0</v>
      </c>
      <c r="BA141" s="24">
        <f t="shared" si="270"/>
        <v>0</v>
      </c>
      <c r="BB141" s="24"/>
      <c r="BC141" s="24">
        <f t="shared" si="270"/>
        <v>11870</v>
      </c>
      <c r="BD141" s="24">
        <f t="shared" si="270"/>
        <v>1720479</v>
      </c>
      <c r="BE141" s="24">
        <f t="shared" si="270"/>
        <v>0</v>
      </c>
      <c r="BF141" s="24">
        <f t="shared" si="270"/>
        <v>0</v>
      </c>
      <c r="BG141" s="24">
        <f t="shared" si="270"/>
        <v>0</v>
      </c>
      <c r="BH141" s="24">
        <f t="shared" si="270"/>
        <v>0</v>
      </c>
      <c r="BI141" s="24">
        <f t="shared" si="270"/>
        <v>0</v>
      </c>
      <c r="BJ141" s="24">
        <f t="shared" si="270"/>
        <v>0</v>
      </c>
      <c r="BK141" s="24">
        <f t="shared" si="270"/>
        <v>0</v>
      </c>
      <c r="BL141" s="24">
        <f t="shared" si="270"/>
        <v>0</v>
      </c>
      <c r="BM141" s="24">
        <f t="shared" si="270"/>
        <v>0</v>
      </c>
      <c r="BN141" s="24">
        <f t="shared" si="270"/>
        <v>0</v>
      </c>
      <c r="BO141" s="24">
        <f t="shared" si="270"/>
        <v>0</v>
      </c>
      <c r="BP141" s="24">
        <f t="shared" si="270"/>
        <v>0</v>
      </c>
      <c r="BQ141" s="24">
        <f t="shared" si="270"/>
        <v>0</v>
      </c>
      <c r="BR141" s="24">
        <f t="shared" si="270"/>
        <v>1720479</v>
      </c>
      <c r="BS141" s="24">
        <f t="shared" si="270"/>
        <v>0</v>
      </c>
      <c r="BT141" s="24">
        <f t="shared" si="270"/>
        <v>0</v>
      </c>
      <c r="BU141" s="24">
        <f t="shared" si="270"/>
        <v>0</v>
      </c>
      <c r="BV141" s="24">
        <f t="shared" si="270"/>
        <v>0</v>
      </c>
      <c r="BW141" s="24">
        <f t="shared" si="270"/>
        <v>0</v>
      </c>
      <c r="BX141" s="24">
        <f t="shared" si="270"/>
        <v>0</v>
      </c>
      <c r="BY141" s="24">
        <f t="shared" si="270"/>
        <v>0</v>
      </c>
      <c r="BZ141" s="24">
        <f t="shared" si="270"/>
        <v>0</v>
      </c>
      <c r="CA141" s="24">
        <f t="shared" si="270"/>
        <v>0</v>
      </c>
      <c r="CB141" s="24">
        <f t="shared" si="270"/>
        <v>0</v>
      </c>
      <c r="CC141" s="24">
        <f t="shared" si="270"/>
        <v>1720479</v>
      </c>
      <c r="CD141" s="24">
        <f t="shared" si="270"/>
        <v>124767</v>
      </c>
      <c r="CE141" s="24">
        <f t="shared" si="270"/>
        <v>124767</v>
      </c>
      <c r="CF141" s="24">
        <f t="shared" si="270"/>
        <v>107551</v>
      </c>
      <c r="CG141" s="24">
        <f t="shared" si="270"/>
        <v>0</v>
      </c>
      <c r="CH141" s="24">
        <f t="shared" si="270"/>
        <v>107551</v>
      </c>
      <c r="CI141" s="24">
        <f t="shared" si="270"/>
        <v>0</v>
      </c>
      <c r="CJ141" s="24">
        <f t="shared" si="270"/>
        <v>0</v>
      </c>
      <c r="CK141" s="24">
        <f t="shared" si="270"/>
        <v>0</v>
      </c>
      <c r="CL141" s="24">
        <f t="shared" si="270"/>
        <v>0</v>
      </c>
      <c r="CM141" s="24">
        <f t="shared" si="270"/>
        <v>0</v>
      </c>
      <c r="CN141" s="24">
        <f t="shared" si="270"/>
        <v>17216</v>
      </c>
      <c r="CO141" s="24">
        <f t="shared" si="270"/>
        <v>0</v>
      </c>
      <c r="CP141" s="24">
        <f t="shared" si="270"/>
        <v>17216</v>
      </c>
      <c r="CQ141" s="24">
        <f t="shared" si="270"/>
        <v>0</v>
      </c>
      <c r="CR141" s="24"/>
      <c r="CS141" s="24"/>
      <c r="CT141" s="24">
        <f t="shared" si="270"/>
        <v>0</v>
      </c>
      <c r="CU141" s="24">
        <f t="shared" si="270"/>
        <v>0</v>
      </c>
      <c r="CV141" s="24">
        <f t="shared" si="270"/>
        <v>0</v>
      </c>
      <c r="CW141" s="24">
        <f t="shared" si="270"/>
        <v>0</v>
      </c>
      <c r="CX141" s="24">
        <f t="shared" si="270"/>
        <v>0</v>
      </c>
      <c r="CY141" s="24">
        <f t="shared" si="270"/>
        <v>0</v>
      </c>
      <c r="CZ141" s="25">
        <f t="shared" si="270"/>
        <v>0</v>
      </c>
    </row>
    <row r="142" spans="1:104" ht="15.6" x14ac:dyDescent="0.3">
      <c r="A142" s="26"/>
      <c r="B142" s="27" t="s">
        <v>1</v>
      </c>
      <c r="C142" s="27" t="s">
        <v>84</v>
      </c>
      <c r="D142" s="28" t="s">
        <v>250</v>
      </c>
      <c r="E142" s="23">
        <f>SUM(F142+CD142+CW142)</f>
        <v>7144066</v>
      </c>
      <c r="F142" s="24">
        <f>SUM(G142+BD142)</f>
        <v>7019299</v>
      </c>
      <c r="G142" s="24">
        <f>SUM(H142+I142+J142+Q142+T142+U142+V142+AF142+AE142)</f>
        <v>5298820</v>
      </c>
      <c r="H142" s="29">
        <v>2746156</v>
      </c>
      <c r="I142" s="29">
        <v>643468</v>
      </c>
      <c r="J142" s="24">
        <f t="shared" si="111"/>
        <v>1395172</v>
      </c>
      <c r="K142" s="29">
        <v>17065</v>
      </c>
      <c r="L142" s="29">
        <f>181565-17744</f>
        <v>163821</v>
      </c>
      <c r="M142" s="29">
        <v>977954</v>
      </c>
      <c r="N142" s="29">
        <v>0</v>
      </c>
      <c r="O142" s="29">
        <v>112007</v>
      </c>
      <c r="P142" s="29">
        <f>44125+80200</f>
        <v>124325</v>
      </c>
      <c r="Q142" s="24">
        <f t="shared" si="112"/>
        <v>0</v>
      </c>
      <c r="R142" s="24">
        <v>0</v>
      </c>
      <c r="S142" s="24">
        <v>0</v>
      </c>
      <c r="T142" s="24">
        <v>0</v>
      </c>
      <c r="U142" s="29">
        <v>16636</v>
      </c>
      <c r="V142" s="24">
        <f>SUM(W142:AD142)</f>
        <v>265776</v>
      </c>
      <c r="W142" s="29">
        <v>17001</v>
      </c>
      <c r="X142" s="29">
        <f>156182+679</f>
        <v>156861</v>
      </c>
      <c r="Y142" s="29">
        <v>41890</v>
      </c>
      <c r="Z142" s="29">
        <v>46411</v>
      </c>
      <c r="AA142" s="29">
        <v>3613</v>
      </c>
      <c r="AB142" s="29">
        <v>0</v>
      </c>
      <c r="AC142" s="29">
        <v>0</v>
      </c>
      <c r="AD142" s="29">
        <v>0</v>
      </c>
      <c r="AE142" s="29">
        <v>0</v>
      </c>
      <c r="AF142" s="24">
        <f>SUM(AG142:BC142)</f>
        <v>231612</v>
      </c>
      <c r="AG142" s="24">
        <v>0</v>
      </c>
      <c r="AH142" s="24"/>
      <c r="AI142" s="29">
        <v>660</v>
      </c>
      <c r="AJ142" s="29">
        <v>23658</v>
      </c>
      <c r="AK142" s="29">
        <v>2145</v>
      </c>
      <c r="AL142" s="29">
        <v>2164</v>
      </c>
      <c r="AM142" s="29">
        <v>0</v>
      </c>
      <c r="AN142" s="29">
        <f>25045-24525</f>
        <v>520</v>
      </c>
      <c r="AO142" s="29">
        <v>0</v>
      </c>
      <c r="AP142" s="29">
        <v>0</v>
      </c>
      <c r="AQ142" s="29">
        <v>109</v>
      </c>
      <c r="AR142" s="29">
        <v>0</v>
      </c>
      <c r="AS142" s="29">
        <v>0</v>
      </c>
      <c r="AT142" s="29">
        <v>190486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11870</v>
      </c>
      <c r="BD142" s="24">
        <f>SUM(BE142+BI142+BM142+BO142+BR142)</f>
        <v>1720479</v>
      </c>
      <c r="BE142" s="24">
        <f>SUM(BF142:BH142)</f>
        <v>0</v>
      </c>
      <c r="BF142" s="24">
        <v>0</v>
      </c>
      <c r="BG142" s="24">
        <v>0</v>
      </c>
      <c r="BH142" s="24">
        <v>0</v>
      </c>
      <c r="BI142" s="24">
        <f>SUM(BL142:BL142)</f>
        <v>0</v>
      </c>
      <c r="BJ142" s="24">
        <v>0</v>
      </c>
      <c r="BK142" s="24">
        <v>0</v>
      </c>
      <c r="BL142" s="24">
        <v>0</v>
      </c>
      <c r="BM142" s="24">
        <v>0</v>
      </c>
      <c r="BN142" s="24">
        <v>0</v>
      </c>
      <c r="BO142" s="24">
        <f t="shared" si="113"/>
        <v>0</v>
      </c>
      <c r="BP142" s="24">
        <v>0</v>
      </c>
      <c r="BQ142" s="24">
        <v>0</v>
      </c>
      <c r="BR142" s="24">
        <f>SUM(BS142:CC142)</f>
        <v>1720479</v>
      </c>
      <c r="BS142" s="24">
        <v>0</v>
      </c>
      <c r="BT142" s="24">
        <v>0</v>
      </c>
      <c r="BU142" s="24">
        <v>0</v>
      </c>
      <c r="BV142" s="24">
        <v>0</v>
      </c>
      <c r="BW142" s="24">
        <v>0</v>
      </c>
      <c r="BX142" s="24"/>
      <c r="BY142" s="24">
        <v>0</v>
      </c>
      <c r="BZ142" s="24">
        <v>0</v>
      </c>
      <c r="CA142" s="24">
        <v>0</v>
      </c>
      <c r="CB142" s="24">
        <v>0</v>
      </c>
      <c r="CC142" s="29">
        <v>1720479</v>
      </c>
      <c r="CD142" s="24">
        <f>SUM(CE142+CV142)</f>
        <v>124767</v>
      </c>
      <c r="CE142" s="24">
        <f>SUM(CF142+CI142+CN142)</f>
        <v>124767</v>
      </c>
      <c r="CF142" s="24">
        <f t="shared" si="114"/>
        <v>107551</v>
      </c>
      <c r="CG142" s="24">
        <v>0</v>
      </c>
      <c r="CH142" s="29">
        <f>42351+65200</f>
        <v>107551</v>
      </c>
      <c r="CI142" s="24">
        <f>SUM(CJ142:CM142)</f>
        <v>0</v>
      </c>
      <c r="CJ142" s="24">
        <v>0</v>
      </c>
      <c r="CK142" s="24">
        <v>0</v>
      </c>
      <c r="CL142" s="24">
        <v>0</v>
      </c>
      <c r="CM142" s="24">
        <v>0</v>
      </c>
      <c r="CN142" s="24">
        <f>SUM(CO142:CS142)</f>
        <v>17216</v>
      </c>
      <c r="CO142" s="24"/>
      <c r="CP142" s="24">
        <v>17216</v>
      </c>
      <c r="CQ142" s="24">
        <v>0</v>
      </c>
      <c r="CR142" s="24"/>
      <c r="CS142" s="24"/>
      <c r="CT142" s="24"/>
      <c r="CU142" s="24"/>
      <c r="CV142" s="24">
        <v>0</v>
      </c>
      <c r="CW142" s="24">
        <f t="shared" si="115"/>
        <v>0</v>
      </c>
      <c r="CX142" s="24">
        <f t="shared" si="116"/>
        <v>0</v>
      </c>
      <c r="CY142" s="24">
        <v>0</v>
      </c>
      <c r="CZ142" s="25">
        <v>0</v>
      </c>
    </row>
    <row r="143" spans="1:104" ht="31.2" x14ac:dyDescent="0.3">
      <c r="A143" s="20"/>
      <c r="B143" s="21" t="s">
        <v>251</v>
      </c>
      <c r="C143" s="21" t="s">
        <v>1</v>
      </c>
      <c r="D143" s="22" t="s">
        <v>252</v>
      </c>
      <c r="E143" s="23">
        <f t="shared" ref="E143:BU143" si="271">SUM(E144:E146)</f>
        <v>1892542</v>
      </c>
      <c r="F143" s="24">
        <f t="shared" si="271"/>
        <v>1892542</v>
      </c>
      <c r="G143" s="24">
        <f t="shared" si="271"/>
        <v>1842102</v>
      </c>
      <c r="H143" s="24">
        <f t="shared" si="271"/>
        <v>1129853</v>
      </c>
      <c r="I143" s="24">
        <f t="shared" si="271"/>
        <v>269190</v>
      </c>
      <c r="J143" s="24">
        <f t="shared" si="271"/>
        <v>27427</v>
      </c>
      <c r="K143" s="24">
        <f t="shared" si="271"/>
        <v>0</v>
      </c>
      <c r="L143" s="24">
        <f t="shared" si="271"/>
        <v>0</v>
      </c>
      <c r="M143" s="24">
        <f t="shared" si="271"/>
        <v>0</v>
      </c>
      <c r="N143" s="24">
        <f t="shared" si="271"/>
        <v>0</v>
      </c>
      <c r="O143" s="24">
        <f t="shared" si="271"/>
        <v>0</v>
      </c>
      <c r="P143" s="24">
        <f t="shared" si="271"/>
        <v>27427</v>
      </c>
      <c r="Q143" s="24">
        <f t="shared" si="271"/>
        <v>0</v>
      </c>
      <c r="R143" s="24">
        <f t="shared" si="271"/>
        <v>0</v>
      </c>
      <c r="S143" s="24">
        <f t="shared" si="271"/>
        <v>0</v>
      </c>
      <c r="T143" s="24">
        <f t="shared" si="271"/>
        <v>0</v>
      </c>
      <c r="U143" s="24">
        <f t="shared" si="271"/>
        <v>13304</v>
      </c>
      <c r="V143" s="24">
        <f t="shared" si="271"/>
        <v>0</v>
      </c>
      <c r="W143" s="24">
        <f t="shared" si="271"/>
        <v>0</v>
      </c>
      <c r="X143" s="24">
        <f t="shared" si="271"/>
        <v>0</v>
      </c>
      <c r="Y143" s="24">
        <f t="shared" si="271"/>
        <v>0</v>
      </c>
      <c r="Z143" s="24">
        <f t="shared" si="271"/>
        <v>0</v>
      </c>
      <c r="AA143" s="24">
        <f t="shared" si="271"/>
        <v>0</v>
      </c>
      <c r="AB143" s="24">
        <f t="shared" si="271"/>
        <v>0</v>
      </c>
      <c r="AC143" s="24">
        <f t="shared" si="271"/>
        <v>0</v>
      </c>
      <c r="AD143" s="24">
        <f t="shared" si="271"/>
        <v>0</v>
      </c>
      <c r="AE143" s="24">
        <f t="shared" si="271"/>
        <v>0</v>
      </c>
      <c r="AF143" s="24">
        <f t="shared" si="271"/>
        <v>402328</v>
      </c>
      <c r="AG143" s="24">
        <f t="shared" si="271"/>
        <v>0</v>
      </c>
      <c r="AH143" s="24">
        <f t="shared" si="271"/>
        <v>0</v>
      </c>
      <c r="AI143" s="24">
        <f t="shared" si="271"/>
        <v>0</v>
      </c>
      <c r="AJ143" s="24">
        <f t="shared" si="271"/>
        <v>0</v>
      </c>
      <c r="AK143" s="24">
        <f t="shared" si="271"/>
        <v>0</v>
      </c>
      <c r="AL143" s="24">
        <f t="shared" si="271"/>
        <v>0</v>
      </c>
      <c r="AM143" s="24">
        <f t="shared" si="271"/>
        <v>0</v>
      </c>
      <c r="AN143" s="24">
        <f t="shared" si="271"/>
        <v>0</v>
      </c>
      <c r="AO143" s="24">
        <f t="shared" si="271"/>
        <v>70145</v>
      </c>
      <c r="AP143" s="24">
        <f t="shared" si="271"/>
        <v>0</v>
      </c>
      <c r="AQ143" s="24">
        <f t="shared" si="271"/>
        <v>0</v>
      </c>
      <c r="AR143" s="24"/>
      <c r="AS143" s="24">
        <f t="shared" si="271"/>
        <v>0</v>
      </c>
      <c r="AT143" s="24">
        <f t="shared" si="271"/>
        <v>0</v>
      </c>
      <c r="AU143" s="24">
        <f t="shared" si="271"/>
        <v>0</v>
      </c>
      <c r="AV143" s="24"/>
      <c r="AW143" s="24"/>
      <c r="AX143" s="24">
        <f t="shared" si="271"/>
        <v>0</v>
      </c>
      <c r="AY143" s="24">
        <f t="shared" si="271"/>
        <v>0</v>
      </c>
      <c r="AZ143" s="24">
        <f t="shared" si="271"/>
        <v>0</v>
      </c>
      <c r="BA143" s="24">
        <f t="shared" si="271"/>
        <v>0</v>
      </c>
      <c r="BB143" s="24"/>
      <c r="BC143" s="24">
        <f t="shared" si="271"/>
        <v>332183</v>
      </c>
      <c r="BD143" s="24">
        <f t="shared" si="271"/>
        <v>50440</v>
      </c>
      <c r="BE143" s="24">
        <f t="shared" si="271"/>
        <v>0</v>
      </c>
      <c r="BF143" s="24">
        <f t="shared" si="271"/>
        <v>0</v>
      </c>
      <c r="BG143" s="24">
        <f t="shared" si="271"/>
        <v>0</v>
      </c>
      <c r="BH143" s="24">
        <f t="shared" si="271"/>
        <v>0</v>
      </c>
      <c r="BI143" s="24">
        <f t="shared" si="271"/>
        <v>0</v>
      </c>
      <c r="BJ143" s="24">
        <f t="shared" si="271"/>
        <v>0</v>
      </c>
      <c r="BK143" s="24">
        <f t="shared" ref="BK143" si="272">SUM(BK144:BK146)</f>
        <v>0</v>
      </c>
      <c r="BL143" s="24">
        <f t="shared" si="271"/>
        <v>0</v>
      </c>
      <c r="BM143" s="24">
        <f t="shared" si="271"/>
        <v>0</v>
      </c>
      <c r="BN143" s="24">
        <f t="shared" si="271"/>
        <v>0</v>
      </c>
      <c r="BO143" s="24">
        <f t="shared" si="271"/>
        <v>0</v>
      </c>
      <c r="BP143" s="24">
        <f t="shared" si="271"/>
        <v>0</v>
      </c>
      <c r="BQ143" s="24">
        <f t="shared" ref="BQ143" si="273">SUM(BQ144:BQ146)</f>
        <v>0</v>
      </c>
      <c r="BR143" s="24">
        <f t="shared" si="271"/>
        <v>50440</v>
      </c>
      <c r="BS143" s="24">
        <f t="shared" si="271"/>
        <v>0</v>
      </c>
      <c r="BT143" s="24">
        <f t="shared" si="271"/>
        <v>0</v>
      </c>
      <c r="BU143" s="24">
        <f t="shared" si="271"/>
        <v>50440</v>
      </c>
      <c r="BV143" s="24">
        <f t="shared" ref="BV143:CZ143" si="274">SUM(BV144:BV146)</f>
        <v>0</v>
      </c>
      <c r="BW143" s="24">
        <f t="shared" si="274"/>
        <v>0</v>
      </c>
      <c r="BX143" s="24">
        <f t="shared" si="274"/>
        <v>0</v>
      </c>
      <c r="BY143" s="24">
        <f t="shared" si="274"/>
        <v>0</v>
      </c>
      <c r="BZ143" s="24">
        <f t="shared" si="274"/>
        <v>0</v>
      </c>
      <c r="CA143" s="24">
        <f t="shared" si="274"/>
        <v>0</v>
      </c>
      <c r="CB143" s="24">
        <f t="shared" si="274"/>
        <v>0</v>
      </c>
      <c r="CC143" s="24">
        <f t="shared" si="274"/>
        <v>0</v>
      </c>
      <c r="CD143" s="24">
        <f t="shared" si="274"/>
        <v>0</v>
      </c>
      <c r="CE143" s="24">
        <f t="shared" si="274"/>
        <v>0</v>
      </c>
      <c r="CF143" s="24">
        <f t="shared" si="274"/>
        <v>0</v>
      </c>
      <c r="CG143" s="24">
        <f t="shared" si="274"/>
        <v>0</v>
      </c>
      <c r="CH143" s="24">
        <f t="shared" si="274"/>
        <v>0</v>
      </c>
      <c r="CI143" s="24">
        <f t="shared" si="274"/>
        <v>0</v>
      </c>
      <c r="CJ143" s="24">
        <f t="shared" si="274"/>
        <v>0</v>
      </c>
      <c r="CK143" s="24">
        <f t="shared" ref="CK143:CL143" si="275">SUM(CK144:CK146)</f>
        <v>0</v>
      </c>
      <c r="CL143" s="24">
        <f t="shared" si="275"/>
        <v>0</v>
      </c>
      <c r="CM143" s="24">
        <f t="shared" si="274"/>
        <v>0</v>
      </c>
      <c r="CN143" s="24">
        <f t="shared" si="274"/>
        <v>0</v>
      </c>
      <c r="CO143" s="24">
        <f t="shared" si="274"/>
        <v>0</v>
      </c>
      <c r="CP143" s="24">
        <f t="shared" ref="CP143" si="276">SUM(CP144:CP146)</f>
        <v>0</v>
      </c>
      <c r="CQ143" s="24">
        <f t="shared" si="274"/>
        <v>0</v>
      </c>
      <c r="CR143" s="24"/>
      <c r="CS143" s="24"/>
      <c r="CT143" s="24">
        <f t="shared" si="274"/>
        <v>0</v>
      </c>
      <c r="CU143" s="24">
        <f t="shared" si="274"/>
        <v>0</v>
      </c>
      <c r="CV143" s="24">
        <f t="shared" si="274"/>
        <v>0</v>
      </c>
      <c r="CW143" s="24">
        <f t="shared" si="274"/>
        <v>0</v>
      </c>
      <c r="CX143" s="24">
        <f t="shared" si="274"/>
        <v>0</v>
      </c>
      <c r="CY143" s="24">
        <f t="shared" si="274"/>
        <v>0</v>
      </c>
      <c r="CZ143" s="25">
        <f t="shared" si="274"/>
        <v>0</v>
      </c>
    </row>
    <row r="144" spans="1:104" ht="31.2" x14ac:dyDescent="0.3">
      <c r="A144" s="26"/>
      <c r="B144" s="27" t="s">
        <v>1</v>
      </c>
      <c r="C144" s="27" t="s">
        <v>84</v>
      </c>
      <c r="D144" s="28" t="s">
        <v>253</v>
      </c>
      <c r="E144" s="23">
        <f>SUM(F144+CD144+CW144)</f>
        <v>82075</v>
      </c>
      <c r="F144" s="24">
        <f>SUM(G144+BD144)</f>
        <v>82075</v>
      </c>
      <c r="G144" s="24">
        <f>SUM(H144+I144+J144+Q144+T144+U144+V144+AF144+AE144)</f>
        <v>82075</v>
      </c>
      <c r="H144" s="29">
        <v>0</v>
      </c>
      <c r="I144" s="29">
        <v>0</v>
      </c>
      <c r="J144" s="24">
        <f t="shared" si="111"/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f t="shared" si="112"/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f t="shared" ref="V144:V146" si="277">SUM(W144:AD144)</f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f>SUM(AG144:BC144)</f>
        <v>82075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9">
        <v>2505</v>
      </c>
      <c r="AP144" s="24">
        <v>0</v>
      </c>
      <c r="AQ144" s="24">
        <v>0</v>
      </c>
      <c r="AR144" s="24"/>
      <c r="AS144" s="24">
        <v>0</v>
      </c>
      <c r="AT144" s="24">
        <v>0</v>
      </c>
      <c r="AU144" s="24">
        <v>0</v>
      </c>
      <c r="AV144" s="24"/>
      <c r="AW144" s="24"/>
      <c r="AX144" s="24">
        <v>0</v>
      </c>
      <c r="AY144" s="24">
        <v>0</v>
      </c>
      <c r="AZ144" s="24">
        <v>0</v>
      </c>
      <c r="BA144" s="24">
        <v>0</v>
      </c>
      <c r="BB144" s="24"/>
      <c r="BC144" s="29">
        <v>79570</v>
      </c>
      <c r="BD144" s="24">
        <f>SUM(BE144+BI144+BM144+BO144+BR144)</f>
        <v>0</v>
      </c>
      <c r="BE144" s="24">
        <f>SUM(BF144:BH144)</f>
        <v>0</v>
      </c>
      <c r="BF144" s="24">
        <v>0</v>
      </c>
      <c r="BG144" s="24">
        <v>0</v>
      </c>
      <c r="BH144" s="24">
        <v>0</v>
      </c>
      <c r="BI144" s="24">
        <f>SUM(BL144:BL144)</f>
        <v>0</v>
      </c>
      <c r="BJ144" s="24">
        <v>0</v>
      </c>
      <c r="BK144" s="24">
        <v>0</v>
      </c>
      <c r="BL144" s="24">
        <v>0</v>
      </c>
      <c r="BM144" s="24">
        <v>0</v>
      </c>
      <c r="BN144" s="24">
        <v>0</v>
      </c>
      <c r="BO144" s="24">
        <f t="shared" si="113"/>
        <v>0</v>
      </c>
      <c r="BP144" s="24">
        <v>0</v>
      </c>
      <c r="BQ144" s="24">
        <v>0</v>
      </c>
      <c r="BR144" s="24">
        <f>SUM(BS144:CC144)</f>
        <v>0</v>
      </c>
      <c r="BS144" s="24">
        <v>0</v>
      </c>
      <c r="BT144" s="24">
        <v>0</v>
      </c>
      <c r="BU144" s="24">
        <v>0</v>
      </c>
      <c r="BV144" s="24">
        <v>0</v>
      </c>
      <c r="BW144" s="24">
        <v>0</v>
      </c>
      <c r="BX144" s="24">
        <v>0</v>
      </c>
      <c r="BY144" s="24">
        <v>0</v>
      </c>
      <c r="BZ144" s="24">
        <v>0</v>
      </c>
      <c r="CA144" s="24">
        <v>0</v>
      </c>
      <c r="CB144" s="24">
        <v>0</v>
      </c>
      <c r="CC144" s="24">
        <v>0</v>
      </c>
      <c r="CD144" s="24">
        <f>SUM(CE144+CV144)</f>
        <v>0</v>
      </c>
      <c r="CE144" s="24">
        <f>SUM(CF144+CI144+CN144)</f>
        <v>0</v>
      </c>
      <c r="CF144" s="24">
        <f t="shared" si="114"/>
        <v>0</v>
      </c>
      <c r="CG144" s="24">
        <v>0</v>
      </c>
      <c r="CH144" s="24">
        <v>0</v>
      </c>
      <c r="CI144" s="24">
        <f>SUM(CJ144:CM144)</f>
        <v>0</v>
      </c>
      <c r="CJ144" s="24">
        <v>0</v>
      </c>
      <c r="CK144" s="24">
        <v>0</v>
      </c>
      <c r="CL144" s="24">
        <v>0</v>
      </c>
      <c r="CM144" s="24">
        <v>0</v>
      </c>
      <c r="CN144" s="24">
        <f>SUM(CO144:CS144)</f>
        <v>0</v>
      </c>
      <c r="CO144" s="24">
        <v>0</v>
      </c>
      <c r="CP144" s="24">
        <v>0</v>
      </c>
      <c r="CQ144" s="24">
        <v>0</v>
      </c>
      <c r="CR144" s="24"/>
      <c r="CS144" s="24"/>
      <c r="CT144" s="24">
        <v>0</v>
      </c>
      <c r="CU144" s="24">
        <v>0</v>
      </c>
      <c r="CV144" s="24">
        <v>0</v>
      </c>
      <c r="CW144" s="24">
        <f t="shared" si="115"/>
        <v>0</v>
      </c>
      <c r="CX144" s="24">
        <f t="shared" si="116"/>
        <v>0</v>
      </c>
      <c r="CY144" s="24">
        <v>0</v>
      </c>
      <c r="CZ144" s="25">
        <v>0</v>
      </c>
    </row>
    <row r="145" spans="1:104" ht="15.6" x14ac:dyDescent="0.3">
      <c r="A145" s="26"/>
      <c r="B145" s="27" t="s">
        <v>1</v>
      </c>
      <c r="C145" s="27" t="s">
        <v>88</v>
      </c>
      <c r="D145" s="28" t="s">
        <v>254</v>
      </c>
      <c r="E145" s="23">
        <f>SUM(F145+CD145+CW145)</f>
        <v>813758</v>
      </c>
      <c r="F145" s="24">
        <f>SUM(G145+BD145)</f>
        <v>813758</v>
      </c>
      <c r="G145" s="24">
        <f>SUM(H145+I145+J145+Q145+T145+U145+V145+AF145+AE145)</f>
        <v>813758</v>
      </c>
      <c r="H145" s="29">
        <v>629040</v>
      </c>
      <c r="I145" s="29">
        <v>143987</v>
      </c>
      <c r="J145" s="24">
        <f>SUM(K145:P145)</f>
        <v>27427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f>27448-21</f>
        <v>27427</v>
      </c>
      <c r="Q145" s="24">
        <f>SUM(R145:S145)</f>
        <v>0</v>
      </c>
      <c r="R145" s="24"/>
      <c r="S145" s="24">
        <v>0</v>
      </c>
      <c r="T145" s="24">
        <v>0</v>
      </c>
      <c r="U145" s="24">
        <v>13304</v>
      </c>
      <c r="V145" s="24">
        <f t="shared" si="277"/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f>SUM(AG145:BC145)</f>
        <v>0</v>
      </c>
      <c r="AG145" s="24">
        <v>0</v>
      </c>
      <c r="AH145" s="24"/>
      <c r="AI145" s="24"/>
      <c r="AJ145" s="24"/>
      <c r="AK145" s="24">
        <v>0</v>
      </c>
      <c r="AL145" s="24"/>
      <c r="AM145" s="24">
        <v>0</v>
      </c>
      <c r="AN145" s="24"/>
      <c r="AO145" s="29">
        <v>0</v>
      </c>
      <c r="AP145" s="24">
        <v>0</v>
      </c>
      <c r="AQ145" s="24">
        <v>0</v>
      </c>
      <c r="AR145" s="24"/>
      <c r="AS145" s="24">
        <v>0</v>
      </c>
      <c r="AT145" s="24">
        <v>0</v>
      </c>
      <c r="AU145" s="24">
        <v>0</v>
      </c>
      <c r="AV145" s="24"/>
      <c r="AW145" s="24"/>
      <c r="AX145" s="24">
        <v>0</v>
      </c>
      <c r="AY145" s="24">
        <v>0</v>
      </c>
      <c r="AZ145" s="24">
        <v>0</v>
      </c>
      <c r="BA145" s="24">
        <v>0</v>
      </c>
      <c r="BB145" s="24"/>
      <c r="BC145" s="29">
        <v>0</v>
      </c>
      <c r="BD145" s="24">
        <f>SUM(BE145+BI145+BM145+BO145+BR145)</f>
        <v>0</v>
      </c>
      <c r="BE145" s="24">
        <f>SUM(BF145:BH145)</f>
        <v>0</v>
      </c>
      <c r="BF145" s="24">
        <v>0</v>
      </c>
      <c r="BG145" s="24">
        <v>0</v>
      </c>
      <c r="BH145" s="24">
        <v>0</v>
      </c>
      <c r="BI145" s="24">
        <f>SUM(BL145:BL145)</f>
        <v>0</v>
      </c>
      <c r="BJ145" s="24">
        <v>0</v>
      </c>
      <c r="BK145" s="24">
        <v>0</v>
      </c>
      <c r="BL145" s="24">
        <v>0</v>
      </c>
      <c r="BM145" s="24">
        <v>0</v>
      </c>
      <c r="BN145" s="24">
        <v>0</v>
      </c>
      <c r="BO145" s="24">
        <f>SUM(BP145)</f>
        <v>0</v>
      </c>
      <c r="BP145" s="24">
        <v>0</v>
      </c>
      <c r="BQ145" s="24">
        <v>0</v>
      </c>
      <c r="BR145" s="24">
        <f>SUM(BS145:CC145)</f>
        <v>0</v>
      </c>
      <c r="BS145" s="24">
        <v>0</v>
      </c>
      <c r="BT145" s="24">
        <v>0</v>
      </c>
      <c r="BU145" s="24">
        <v>0</v>
      </c>
      <c r="BV145" s="24">
        <v>0</v>
      </c>
      <c r="BW145" s="24">
        <v>0</v>
      </c>
      <c r="BX145" s="24">
        <v>0</v>
      </c>
      <c r="BY145" s="24">
        <v>0</v>
      </c>
      <c r="BZ145" s="24">
        <v>0</v>
      </c>
      <c r="CA145" s="24">
        <v>0</v>
      </c>
      <c r="CB145" s="24">
        <v>0</v>
      </c>
      <c r="CC145" s="24">
        <v>0</v>
      </c>
      <c r="CD145" s="24">
        <f>SUM(CE145+CV145)</f>
        <v>0</v>
      </c>
      <c r="CE145" s="24">
        <f>SUM(CF145+CI145+CN145)</f>
        <v>0</v>
      </c>
      <c r="CF145" s="24">
        <f>SUM(CG145:CH145)</f>
        <v>0</v>
      </c>
      <c r="CG145" s="24">
        <v>0</v>
      </c>
      <c r="CH145" s="24"/>
      <c r="CI145" s="24">
        <f>SUM(CJ145:CM145)</f>
        <v>0</v>
      </c>
      <c r="CJ145" s="24">
        <v>0</v>
      </c>
      <c r="CK145" s="24">
        <v>0</v>
      </c>
      <c r="CL145" s="24">
        <v>0</v>
      </c>
      <c r="CM145" s="24">
        <v>0</v>
      </c>
      <c r="CN145" s="24">
        <f>SUM(CO145:CS145)</f>
        <v>0</v>
      </c>
      <c r="CO145" s="24">
        <v>0</v>
      </c>
      <c r="CP145" s="24">
        <v>0</v>
      </c>
      <c r="CQ145" s="24">
        <v>0</v>
      </c>
      <c r="CR145" s="24"/>
      <c r="CS145" s="24"/>
      <c r="CT145" s="24">
        <v>0</v>
      </c>
      <c r="CU145" s="24">
        <v>0</v>
      </c>
      <c r="CV145" s="24">
        <v>0</v>
      </c>
      <c r="CW145" s="24">
        <f>SUM(CX145)</f>
        <v>0</v>
      </c>
      <c r="CX145" s="24">
        <f>SUM(CY145:CZ145)</f>
        <v>0</v>
      </c>
      <c r="CY145" s="24">
        <v>0</v>
      </c>
      <c r="CZ145" s="25">
        <v>0</v>
      </c>
    </row>
    <row r="146" spans="1:104" ht="15.6" x14ac:dyDescent="0.3">
      <c r="A146" s="26" t="s">
        <v>1</v>
      </c>
      <c r="B146" s="27" t="s">
        <v>1</v>
      </c>
      <c r="C146" s="27" t="s">
        <v>88</v>
      </c>
      <c r="D146" s="28" t="s">
        <v>255</v>
      </c>
      <c r="E146" s="23">
        <f>SUM(F146+CD146+CW146)</f>
        <v>996709</v>
      </c>
      <c r="F146" s="24">
        <f>SUM(G146+BD146)</f>
        <v>996709</v>
      </c>
      <c r="G146" s="24">
        <f>SUM(H146+I146+J146+Q146+T146+U146+V146+AF146+AE146)</f>
        <v>946269</v>
      </c>
      <c r="H146" s="29">
        <v>500813</v>
      </c>
      <c r="I146" s="29">
        <v>125203</v>
      </c>
      <c r="J146" s="24">
        <f t="shared" si="111"/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f t="shared" si="112"/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f t="shared" si="277"/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f>SUM(AG146:BC146)</f>
        <v>320253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9">
        <f>113522-45882</f>
        <v>67640</v>
      </c>
      <c r="AP146" s="24">
        <v>0</v>
      </c>
      <c r="AQ146" s="24">
        <v>0</v>
      </c>
      <c r="AR146" s="24"/>
      <c r="AS146" s="24">
        <v>0</v>
      </c>
      <c r="AT146" s="24">
        <v>0</v>
      </c>
      <c r="AU146" s="24">
        <v>0</v>
      </c>
      <c r="AV146" s="24"/>
      <c r="AW146" s="24"/>
      <c r="AX146" s="24">
        <v>0</v>
      </c>
      <c r="AY146" s="24">
        <v>0</v>
      </c>
      <c r="AZ146" s="24">
        <v>0</v>
      </c>
      <c r="BA146" s="24">
        <v>0</v>
      </c>
      <c r="BB146" s="24"/>
      <c r="BC146" s="29">
        <f>260376-7763</f>
        <v>252613</v>
      </c>
      <c r="BD146" s="24">
        <f>SUM(BE146+BI146+BM146+BO146+BR146)</f>
        <v>50440</v>
      </c>
      <c r="BE146" s="24">
        <f>SUM(BF146:BH146)</f>
        <v>0</v>
      </c>
      <c r="BF146" s="24">
        <v>0</v>
      </c>
      <c r="BG146" s="24">
        <v>0</v>
      </c>
      <c r="BH146" s="24">
        <v>0</v>
      </c>
      <c r="BI146" s="24">
        <f>SUM(BL146:BL146)</f>
        <v>0</v>
      </c>
      <c r="BJ146" s="24">
        <v>0</v>
      </c>
      <c r="BK146" s="24">
        <v>0</v>
      </c>
      <c r="BL146" s="24">
        <v>0</v>
      </c>
      <c r="BM146" s="24">
        <v>0</v>
      </c>
      <c r="BN146" s="24">
        <v>0</v>
      </c>
      <c r="BO146" s="24">
        <f t="shared" si="113"/>
        <v>0</v>
      </c>
      <c r="BP146" s="24">
        <v>0</v>
      </c>
      <c r="BQ146" s="24">
        <v>0</v>
      </c>
      <c r="BR146" s="24">
        <f>SUM(BS146:CC146)</f>
        <v>50440</v>
      </c>
      <c r="BS146" s="24">
        <v>0</v>
      </c>
      <c r="BT146" s="24">
        <v>0</v>
      </c>
      <c r="BU146" s="24">
        <v>50440</v>
      </c>
      <c r="BV146" s="24">
        <v>0</v>
      </c>
      <c r="BW146" s="24">
        <v>0</v>
      </c>
      <c r="BX146" s="24">
        <v>0</v>
      </c>
      <c r="BY146" s="24">
        <v>0</v>
      </c>
      <c r="BZ146" s="24">
        <v>0</v>
      </c>
      <c r="CA146" s="24">
        <v>0</v>
      </c>
      <c r="CB146" s="24">
        <v>0</v>
      </c>
      <c r="CC146" s="24">
        <v>0</v>
      </c>
      <c r="CD146" s="24">
        <f>SUM(CE146+CV146)</f>
        <v>0</v>
      </c>
      <c r="CE146" s="24">
        <f>SUM(CF146+CI146+CN146)</f>
        <v>0</v>
      </c>
      <c r="CF146" s="24">
        <f t="shared" si="114"/>
        <v>0</v>
      </c>
      <c r="CG146" s="24">
        <v>0</v>
      </c>
      <c r="CH146" s="24">
        <v>0</v>
      </c>
      <c r="CI146" s="24">
        <f>SUM(CJ146:CM146)</f>
        <v>0</v>
      </c>
      <c r="CJ146" s="24">
        <v>0</v>
      </c>
      <c r="CK146" s="24">
        <v>0</v>
      </c>
      <c r="CL146" s="24">
        <v>0</v>
      </c>
      <c r="CM146" s="24">
        <v>0</v>
      </c>
      <c r="CN146" s="24">
        <f>SUM(CO146:CS146)</f>
        <v>0</v>
      </c>
      <c r="CO146" s="24">
        <v>0</v>
      </c>
      <c r="CP146" s="24">
        <v>0</v>
      </c>
      <c r="CQ146" s="24">
        <v>0</v>
      </c>
      <c r="CR146" s="24"/>
      <c r="CS146" s="24"/>
      <c r="CT146" s="24">
        <v>0</v>
      </c>
      <c r="CU146" s="24">
        <v>0</v>
      </c>
      <c r="CV146" s="24">
        <v>0</v>
      </c>
      <c r="CW146" s="24">
        <f t="shared" si="115"/>
        <v>0</v>
      </c>
      <c r="CX146" s="24">
        <f t="shared" si="116"/>
        <v>0</v>
      </c>
      <c r="CY146" s="24">
        <v>0</v>
      </c>
      <c r="CZ146" s="25">
        <v>0</v>
      </c>
    </row>
    <row r="147" spans="1:104" ht="31.2" x14ac:dyDescent="0.3">
      <c r="A147" s="31" t="s">
        <v>256</v>
      </c>
      <c r="B147" s="32" t="s">
        <v>1</v>
      </c>
      <c r="C147" s="32" t="s">
        <v>1</v>
      </c>
      <c r="D147" s="33" t="s">
        <v>257</v>
      </c>
      <c r="E147" s="34">
        <f>SUM(E148+E152+E155)</f>
        <v>27749044</v>
      </c>
      <c r="F147" s="35">
        <f t="shared" ref="F147:BX147" si="278">SUM(F148+F152+F155)</f>
        <v>26417277</v>
      </c>
      <c r="G147" s="35">
        <f t="shared" si="278"/>
        <v>25889403</v>
      </c>
      <c r="H147" s="35">
        <f t="shared" si="278"/>
        <v>18196171</v>
      </c>
      <c r="I147" s="35">
        <f t="shared" si="278"/>
        <v>4255973</v>
      </c>
      <c r="J147" s="35">
        <f t="shared" si="278"/>
        <v>766724</v>
      </c>
      <c r="K147" s="35">
        <f t="shared" si="278"/>
        <v>10400</v>
      </c>
      <c r="L147" s="35">
        <f t="shared" si="278"/>
        <v>180105</v>
      </c>
      <c r="M147" s="35">
        <f t="shared" si="278"/>
        <v>0</v>
      </c>
      <c r="N147" s="35">
        <f t="shared" si="278"/>
        <v>0</v>
      </c>
      <c r="O147" s="35">
        <f t="shared" si="278"/>
        <v>207550</v>
      </c>
      <c r="P147" s="35">
        <f t="shared" si="278"/>
        <v>368669</v>
      </c>
      <c r="Q147" s="35">
        <f t="shared" si="278"/>
        <v>1741</v>
      </c>
      <c r="R147" s="35">
        <f t="shared" si="278"/>
        <v>1741</v>
      </c>
      <c r="S147" s="35">
        <f t="shared" si="278"/>
        <v>0</v>
      </c>
      <c r="T147" s="35">
        <f t="shared" si="278"/>
        <v>0</v>
      </c>
      <c r="U147" s="35">
        <f t="shared" si="278"/>
        <v>112959</v>
      </c>
      <c r="V147" s="35">
        <f t="shared" si="278"/>
        <v>627920</v>
      </c>
      <c r="W147" s="35">
        <f t="shared" si="278"/>
        <v>4604</v>
      </c>
      <c r="X147" s="35">
        <f t="shared" si="278"/>
        <v>387940</v>
      </c>
      <c r="Y147" s="35">
        <f t="shared" si="278"/>
        <v>179839</v>
      </c>
      <c r="Z147" s="35">
        <f t="shared" si="278"/>
        <v>36931</v>
      </c>
      <c r="AA147" s="35">
        <f t="shared" si="278"/>
        <v>8014</v>
      </c>
      <c r="AB147" s="35">
        <f t="shared" si="278"/>
        <v>0</v>
      </c>
      <c r="AC147" s="35">
        <f t="shared" si="278"/>
        <v>0</v>
      </c>
      <c r="AD147" s="35">
        <f t="shared" si="278"/>
        <v>10592</v>
      </c>
      <c r="AE147" s="35">
        <f t="shared" si="278"/>
        <v>0</v>
      </c>
      <c r="AF147" s="35">
        <f t="shared" si="278"/>
        <v>1927915</v>
      </c>
      <c r="AG147" s="35">
        <f t="shared" si="278"/>
        <v>0</v>
      </c>
      <c r="AH147" s="35">
        <f t="shared" si="278"/>
        <v>0</v>
      </c>
      <c r="AI147" s="35">
        <f t="shared" si="278"/>
        <v>13154</v>
      </c>
      <c r="AJ147" s="35">
        <f t="shared" si="278"/>
        <v>157740</v>
      </c>
      <c r="AK147" s="35">
        <f t="shared" si="278"/>
        <v>0</v>
      </c>
      <c r="AL147" s="35">
        <f t="shared" si="278"/>
        <v>1088</v>
      </c>
      <c r="AM147" s="35">
        <f t="shared" si="278"/>
        <v>0</v>
      </c>
      <c r="AN147" s="35">
        <f t="shared" si="278"/>
        <v>326</v>
      </c>
      <c r="AO147" s="35">
        <f t="shared" si="278"/>
        <v>1440</v>
      </c>
      <c r="AP147" s="35">
        <f t="shared" si="278"/>
        <v>0</v>
      </c>
      <c r="AQ147" s="35">
        <f t="shared" si="278"/>
        <v>0</v>
      </c>
      <c r="AR147" s="35"/>
      <c r="AS147" s="35">
        <f t="shared" si="278"/>
        <v>0</v>
      </c>
      <c r="AT147" s="35">
        <f t="shared" si="278"/>
        <v>185092</v>
      </c>
      <c r="AU147" s="35">
        <f t="shared" si="278"/>
        <v>0</v>
      </c>
      <c r="AV147" s="35"/>
      <c r="AW147" s="35"/>
      <c r="AX147" s="35">
        <f t="shared" si="278"/>
        <v>0</v>
      </c>
      <c r="AY147" s="35">
        <f t="shared" si="278"/>
        <v>0</v>
      </c>
      <c r="AZ147" s="35">
        <f t="shared" si="278"/>
        <v>0</v>
      </c>
      <c r="BA147" s="35">
        <f t="shared" si="278"/>
        <v>0</v>
      </c>
      <c r="BB147" s="35"/>
      <c r="BC147" s="35">
        <f t="shared" si="278"/>
        <v>1569075</v>
      </c>
      <c r="BD147" s="35">
        <f t="shared" si="278"/>
        <v>527874</v>
      </c>
      <c r="BE147" s="35">
        <f t="shared" si="278"/>
        <v>0</v>
      </c>
      <c r="BF147" s="35">
        <f t="shared" si="278"/>
        <v>0</v>
      </c>
      <c r="BG147" s="35">
        <f t="shared" si="278"/>
        <v>0</v>
      </c>
      <c r="BH147" s="35">
        <f t="shared" si="278"/>
        <v>0</v>
      </c>
      <c r="BI147" s="35">
        <f t="shared" si="278"/>
        <v>0</v>
      </c>
      <c r="BJ147" s="35">
        <f t="shared" si="278"/>
        <v>0</v>
      </c>
      <c r="BK147" s="35">
        <f t="shared" ref="BK147" si="279">SUM(BK148+BK152+BK155)</f>
        <v>0</v>
      </c>
      <c r="BL147" s="35">
        <f t="shared" si="278"/>
        <v>0</v>
      </c>
      <c r="BM147" s="35">
        <f t="shared" si="278"/>
        <v>0</v>
      </c>
      <c r="BN147" s="35">
        <f t="shared" si="278"/>
        <v>0</v>
      </c>
      <c r="BO147" s="35">
        <f t="shared" si="278"/>
        <v>0</v>
      </c>
      <c r="BP147" s="35">
        <f t="shared" si="278"/>
        <v>0</v>
      </c>
      <c r="BQ147" s="35">
        <f t="shared" ref="BQ147" si="280">SUM(BQ148+BQ152+BQ155)</f>
        <v>0</v>
      </c>
      <c r="BR147" s="35">
        <f t="shared" si="278"/>
        <v>527874</v>
      </c>
      <c r="BS147" s="35">
        <f t="shared" si="278"/>
        <v>0</v>
      </c>
      <c r="BT147" s="35">
        <f t="shared" si="278"/>
        <v>0</v>
      </c>
      <c r="BU147" s="35">
        <f t="shared" si="278"/>
        <v>527874</v>
      </c>
      <c r="BV147" s="35">
        <f t="shared" si="278"/>
        <v>0</v>
      </c>
      <c r="BW147" s="35">
        <f t="shared" si="278"/>
        <v>0</v>
      </c>
      <c r="BX147" s="35">
        <f t="shared" si="278"/>
        <v>0</v>
      </c>
      <c r="BY147" s="35">
        <f t="shared" ref="BY147:CZ147" si="281">SUM(BY148+BY152+BY155)</f>
        <v>0</v>
      </c>
      <c r="BZ147" s="35">
        <f t="shared" si="281"/>
        <v>0</v>
      </c>
      <c r="CA147" s="35">
        <f t="shared" si="281"/>
        <v>0</v>
      </c>
      <c r="CB147" s="35">
        <f t="shared" si="281"/>
        <v>0</v>
      </c>
      <c r="CC147" s="35">
        <f t="shared" si="281"/>
        <v>0</v>
      </c>
      <c r="CD147" s="35">
        <f t="shared" si="281"/>
        <v>1331767</v>
      </c>
      <c r="CE147" s="35">
        <f t="shared" si="281"/>
        <v>1331767</v>
      </c>
      <c r="CF147" s="35">
        <f t="shared" si="281"/>
        <v>1331767</v>
      </c>
      <c r="CG147" s="35">
        <f t="shared" si="281"/>
        <v>0</v>
      </c>
      <c r="CH147" s="35">
        <f t="shared" si="281"/>
        <v>1331767</v>
      </c>
      <c r="CI147" s="35">
        <f t="shared" si="281"/>
        <v>0</v>
      </c>
      <c r="CJ147" s="35">
        <f t="shared" si="281"/>
        <v>0</v>
      </c>
      <c r="CK147" s="35">
        <f t="shared" ref="CK147:CL147" si="282">SUM(CK148+CK152+CK155)</f>
        <v>0</v>
      </c>
      <c r="CL147" s="35">
        <f t="shared" si="282"/>
        <v>0</v>
      </c>
      <c r="CM147" s="35">
        <f t="shared" si="281"/>
        <v>0</v>
      </c>
      <c r="CN147" s="35">
        <f t="shared" si="281"/>
        <v>0</v>
      </c>
      <c r="CO147" s="35">
        <f t="shared" si="281"/>
        <v>0</v>
      </c>
      <c r="CP147" s="35">
        <f t="shared" ref="CP147" si="283">SUM(CP148+CP152+CP155)</f>
        <v>0</v>
      </c>
      <c r="CQ147" s="35">
        <f t="shared" si="281"/>
        <v>0</v>
      </c>
      <c r="CR147" s="35"/>
      <c r="CS147" s="35"/>
      <c r="CT147" s="35">
        <f t="shared" si="281"/>
        <v>0</v>
      </c>
      <c r="CU147" s="35">
        <f t="shared" si="281"/>
        <v>0</v>
      </c>
      <c r="CV147" s="35">
        <f t="shared" si="281"/>
        <v>0</v>
      </c>
      <c r="CW147" s="35">
        <f t="shared" si="281"/>
        <v>0</v>
      </c>
      <c r="CX147" s="35">
        <f t="shared" si="281"/>
        <v>0</v>
      </c>
      <c r="CY147" s="35">
        <f t="shared" si="281"/>
        <v>0</v>
      </c>
      <c r="CZ147" s="36">
        <f t="shared" si="281"/>
        <v>0</v>
      </c>
    </row>
    <row r="148" spans="1:104" ht="31.2" x14ac:dyDescent="0.3">
      <c r="A148" s="20"/>
      <c r="B148" s="21" t="s">
        <v>258</v>
      </c>
      <c r="C148" s="21" t="s">
        <v>1</v>
      </c>
      <c r="D148" s="22" t="s">
        <v>259</v>
      </c>
      <c r="E148" s="23">
        <f>SUM(E149:E151)</f>
        <v>14758419</v>
      </c>
      <c r="F148" s="24">
        <f t="shared" ref="F148:BX148" si="284">SUM(F149:F151)</f>
        <v>14647970</v>
      </c>
      <c r="G148" s="24">
        <f t="shared" si="284"/>
        <v>14647970</v>
      </c>
      <c r="H148" s="24">
        <f t="shared" si="284"/>
        <v>11180606</v>
      </c>
      <c r="I148" s="24">
        <f t="shared" si="284"/>
        <v>2616335</v>
      </c>
      <c r="J148" s="24">
        <f t="shared" si="284"/>
        <v>115251</v>
      </c>
      <c r="K148" s="24">
        <f t="shared" si="284"/>
        <v>0</v>
      </c>
      <c r="L148" s="24">
        <f t="shared" si="284"/>
        <v>405</v>
      </c>
      <c r="M148" s="24">
        <f t="shared" si="284"/>
        <v>0</v>
      </c>
      <c r="N148" s="24">
        <f t="shared" si="284"/>
        <v>0</v>
      </c>
      <c r="O148" s="24">
        <f t="shared" si="284"/>
        <v>25727</v>
      </c>
      <c r="P148" s="24">
        <f t="shared" si="284"/>
        <v>89119</v>
      </c>
      <c r="Q148" s="24">
        <f t="shared" si="284"/>
        <v>0</v>
      </c>
      <c r="R148" s="24">
        <f t="shared" si="284"/>
        <v>0</v>
      </c>
      <c r="S148" s="24">
        <f t="shared" si="284"/>
        <v>0</v>
      </c>
      <c r="T148" s="24">
        <f t="shared" si="284"/>
        <v>0</v>
      </c>
      <c r="U148" s="24">
        <f t="shared" si="284"/>
        <v>36931</v>
      </c>
      <c r="V148" s="24">
        <f t="shared" si="284"/>
        <v>352360</v>
      </c>
      <c r="W148" s="24">
        <f t="shared" si="284"/>
        <v>3832</v>
      </c>
      <c r="X148" s="24">
        <f t="shared" si="284"/>
        <v>213903</v>
      </c>
      <c r="Y148" s="24">
        <f t="shared" si="284"/>
        <v>99316</v>
      </c>
      <c r="Z148" s="24">
        <f t="shared" si="284"/>
        <v>22615</v>
      </c>
      <c r="AA148" s="24">
        <f t="shared" si="284"/>
        <v>8014</v>
      </c>
      <c r="AB148" s="24">
        <f t="shared" si="284"/>
        <v>0</v>
      </c>
      <c r="AC148" s="24">
        <f t="shared" si="284"/>
        <v>0</v>
      </c>
      <c r="AD148" s="24">
        <f t="shared" si="284"/>
        <v>4680</v>
      </c>
      <c r="AE148" s="24">
        <f t="shared" si="284"/>
        <v>0</v>
      </c>
      <c r="AF148" s="24">
        <f t="shared" si="284"/>
        <v>346487</v>
      </c>
      <c r="AG148" s="24">
        <f t="shared" si="284"/>
        <v>0</v>
      </c>
      <c r="AH148" s="24">
        <f t="shared" si="284"/>
        <v>0</v>
      </c>
      <c r="AI148" s="24">
        <f t="shared" si="284"/>
        <v>9200</v>
      </c>
      <c r="AJ148" s="24">
        <f t="shared" si="284"/>
        <v>147769</v>
      </c>
      <c r="AK148" s="24">
        <f t="shared" si="284"/>
        <v>0</v>
      </c>
      <c r="AL148" s="24">
        <f t="shared" si="284"/>
        <v>1088</v>
      </c>
      <c r="AM148" s="24">
        <f t="shared" si="284"/>
        <v>0</v>
      </c>
      <c r="AN148" s="24">
        <f t="shared" si="284"/>
        <v>326</v>
      </c>
      <c r="AO148" s="24">
        <f t="shared" si="284"/>
        <v>240</v>
      </c>
      <c r="AP148" s="24">
        <f t="shared" si="284"/>
        <v>0</v>
      </c>
      <c r="AQ148" s="24">
        <f t="shared" si="284"/>
        <v>0</v>
      </c>
      <c r="AR148" s="24"/>
      <c r="AS148" s="24">
        <f t="shared" si="284"/>
        <v>0</v>
      </c>
      <c r="AT148" s="24">
        <f t="shared" si="284"/>
        <v>127650</v>
      </c>
      <c r="AU148" s="24">
        <f t="shared" si="284"/>
        <v>0</v>
      </c>
      <c r="AV148" s="24"/>
      <c r="AW148" s="24"/>
      <c r="AX148" s="24">
        <f t="shared" si="284"/>
        <v>0</v>
      </c>
      <c r="AY148" s="24">
        <f t="shared" si="284"/>
        <v>0</v>
      </c>
      <c r="AZ148" s="24">
        <f t="shared" si="284"/>
        <v>0</v>
      </c>
      <c r="BA148" s="24">
        <f t="shared" si="284"/>
        <v>0</v>
      </c>
      <c r="BB148" s="24"/>
      <c r="BC148" s="24">
        <f t="shared" si="284"/>
        <v>60214</v>
      </c>
      <c r="BD148" s="24">
        <f t="shared" si="284"/>
        <v>0</v>
      </c>
      <c r="BE148" s="24">
        <f t="shared" si="284"/>
        <v>0</v>
      </c>
      <c r="BF148" s="24">
        <f t="shared" si="284"/>
        <v>0</v>
      </c>
      <c r="BG148" s="24">
        <f t="shared" si="284"/>
        <v>0</v>
      </c>
      <c r="BH148" s="24">
        <f t="shared" si="284"/>
        <v>0</v>
      </c>
      <c r="BI148" s="24">
        <f t="shared" si="284"/>
        <v>0</v>
      </c>
      <c r="BJ148" s="24">
        <f t="shared" si="284"/>
        <v>0</v>
      </c>
      <c r="BK148" s="24">
        <f t="shared" ref="BK148" si="285">SUM(BK149:BK151)</f>
        <v>0</v>
      </c>
      <c r="BL148" s="24">
        <f t="shared" si="284"/>
        <v>0</v>
      </c>
      <c r="BM148" s="24">
        <f t="shared" si="284"/>
        <v>0</v>
      </c>
      <c r="BN148" s="24">
        <f t="shared" si="284"/>
        <v>0</v>
      </c>
      <c r="BO148" s="24">
        <f t="shared" si="284"/>
        <v>0</v>
      </c>
      <c r="BP148" s="24">
        <f t="shared" si="284"/>
        <v>0</v>
      </c>
      <c r="BQ148" s="24">
        <f t="shared" ref="BQ148" si="286">SUM(BQ149:BQ151)</f>
        <v>0</v>
      </c>
      <c r="BR148" s="24">
        <f t="shared" si="284"/>
        <v>0</v>
      </c>
      <c r="BS148" s="24">
        <f t="shared" si="284"/>
        <v>0</v>
      </c>
      <c r="BT148" s="24">
        <f t="shared" si="284"/>
        <v>0</v>
      </c>
      <c r="BU148" s="24">
        <f t="shared" si="284"/>
        <v>0</v>
      </c>
      <c r="BV148" s="24">
        <f t="shared" si="284"/>
        <v>0</v>
      </c>
      <c r="BW148" s="24">
        <f t="shared" si="284"/>
        <v>0</v>
      </c>
      <c r="BX148" s="24">
        <f t="shared" si="284"/>
        <v>0</v>
      </c>
      <c r="BY148" s="24">
        <f t="shared" ref="BY148:CZ148" si="287">SUM(BY149:BY151)</f>
        <v>0</v>
      </c>
      <c r="BZ148" s="24">
        <f t="shared" si="287"/>
        <v>0</v>
      </c>
      <c r="CA148" s="24">
        <f t="shared" si="287"/>
        <v>0</v>
      </c>
      <c r="CB148" s="24">
        <f t="shared" si="287"/>
        <v>0</v>
      </c>
      <c r="CC148" s="24">
        <f t="shared" si="287"/>
        <v>0</v>
      </c>
      <c r="CD148" s="24">
        <f t="shared" si="287"/>
        <v>110449</v>
      </c>
      <c r="CE148" s="24">
        <f t="shared" si="287"/>
        <v>110449</v>
      </c>
      <c r="CF148" s="24">
        <f t="shared" si="287"/>
        <v>110449</v>
      </c>
      <c r="CG148" s="24">
        <f t="shared" si="287"/>
        <v>0</v>
      </c>
      <c r="CH148" s="24">
        <f t="shared" si="287"/>
        <v>110449</v>
      </c>
      <c r="CI148" s="24">
        <f t="shared" si="287"/>
        <v>0</v>
      </c>
      <c r="CJ148" s="24">
        <f t="shared" si="287"/>
        <v>0</v>
      </c>
      <c r="CK148" s="24">
        <f t="shared" ref="CK148:CL148" si="288">SUM(CK149:CK151)</f>
        <v>0</v>
      </c>
      <c r="CL148" s="24">
        <f t="shared" si="288"/>
        <v>0</v>
      </c>
      <c r="CM148" s="24">
        <f t="shared" si="287"/>
        <v>0</v>
      </c>
      <c r="CN148" s="24">
        <f t="shared" si="287"/>
        <v>0</v>
      </c>
      <c r="CO148" s="24">
        <f t="shared" si="287"/>
        <v>0</v>
      </c>
      <c r="CP148" s="24">
        <f t="shared" ref="CP148" si="289">SUM(CP149:CP151)</f>
        <v>0</v>
      </c>
      <c r="CQ148" s="24">
        <f t="shared" si="287"/>
        <v>0</v>
      </c>
      <c r="CR148" s="24"/>
      <c r="CS148" s="24"/>
      <c r="CT148" s="24">
        <f t="shared" si="287"/>
        <v>0</v>
      </c>
      <c r="CU148" s="24">
        <f t="shared" si="287"/>
        <v>0</v>
      </c>
      <c r="CV148" s="24">
        <f t="shared" si="287"/>
        <v>0</v>
      </c>
      <c r="CW148" s="24">
        <f t="shared" si="287"/>
        <v>0</v>
      </c>
      <c r="CX148" s="24">
        <f t="shared" si="287"/>
        <v>0</v>
      </c>
      <c r="CY148" s="24">
        <f t="shared" si="287"/>
        <v>0</v>
      </c>
      <c r="CZ148" s="25">
        <f t="shared" si="287"/>
        <v>0</v>
      </c>
    </row>
    <row r="149" spans="1:104" ht="31.2" x14ac:dyDescent="0.3">
      <c r="A149" s="26"/>
      <c r="B149" s="27" t="s">
        <v>1</v>
      </c>
      <c r="C149" s="27" t="s">
        <v>98</v>
      </c>
      <c r="D149" s="28" t="s">
        <v>260</v>
      </c>
      <c r="E149" s="23">
        <f>SUM(F149+CD149+CW149)</f>
        <v>9034324</v>
      </c>
      <c r="F149" s="24">
        <f>SUM(G149+BD149)</f>
        <v>8938913</v>
      </c>
      <c r="G149" s="24">
        <f>SUM(H149+I149+J149+Q149+T149+U149+V149+AF149+AE149)</f>
        <v>8938913</v>
      </c>
      <c r="H149" s="29">
        <v>6715600</v>
      </c>
      <c r="I149" s="29">
        <v>1545931</v>
      </c>
      <c r="J149" s="24">
        <f t="shared" si="111"/>
        <v>115251</v>
      </c>
      <c r="K149" s="29">
        <v>0</v>
      </c>
      <c r="L149" s="29">
        <f>13344-12939</f>
        <v>405</v>
      </c>
      <c r="M149" s="29">
        <v>0</v>
      </c>
      <c r="N149" s="29">
        <v>0</v>
      </c>
      <c r="O149" s="29">
        <v>25727</v>
      </c>
      <c r="P149" s="29">
        <v>89119</v>
      </c>
      <c r="Q149" s="24">
        <f t="shared" si="112"/>
        <v>0</v>
      </c>
      <c r="R149" s="24"/>
      <c r="S149" s="24">
        <v>0</v>
      </c>
      <c r="T149" s="24">
        <v>0</v>
      </c>
      <c r="U149" s="29">
        <f>31038-5500</f>
        <v>25538</v>
      </c>
      <c r="V149" s="24">
        <f t="shared" ref="V149:V151" si="290">SUM(W149:AD149)</f>
        <v>322188</v>
      </c>
      <c r="W149" s="29">
        <v>3686</v>
      </c>
      <c r="X149" s="29">
        <f>212802+1101</f>
        <v>213903</v>
      </c>
      <c r="Y149" s="29">
        <v>76619</v>
      </c>
      <c r="Z149" s="29">
        <v>19966</v>
      </c>
      <c r="AA149" s="29">
        <v>8014</v>
      </c>
      <c r="AB149" s="29">
        <v>0</v>
      </c>
      <c r="AC149" s="29">
        <v>0</v>
      </c>
      <c r="AD149" s="29">
        <v>0</v>
      </c>
      <c r="AE149" s="29">
        <v>0</v>
      </c>
      <c r="AF149" s="24">
        <f>SUM(AG149:BC149)</f>
        <v>214405</v>
      </c>
      <c r="AG149" s="24">
        <v>0</v>
      </c>
      <c r="AH149" s="24">
        <v>0</v>
      </c>
      <c r="AI149" s="29">
        <v>9200</v>
      </c>
      <c r="AJ149" s="29">
        <v>117636</v>
      </c>
      <c r="AK149" s="29">
        <v>0</v>
      </c>
      <c r="AL149" s="29">
        <v>1088</v>
      </c>
      <c r="AM149" s="29">
        <v>0</v>
      </c>
      <c r="AN149" s="29">
        <v>0</v>
      </c>
      <c r="AO149" s="29">
        <v>240</v>
      </c>
      <c r="AP149" s="29">
        <v>0</v>
      </c>
      <c r="AQ149" s="29">
        <v>0</v>
      </c>
      <c r="AR149" s="29">
        <v>0</v>
      </c>
      <c r="AS149" s="29">
        <v>0</v>
      </c>
      <c r="AT149" s="29">
        <f>164329-83786</f>
        <v>80543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f>13607-7909</f>
        <v>5698</v>
      </c>
      <c r="BD149" s="24">
        <f>SUM(BE149+BI149+BM149+BO149+BR149)</f>
        <v>0</v>
      </c>
      <c r="BE149" s="24">
        <f>SUM(BF149:BH149)</f>
        <v>0</v>
      </c>
      <c r="BF149" s="24">
        <v>0</v>
      </c>
      <c r="BG149" s="24">
        <v>0</v>
      </c>
      <c r="BH149" s="24">
        <v>0</v>
      </c>
      <c r="BI149" s="24">
        <f>SUM(BL149:BL149)</f>
        <v>0</v>
      </c>
      <c r="BJ149" s="24">
        <v>0</v>
      </c>
      <c r="BK149" s="24">
        <v>0</v>
      </c>
      <c r="BL149" s="24">
        <v>0</v>
      </c>
      <c r="BM149" s="24">
        <v>0</v>
      </c>
      <c r="BN149" s="24">
        <v>0</v>
      </c>
      <c r="BO149" s="24">
        <f t="shared" si="113"/>
        <v>0</v>
      </c>
      <c r="BP149" s="24">
        <v>0</v>
      </c>
      <c r="BQ149" s="24">
        <v>0</v>
      </c>
      <c r="BR149" s="24">
        <f>SUM(BS149:CC149)</f>
        <v>0</v>
      </c>
      <c r="BS149" s="24">
        <v>0</v>
      </c>
      <c r="BT149" s="24">
        <v>0</v>
      </c>
      <c r="BU149" s="24">
        <v>0</v>
      </c>
      <c r="BV149" s="24">
        <v>0</v>
      </c>
      <c r="BW149" s="24">
        <v>0</v>
      </c>
      <c r="BX149" s="24">
        <v>0</v>
      </c>
      <c r="BY149" s="24">
        <v>0</v>
      </c>
      <c r="BZ149" s="24">
        <v>0</v>
      </c>
      <c r="CA149" s="24">
        <v>0</v>
      </c>
      <c r="CB149" s="24">
        <v>0</v>
      </c>
      <c r="CC149" s="24">
        <v>0</v>
      </c>
      <c r="CD149" s="24">
        <f>SUM(CE149+CV149)</f>
        <v>95411</v>
      </c>
      <c r="CE149" s="24">
        <f>SUM(CF149+CI149+CN149)</f>
        <v>95411</v>
      </c>
      <c r="CF149" s="24">
        <f t="shared" si="114"/>
        <v>95411</v>
      </c>
      <c r="CG149" s="24">
        <v>0</v>
      </c>
      <c r="CH149" s="29">
        <f>43011+52400</f>
        <v>95411</v>
      </c>
      <c r="CI149" s="24">
        <f>SUM(CJ149:CM149)</f>
        <v>0</v>
      </c>
      <c r="CJ149" s="24">
        <v>0</v>
      </c>
      <c r="CK149" s="24">
        <v>0</v>
      </c>
      <c r="CL149" s="24">
        <v>0</v>
      </c>
      <c r="CM149" s="24">
        <v>0</v>
      </c>
      <c r="CN149" s="24">
        <f>SUM(CO149:CS149)</f>
        <v>0</v>
      </c>
      <c r="CO149" s="24">
        <v>0</v>
      </c>
      <c r="CP149" s="24">
        <v>0</v>
      </c>
      <c r="CQ149" s="24">
        <v>0</v>
      </c>
      <c r="CR149" s="24"/>
      <c r="CS149" s="24"/>
      <c r="CT149" s="24">
        <v>0</v>
      </c>
      <c r="CU149" s="24">
        <v>0</v>
      </c>
      <c r="CV149" s="24">
        <v>0</v>
      </c>
      <c r="CW149" s="24">
        <f t="shared" si="115"/>
        <v>0</v>
      </c>
      <c r="CX149" s="24">
        <f t="shared" si="116"/>
        <v>0</v>
      </c>
      <c r="CY149" s="24">
        <v>0</v>
      </c>
      <c r="CZ149" s="25">
        <v>0</v>
      </c>
    </row>
    <row r="150" spans="1:104" ht="15.6" x14ac:dyDescent="0.3">
      <c r="A150" s="26"/>
      <c r="B150" s="27" t="s">
        <v>1</v>
      </c>
      <c r="C150" s="27" t="s">
        <v>98</v>
      </c>
      <c r="D150" s="28" t="s">
        <v>261</v>
      </c>
      <c r="E150" s="23">
        <f>SUM(F150+CD150+CW150)</f>
        <v>1158340</v>
      </c>
      <c r="F150" s="24">
        <f>SUM(G150+BD150)</f>
        <v>1143302</v>
      </c>
      <c r="G150" s="24">
        <f>SUM(H150+I150+J150+Q150+T150+U150+V150+AF150+AE150)</f>
        <v>1143302</v>
      </c>
      <c r="H150" s="29">
        <v>786802</v>
      </c>
      <c r="I150" s="29">
        <v>182853</v>
      </c>
      <c r="J150" s="24">
        <f t="shared" si="111"/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4">
        <f t="shared" si="112"/>
        <v>0</v>
      </c>
      <c r="R150" s="24">
        <v>0</v>
      </c>
      <c r="S150" s="24">
        <v>0</v>
      </c>
      <c r="T150" s="24">
        <v>0</v>
      </c>
      <c r="U150" s="29">
        <f>15514-4121</f>
        <v>11393</v>
      </c>
      <c r="V150" s="24">
        <f t="shared" si="290"/>
        <v>30172</v>
      </c>
      <c r="W150" s="29">
        <f>560-414</f>
        <v>146</v>
      </c>
      <c r="X150" s="29">
        <v>0</v>
      </c>
      <c r="Y150" s="29">
        <f>18576+4121</f>
        <v>22697</v>
      </c>
      <c r="Z150" s="29">
        <v>2649</v>
      </c>
      <c r="AA150" s="29">
        <v>0</v>
      </c>
      <c r="AB150" s="29">
        <v>0</v>
      </c>
      <c r="AC150" s="29">
        <v>0</v>
      </c>
      <c r="AD150" s="29">
        <f>4678+2</f>
        <v>4680</v>
      </c>
      <c r="AE150" s="29">
        <v>0</v>
      </c>
      <c r="AF150" s="24">
        <f>SUM(AG150:BC150)</f>
        <v>132082</v>
      </c>
      <c r="AG150" s="24">
        <v>0</v>
      </c>
      <c r="AH150" s="24">
        <v>0</v>
      </c>
      <c r="AI150" s="29">
        <v>0</v>
      </c>
      <c r="AJ150" s="29">
        <f>5799+24334</f>
        <v>30133</v>
      </c>
      <c r="AK150" s="29">
        <v>0</v>
      </c>
      <c r="AL150" s="29">
        <v>0</v>
      </c>
      <c r="AM150" s="29">
        <v>0</v>
      </c>
      <c r="AN150" s="29">
        <v>326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f>47253-146</f>
        <v>47107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f>78850-24334</f>
        <v>54516</v>
      </c>
      <c r="BD150" s="24">
        <f>SUM(BE150+BI150+BM150+BO150+BR150)</f>
        <v>0</v>
      </c>
      <c r="BE150" s="24">
        <f>SUM(BF150:BH150)</f>
        <v>0</v>
      </c>
      <c r="BF150" s="24">
        <v>0</v>
      </c>
      <c r="BG150" s="24">
        <v>0</v>
      </c>
      <c r="BH150" s="24">
        <v>0</v>
      </c>
      <c r="BI150" s="24">
        <f>SUM(BL150:BL150)</f>
        <v>0</v>
      </c>
      <c r="BJ150" s="24">
        <v>0</v>
      </c>
      <c r="BK150" s="24">
        <v>0</v>
      </c>
      <c r="BL150" s="24">
        <v>0</v>
      </c>
      <c r="BM150" s="24">
        <v>0</v>
      </c>
      <c r="BN150" s="24">
        <v>0</v>
      </c>
      <c r="BO150" s="24">
        <f t="shared" si="113"/>
        <v>0</v>
      </c>
      <c r="BP150" s="24">
        <v>0</v>
      </c>
      <c r="BQ150" s="24">
        <v>0</v>
      </c>
      <c r="BR150" s="24">
        <f>SUM(BS150:CC150)</f>
        <v>0</v>
      </c>
      <c r="BS150" s="24">
        <v>0</v>
      </c>
      <c r="BT150" s="24">
        <v>0</v>
      </c>
      <c r="BU150" s="24">
        <v>0</v>
      </c>
      <c r="BV150" s="24">
        <v>0</v>
      </c>
      <c r="BW150" s="24">
        <v>0</v>
      </c>
      <c r="BX150" s="24">
        <v>0</v>
      </c>
      <c r="BY150" s="24">
        <v>0</v>
      </c>
      <c r="BZ150" s="24">
        <v>0</v>
      </c>
      <c r="CA150" s="24">
        <v>0</v>
      </c>
      <c r="CB150" s="24">
        <v>0</v>
      </c>
      <c r="CC150" s="24">
        <v>0</v>
      </c>
      <c r="CD150" s="24">
        <f>SUM(CE150+CV150)</f>
        <v>15038</v>
      </c>
      <c r="CE150" s="24">
        <f>SUM(CF150+CI150+CN150)</f>
        <v>15038</v>
      </c>
      <c r="CF150" s="24">
        <f t="shared" si="114"/>
        <v>15038</v>
      </c>
      <c r="CG150" s="24">
        <v>0</v>
      </c>
      <c r="CH150" s="29">
        <v>15038</v>
      </c>
      <c r="CI150" s="24">
        <f>SUM(CJ150:CM150)</f>
        <v>0</v>
      </c>
      <c r="CJ150" s="24">
        <v>0</v>
      </c>
      <c r="CK150" s="24">
        <v>0</v>
      </c>
      <c r="CL150" s="24">
        <v>0</v>
      </c>
      <c r="CM150" s="24">
        <v>0</v>
      </c>
      <c r="CN150" s="24">
        <f>SUM(CO150:CS150)</f>
        <v>0</v>
      </c>
      <c r="CO150" s="24">
        <v>0</v>
      </c>
      <c r="CP150" s="24">
        <v>0</v>
      </c>
      <c r="CQ150" s="24">
        <v>0</v>
      </c>
      <c r="CR150" s="24"/>
      <c r="CS150" s="24"/>
      <c r="CT150" s="24">
        <v>0</v>
      </c>
      <c r="CU150" s="24">
        <v>0</v>
      </c>
      <c r="CV150" s="24">
        <v>0</v>
      </c>
      <c r="CW150" s="24">
        <f t="shared" si="115"/>
        <v>0</v>
      </c>
      <c r="CX150" s="24">
        <f t="shared" si="116"/>
        <v>0</v>
      </c>
      <c r="CY150" s="24">
        <v>0</v>
      </c>
      <c r="CZ150" s="25">
        <v>0</v>
      </c>
    </row>
    <row r="151" spans="1:104" ht="31.2" x14ac:dyDescent="0.3">
      <c r="A151" s="26"/>
      <c r="B151" s="27" t="s">
        <v>1</v>
      </c>
      <c r="C151" s="27" t="s">
        <v>98</v>
      </c>
      <c r="D151" s="28" t="s">
        <v>430</v>
      </c>
      <c r="E151" s="23">
        <f>SUM(F151+CD151+CW151)</f>
        <v>4565755</v>
      </c>
      <c r="F151" s="24">
        <f>SUM(G151+BD151)</f>
        <v>4565755</v>
      </c>
      <c r="G151" s="24">
        <f>SUM(H151+I151+J151+Q151+T151+U151+V151+AF151+AE151)</f>
        <v>4565755</v>
      </c>
      <c r="H151" s="29">
        <v>3678204</v>
      </c>
      <c r="I151" s="29">
        <v>887551</v>
      </c>
      <c r="J151" s="24">
        <f t="shared" si="111"/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4">
        <f t="shared" si="112"/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f t="shared" si="290"/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4">
        <f>SUM(AG151:BC151)</f>
        <v>0</v>
      </c>
      <c r="AG151" s="24">
        <v>0</v>
      </c>
      <c r="AH151" s="24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4">
        <f>SUM(BE151+BI151+BM151+BO151+BR151)</f>
        <v>0</v>
      </c>
      <c r="BE151" s="24">
        <f>SUM(BF151:BH151)</f>
        <v>0</v>
      </c>
      <c r="BF151" s="24">
        <v>0</v>
      </c>
      <c r="BG151" s="24">
        <v>0</v>
      </c>
      <c r="BH151" s="24">
        <v>0</v>
      </c>
      <c r="BI151" s="24">
        <f>SUM(BL151:BL151)</f>
        <v>0</v>
      </c>
      <c r="BJ151" s="24">
        <v>0</v>
      </c>
      <c r="BK151" s="24">
        <v>0</v>
      </c>
      <c r="BL151" s="24">
        <v>0</v>
      </c>
      <c r="BM151" s="24">
        <v>0</v>
      </c>
      <c r="BN151" s="24">
        <v>0</v>
      </c>
      <c r="BO151" s="24">
        <f t="shared" si="113"/>
        <v>0</v>
      </c>
      <c r="BP151" s="24">
        <v>0</v>
      </c>
      <c r="BQ151" s="24">
        <v>0</v>
      </c>
      <c r="BR151" s="24">
        <f>SUM(BS151:CC151)</f>
        <v>0</v>
      </c>
      <c r="BS151" s="24">
        <v>0</v>
      </c>
      <c r="BT151" s="24">
        <v>0</v>
      </c>
      <c r="BU151" s="24">
        <v>0</v>
      </c>
      <c r="BV151" s="24">
        <v>0</v>
      </c>
      <c r="BW151" s="24">
        <v>0</v>
      </c>
      <c r="BX151" s="24">
        <v>0</v>
      </c>
      <c r="BY151" s="24">
        <v>0</v>
      </c>
      <c r="BZ151" s="24">
        <v>0</v>
      </c>
      <c r="CA151" s="24">
        <v>0</v>
      </c>
      <c r="CB151" s="24">
        <v>0</v>
      </c>
      <c r="CC151" s="24">
        <v>0</v>
      </c>
      <c r="CD151" s="24">
        <f>SUM(CE151+CV151)</f>
        <v>0</v>
      </c>
      <c r="CE151" s="24">
        <f>SUM(CF151+CI151+CN151)</f>
        <v>0</v>
      </c>
      <c r="CF151" s="24">
        <f t="shared" si="114"/>
        <v>0</v>
      </c>
      <c r="CG151" s="24">
        <v>0</v>
      </c>
      <c r="CH151" s="24">
        <v>0</v>
      </c>
      <c r="CI151" s="24">
        <f>SUM(CJ151:CM151)</f>
        <v>0</v>
      </c>
      <c r="CJ151" s="24">
        <v>0</v>
      </c>
      <c r="CK151" s="24">
        <v>0</v>
      </c>
      <c r="CL151" s="24">
        <v>0</v>
      </c>
      <c r="CM151" s="24">
        <v>0</v>
      </c>
      <c r="CN151" s="24">
        <f>SUM(CO151:CS151)</f>
        <v>0</v>
      </c>
      <c r="CO151" s="24">
        <v>0</v>
      </c>
      <c r="CP151" s="24">
        <v>0</v>
      </c>
      <c r="CQ151" s="24">
        <v>0</v>
      </c>
      <c r="CR151" s="24"/>
      <c r="CS151" s="24"/>
      <c r="CT151" s="24">
        <v>0</v>
      </c>
      <c r="CU151" s="24">
        <v>0</v>
      </c>
      <c r="CV151" s="24">
        <v>0</v>
      </c>
      <c r="CW151" s="24">
        <f t="shared" si="115"/>
        <v>0</v>
      </c>
      <c r="CX151" s="24">
        <f t="shared" si="116"/>
        <v>0</v>
      </c>
      <c r="CY151" s="24">
        <v>0</v>
      </c>
      <c r="CZ151" s="25">
        <v>0</v>
      </c>
    </row>
    <row r="152" spans="1:104" ht="15.6" x14ac:dyDescent="0.3">
      <c r="A152" s="20"/>
      <c r="B152" s="21" t="s">
        <v>262</v>
      </c>
      <c r="C152" s="21" t="s">
        <v>1</v>
      </c>
      <c r="D152" s="22" t="s">
        <v>263</v>
      </c>
      <c r="E152" s="23">
        <f>SUM(E153:E154)</f>
        <v>622644</v>
      </c>
      <c r="F152" s="24">
        <f t="shared" ref="F152:BX152" si="291">SUM(F153:F154)</f>
        <v>622644</v>
      </c>
      <c r="G152" s="24">
        <f t="shared" si="291"/>
        <v>622644</v>
      </c>
      <c r="H152" s="24">
        <f t="shared" si="291"/>
        <v>0</v>
      </c>
      <c r="I152" s="24">
        <f t="shared" si="291"/>
        <v>0</v>
      </c>
      <c r="J152" s="24">
        <f t="shared" si="291"/>
        <v>0</v>
      </c>
      <c r="K152" s="24">
        <f t="shared" si="291"/>
        <v>0</v>
      </c>
      <c r="L152" s="24">
        <f t="shared" si="291"/>
        <v>0</v>
      </c>
      <c r="M152" s="24">
        <f t="shared" si="291"/>
        <v>0</v>
      </c>
      <c r="N152" s="24">
        <f t="shared" si="291"/>
        <v>0</v>
      </c>
      <c r="O152" s="24">
        <f t="shared" si="291"/>
        <v>0</v>
      </c>
      <c r="P152" s="24">
        <f t="shared" si="291"/>
        <v>0</v>
      </c>
      <c r="Q152" s="24">
        <f t="shared" si="291"/>
        <v>0</v>
      </c>
      <c r="R152" s="24">
        <f t="shared" si="291"/>
        <v>0</v>
      </c>
      <c r="S152" s="24">
        <f t="shared" si="291"/>
        <v>0</v>
      </c>
      <c r="T152" s="24">
        <f t="shared" si="291"/>
        <v>0</v>
      </c>
      <c r="U152" s="24">
        <f t="shared" si="291"/>
        <v>0</v>
      </c>
      <c r="V152" s="24">
        <f t="shared" si="291"/>
        <v>0</v>
      </c>
      <c r="W152" s="24">
        <f t="shared" si="291"/>
        <v>0</v>
      </c>
      <c r="X152" s="24">
        <f t="shared" si="291"/>
        <v>0</v>
      </c>
      <c r="Y152" s="24">
        <f t="shared" si="291"/>
        <v>0</v>
      </c>
      <c r="Z152" s="24">
        <f t="shared" si="291"/>
        <v>0</v>
      </c>
      <c r="AA152" s="24">
        <f t="shared" si="291"/>
        <v>0</v>
      </c>
      <c r="AB152" s="24">
        <f t="shared" si="291"/>
        <v>0</v>
      </c>
      <c r="AC152" s="24">
        <f t="shared" si="291"/>
        <v>0</v>
      </c>
      <c r="AD152" s="24">
        <f t="shared" si="291"/>
        <v>0</v>
      </c>
      <c r="AE152" s="24">
        <f t="shared" si="291"/>
        <v>0</v>
      </c>
      <c r="AF152" s="24">
        <f t="shared" si="291"/>
        <v>622644</v>
      </c>
      <c r="AG152" s="24">
        <f t="shared" si="291"/>
        <v>0</v>
      </c>
      <c r="AH152" s="24">
        <f t="shared" si="291"/>
        <v>0</v>
      </c>
      <c r="AI152" s="24">
        <f t="shared" si="291"/>
        <v>0</v>
      </c>
      <c r="AJ152" s="24">
        <f t="shared" si="291"/>
        <v>0</v>
      </c>
      <c r="AK152" s="24">
        <f t="shared" si="291"/>
        <v>0</v>
      </c>
      <c r="AL152" s="24">
        <f t="shared" si="291"/>
        <v>0</v>
      </c>
      <c r="AM152" s="24">
        <f t="shared" si="291"/>
        <v>0</v>
      </c>
      <c r="AN152" s="24">
        <f t="shared" si="291"/>
        <v>0</v>
      </c>
      <c r="AO152" s="24">
        <f t="shared" si="291"/>
        <v>0</v>
      </c>
      <c r="AP152" s="24">
        <f t="shared" si="291"/>
        <v>0</v>
      </c>
      <c r="AQ152" s="24">
        <f t="shared" si="291"/>
        <v>0</v>
      </c>
      <c r="AR152" s="24"/>
      <c r="AS152" s="24">
        <f t="shared" si="291"/>
        <v>0</v>
      </c>
      <c r="AT152" s="24">
        <f t="shared" si="291"/>
        <v>0</v>
      </c>
      <c r="AU152" s="24">
        <f t="shared" si="291"/>
        <v>0</v>
      </c>
      <c r="AV152" s="24"/>
      <c r="AW152" s="24"/>
      <c r="AX152" s="24">
        <f t="shared" si="291"/>
        <v>0</v>
      </c>
      <c r="AY152" s="24">
        <f t="shared" si="291"/>
        <v>0</v>
      </c>
      <c r="AZ152" s="24">
        <f t="shared" si="291"/>
        <v>0</v>
      </c>
      <c r="BA152" s="24">
        <f t="shared" si="291"/>
        <v>0</v>
      </c>
      <c r="BB152" s="24"/>
      <c r="BC152" s="24">
        <f t="shared" si="291"/>
        <v>622644</v>
      </c>
      <c r="BD152" s="24">
        <f t="shared" si="291"/>
        <v>0</v>
      </c>
      <c r="BE152" s="24">
        <f t="shared" si="291"/>
        <v>0</v>
      </c>
      <c r="BF152" s="24">
        <f t="shared" si="291"/>
        <v>0</v>
      </c>
      <c r="BG152" s="24">
        <f t="shared" si="291"/>
        <v>0</v>
      </c>
      <c r="BH152" s="24">
        <f t="shared" si="291"/>
        <v>0</v>
      </c>
      <c r="BI152" s="24">
        <f t="shared" si="291"/>
        <v>0</v>
      </c>
      <c r="BJ152" s="24">
        <f t="shared" si="291"/>
        <v>0</v>
      </c>
      <c r="BK152" s="24">
        <f t="shared" ref="BK152" si="292">SUM(BK153:BK154)</f>
        <v>0</v>
      </c>
      <c r="BL152" s="24">
        <f t="shared" si="291"/>
        <v>0</v>
      </c>
      <c r="BM152" s="24">
        <f t="shared" si="291"/>
        <v>0</v>
      </c>
      <c r="BN152" s="24">
        <f t="shared" si="291"/>
        <v>0</v>
      </c>
      <c r="BO152" s="24">
        <f t="shared" si="291"/>
        <v>0</v>
      </c>
      <c r="BP152" s="24">
        <f t="shared" si="291"/>
        <v>0</v>
      </c>
      <c r="BQ152" s="24">
        <f t="shared" ref="BQ152" si="293">SUM(BQ153:BQ154)</f>
        <v>0</v>
      </c>
      <c r="BR152" s="24">
        <f t="shared" si="291"/>
        <v>0</v>
      </c>
      <c r="BS152" s="24">
        <f t="shared" si="291"/>
        <v>0</v>
      </c>
      <c r="BT152" s="24">
        <f t="shared" si="291"/>
        <v>0</v>
      </c>
      <c r="BU152" s="24">
        <f t="shared" si="291"/>
        <v>0</v>
      </c>
      <c r="BV152" s="24">
        <f t="shared" si="291"/>
        <v>0</v>
      </c>
      <c r="BW152" s="24">
        <f t="shared" si="291"/>
        <v>0</v>
      </c>
      <c r="BX152" s="24">
        <f t="shared" si="291"/>
        <v>0</v>
      </c>
      <c r="BY152" s="24">
        <f t="shared" ref="BY152:CZ152" si="294">SUM(BY153:BY154)</f>
        <v>0</v>
      </c>
      <c r="BZ152" s="24">
        <f t="shared" si="294"/>
        <v>0</v>
      </c>
      <c r="CA152" s="24">
        <f t="shared" si="294"/>
        <v>0</v>
      </c>
      <c r="CB152" s="24">
        <f t="shared" si="294"/>
        <v>0</v>
      </c>
      <c r="CC152" s="24">
        <f t="shared" si="294"/>
        <v>0</v>
      </c>
      <c r="CD152" s="24">
        <f t="shared" si="294"/>
        <v>0</v>
      </c>
      <c r="CE152" s="24">
        <f t="shared" si="294"/>
        <v>0</v>
      </c>
      <c r="CF152" s="24">
        <f t="shared" si="294"/>
        <v>0</v>
      </c>
      <c r="CG152" s="24">
        <f t="shared" si="294"/>
        <v>0</v>
      </c>
      <c r="CH152" s="24">
        <f t="shared" si="294"/>
        <v>0</v>
      </c>
      <c r="CI152" s="24">
        <f t="shared" si="294"/>
        <v>0</v>
      </c>
      <c r="CJ152" s="24">
        <f t="shared" si="294"/>
        <v>0</v>
      </c>
      <c r="CK152" s="24">
        <f t="shared" ref="CK152:CL152" si="295">SUM(CK153:CK154)</f>
        <v>0</v>
      </c>
      <c r="CL152" s="24">
        <f t="shared" si="295"/>
        <v>0</v>
      </c>
      <c r="CM152" s="24">
        <f t="shared" si="294"/>
        <v>0</v>
      </c>
      <c r="CN152" s="24">
        <f t="shared" si="294"/>
        <v>0</v>
      </c>
      <c r="CO152" s="24">
        <f t="shared" si="294"/>
        <v>0</v>
      </c>
      <c r="CP152" s="24">
        <f t="shared" ref="CP152" si="296">SUM(CP153:CP154)</f>
        <v>0</v>
      </c>
      <c r="CQ152" s="24">
        <f t="shared" si="294"/>
        <v>0</v>
      </c>
      <c r="CR152" s="24"/>
      <c r="CS152" s="24"/>
      <c r="CT152" s="24">
        <f t="shared" si="294"/>
        <v>0</v>
      </c>
      <c r="CU152" s="24">
        <f t="shared" si="294"/>
        <v>0</v>
      </c>
      <c r="CV152" s="24">
        <f t="shared" si="294"/>
        <v>0</v>
      </c>
      <c r="CW152" s="24">
        <f t="shared" si="294"/>
        <v>0</v>
      </c>
      <c r="CX152" s="24">
        <f t="shared" si="294"/>
        <v>0</v>
      </c>
      <c r="CY152" s="24">
        <f t="shared" si="294"/>
        <v>0</v>
      </c>
      <c r="CZ152" s="25">
        <f t="shared" si="294"/>
        <v>0</v>
      </c>
    </row>
    <row r="153" spans="1:104" ht="15.6" x14ac:dyDescent="0.3">
      <c r="A153" s="26"/>
      <c r="B153" s="27" t="s">
        <v>1</v>
      </c>
      <c r="C153" s="27" t="s">
        <v>88</v>
      </c>
      <c r="D153" s="28" t="s">
        <v>264</v>
      </c>
      <c r="E153" s="23">
        <f>SUM(F153+CD153+CW153)</f>
        <v>408092</v>
      </c>
      <c r="F153" s="24">
        <f>SUM(G153+BD153)</f>
        <v>408092</v>
      </c>
      <c r="G153" s="24">
        <f>SUM(H153+I153+J153+Q153+T153+U153+V153+AF153+AE153)</f>
        <v>408092</v>
      </c>
      <c r="H153" s="24">
        <v>0</v>
      </c>
      <c r="I153" s="24">
        <v>0</v>
      </c>
      <c r="J153" s="24">
        <f t="shared" ref="J153:J231" si="297">SUM(K153:P153)</f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f t="shared" ref="Q153:Q231" si="298">SUM(R153:S153)</f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f t="shared" ref="V153:V154" si="299">SUM(W153:AD153)</f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f>SUM(AG153:BC153)</f>
        <v>408092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0</v>
      </c>
      <c r="AM153" s="24">
        <v>0</v>
      </c>
      <c r="AN153" s="24">
        <v>0</v>
      </c>
      <c r="AO153" s="24">
        <v>0</v>
      </c>
      <c r="AP153" s="24">
        <v>0</v>
      </c>
      <c r="AQ153" s="24">
        <v>0</v>
      </c>
      <c r="AR153" s="24"/>
      <c r="AS153" s="24">
        <v>0</v>
      </c>
      <c r="AT153" s="24">
        <v>0</v>
      </c>
      <c r="AU153" s="24">
        <v>0</v>
      </c>
      <c r="AV153" s="24"/>
      <c r="AW153" s="24"/>
      <c r="AX153" s="24">
        <v>0</v>
      </c>
      <c r="AY153" s="24">
        <v>0</v>
      </c>
      <c r="AZ153" s="24">
        <v>0</v>
      </c>
      <c r="BA153" s="24">
        <v>0</v>
      </c>
      <c r="BB153" s="24"/>
      <c r="BC153" s="29">
        <f>380338+114000-86246</f>
        <v>408092</v>
      </c>
      <c r="BD153" s="24">
        <f>SUM(BE153+BI153+BM153+BO153+BR153)</f>
        <v>0</v>
      </c>
      <c r="BE153" s="24">
        <f>SUM(BF153:BH153)</f>
        <v>0</v>
      </c>
      <c r="BF153" s="24">
        <v>0</v>
      </c>
      <c r="BG153" s="24">
        <v>0</v>
      </c>
      <c r="BH153" s="24">
        <v>0</v>
      </c>
      <c r="BI153" s="24">
        <f>SUM(BL153:BL153)</f>
        <v>0</v>
      </c>
      <c r="BJ153" s="24">
        <v>0</v>
      </c>
      <c r="BK153" s="24">
        <v>0</v>
      </c>
      <c r="BL153" s="24">
        <v>0</v>
      </c>
      <c r="BM153" s="24">
        <v>0</v>
      </c>
      <c r="BN153" s="24">
        <v>0</v>
      </c>
      <c r="BO153" s="24">
        <f t="shared" ref="BO153:BO231" si="300">SUM(BP153)</f>
        <v>0</v>
      </c>
      <c r="BP153" s="24">
        <v>0</v>
      </c>
      <c r="BQ153" s="24">
        <v>0</v>
      </c>
      <c r="BR153" s="24">
        <f>SUM(BS153:CC153)</f>
        <v>0</v>
      </c>
      <c r="BS153" s="24">
        <v>0</v>
      </c>
      <c r="BT153" s="24">
        <v>0</v>
      </c>
      <c r="BU153" s="24">
        <v>0</v>
      </c>
      <c r="BV153" s="24">
        <v>0</v>
      </c>
      <c r="BW153" s="24">
        <v>0</v>
      </c>
      <c r="BX153" s="24">
        <v>0</v>
      </c>
      <c r="BY153" s="24">
        <v>0</v>
      </c>
      <c r="BZ153" s="24">
        <v>0</v>
      </c>
      <c r="CA153" s="24">
        <v>0</v>
      </c>
      <c r="CB153" s="24">
        <v>0</v>
      </c>
      <c r="CC153" s="24">
        <v>0</v>
      </c>
      <c r="CD153" s="24">
        <f>SUM(CE153+CV153)</f>
        <v>0</v>
      </c>
      <c r="CE153" s="24">
        <f>SUM(CF153+CI153+CN153)</f>
        <v>0</v>
      </c>
      <c r="CF153" s="24">
        <f t="shared" ref="CF153:CF231" si="301">SUM(CG153:CH153)</f>
        <v>0</v>
      </c>
      <c r="CG153" s="24">
        <v>0</v>
      </c>
      <c r="CH153" s="24">
        <v>0</v>
      </c>
      <c r="CI153" s="24">
        <f>SUM(CJ153:CM153)</f>
        <v>0</v>
      </c>
      <c r="CJ153" s="24">
        <v>0</v>
      </c>
      <c r="CK153" s="24">
        <v>0</v>
      </c>
      <c r="CL153" s="24">
        <v>0</v>
      </c>
      <c r="CM153" s="24">
        <v>0</v>
      </c>
      <c r="CN153" s="24">
        <f>SUM(CO153:CS153)</f>
        <v>0</v>
      </c>
      <c r="CO153" s="24">
        <v>0</v>
      </c>
      <c r="CP153" s="24">
        <v>0</v>
      </c>
      <c r="CQ153" s="24">
        <v>0</v>
      </c>
      <c r="CR153" s="24"/>
      <c r="CS153" s="24"/>
      <c r="CT153" s="24">
        <v>0</v>
      </c>
      <c r="CU153" s="24">
        <v>0</v>
      </c>
      <c r="CV153" s="24">
        <v>0</v>
      </c>
      <c r="CW153" s="24">
        <f t="shared" ref="CW153:CW231" si="302">SUM(CX153)</f>
        <v>0</v>
      </c>
      <c r="CX153" s="24">
        <f t="shared" ref="CX153:CX231" si="303">SUM(CY153:CZ153)</f>
        <v>0</v>
      </c>
      <c r="CY153" s="24">
        <v>0</v>
      </c>
      <c r="CZ153" s="25">
        <v>0</v>
      </c>
    </row>
    <row r="154" spans="1:104" ht="15.6" x14ac:dyDescent="0.3">
      <c r="A154" s="26"/>
      <c r="B154" s="27" t="s">
        <v>1</v>
      </c>
      <c r="C154" s="27" t="s">
        <v>96</v>
      </c>
      <c r="D154" s="28" t="s">
        <v>265</v>
      </c>
      <c r="E154" s="23">
        <f>SUM(F154+CD154+CW154)</f>
        <v>214552</v>
      </c>
      <c r="F154" s="24">
        <f>SUM(G154+BD154)</f>
        <v>214552</v>
      </c>
      <c r="G154" s="24">
        <f>SUM(H154+I154+J154+Q154+T154+U154+V154+AF154+AE154)</f>
        <v>214552</v>
      </c>
      <c r="H154" s="24">
        <v>0</v>
      </c>
      <c r="I154" s="24">
        <v>0</v>
      </c>
      <c r="J154" s="24">
        <f t="shared" si="297"/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f t="shared" si="298"/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f t="shared" si="299"/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f>SUM(AG154:BC154)</f>
        <v>214552</v>
      </c>
      <c r="AG154" s="24">
        <v>0</v>
      </c>
      <c r="AH154" s="24">
        <v>0</v>
      </c>
      <c r="AI154" s="24">
        <v>0</v>
      </c>
      <c r="AJ154" s="24">
        <v>0</v>
      </c>
      <c r="AK154" s="24">
        <v>0</v>
      </c>
      <c r="AL154" s="24">
        <v>0</v>
      </c>
      <c r="AM154" s="24">
        <v>0</v>
      </c>
      <c r="AN154" s="24">
        <v>0</v>
      </c>
      <c r="AO154" s="24">
        <v>0</v>
      </c>
      <c r="AP154" s="24">
        <v>0</v>
      </c>
      <c r="AQ154" s="24">
        <v>0</v>
      </c>
      <c r="AR154" s="24"/>
      <c r="AS154" s="24">
        <v>0</v>
      </c>
      <c r="AT154" s="24">
        <v>0</v>
      </c>
      <c r="AU154" s="24">
        <v>0</v>
      </c>
      <c r="AV154" s="24"/>
      <c r="AW154" s="24"/>
      <c r="AX154" s="24">
        <v>0</v>
      </c>
      <c r="AY154" s="24">
        <v>0</v>
      </c>
      <c r="AZ154" s="24">
        <v>0</v>
      </c>
      <c r="BA154" s="24">
        <v>0</v>
      </c>
      <c r="BB154" s="24"/>
      <c r="BC154" s="29">
        <v>214552</v>
      </c>
      <c r="BD154" s="24">
        <f>SUM(BE154+BI154+BM154+BO154+BR154)</f>
        <v>0</v>
      </c>
      <c r="BE154" s="24">
        <f>SUM(BF154:BH154)</f>
        <v>0</v>
      </c>
      <c r="BF154" s="24">
        <v>0</v>
      </c>
      <c r="BG154" s="24">
        <v>0</v>
      </c>
      <c r="BH154" s="24">
        <v>0</v>
      </c>
      <c r="BI154" s="24">
        <f>SUM(BL154:BL154)</f>
        <v>0</v>
      </c>
      <c r="BJ154" s="24">
        <v>0</v>
      </c>
      <c r="BK154" s="24">
        <v>0</v>
      </c>
      <c r="BL154" s="24">
        <v>0</v>
      </c>
      <c r="BM154" s="24">
        <v>0</v>
      </c>
      <c r="BN154" s="24">
        <v>0</v>
      </c>
      <c r="BO154" s="24">
        <f t="shared" si="300"/>
        <v>0</v>
      </c>
      <c r="BP154" s="24">
        <v>0</v>
      </c>
      <c r="BQ154" s="24">
        <v>0</v>
      </c>
      <c r="BR154" s="24">
        <f>SUM(BS154:CC154)</f>
        <v>0</v>
      </c>
      <c r="BS154" s="24">
        <v>0</v>
      </c>
      <c r="BT154" s="24">
        <v>0</v>
      </c>
      <c r="BU154" s="24">
        <v>0</v>
      </c>
      <c r="BV154" s="24">
        <v>0</v>
      </c>
      <c r="BW154" s="24">
        <v>0</v>
      </c>
      <c r="BX154" s="24">
        <v>0</v>
      </c>
      <c r="BY154" s="24">
        <v>0</v>
      </c>
      <c r="BZ154" s="24">
        <v>0</v>
      </c>
      <c r="CA154" s="24">
        <v>0</v>
      </c>
      <c r="CB154" s="24">
        <v>0</v>
      </c>
      <c r="CC154" s="24">
        <v>0</v>
      </c>
      <c r="CD154" s="24">
        <f>SUM(CE154+CV154)</f>
        <v>0</v>
      </c>
      <c r="CE154" s="24">
        <f>SUM(CF154+CI154+CN154)</f>
        <v>0</v>
      </c>
      <c r="CF154" s="24">
        <f t="shared" si="301"/>
        <v>0</v>
      </c>
      <c r="CG154" s="24">
        <v>0</v>
      </c>
      <c r="CH154" s="24">
        <v>0</v>
      </c>
      <c r="CI154" s="24">
        <f>SUM(CJ154:CM154)</f>
        <v>0</v>
      </c>
      <c r="CJ154" s="24">
        <v>0</v>
      </c>
      <c r="CK154" s="24">
        <v>0</v>
      </c>
      <c r="CL154" s="24">
        <v>0</v>
      </c>
      <c r="CM154" s="24">
        <v>0</v>
      </c>
      <c r="CN154" s="24">
        <f>SUM(CO154:CS154)</f>
        <v>0</v>
      </c>
      <c r="CO154" s="24">
        <v>0</v>
      </c>
      <c r="CP154" s="24">
        <v>0</v>
      </c>
      <c r="CQ154" s="24">
        <v>0</v>
      </c>
      <c r="CR154" s="24"/>
      <c r="CS154" s="24"/>
      <c r="CT154" s="24">
        <v>0</v>
      </c>
      <c r="CU154" s="24">
        <v>0</v>
      </c>
      <c r="CV154" s="24">
        <v>0</v>
      </c>
      <c r="CW154" s="24">
        <f t="shared" si="302"/>
        <v>0</v>
      </c>
      <c r="CX154" s="24">
        <f t="shared" si="303"/>
        <v>0</v>
      </c>
      <c r="CY154" s="24">
        <v>0</v>
      </c>
      <c r="CZ154" s="25">
        <v>0</v>
      </c>
    </row>
    <row r="155" spans="1:104" ht="31.2" x14ac:dyDescent="0.3">
      <c r="A155" s="20"/>
      <c r="B155" s="21" t="s">
        <v>266</v>
      </c>
      <c r="C155" s="21" t="s">
        <v>1</v>
      </c>
      <c r="D155" s="22" t="s">
        <v>267</v>
      </c>
      <c r="E155" s="23">
        <f t="shared" ref="E155:BU155" si="304">SUM(E156:E161)</f>
        <v>12367981</v>
      </c>
      <c r="F155" s="24">
        <f t="shared" si="304"/>
        <v>11146663</v>
      </c>
      <c r="G155" s="24">
        <f t="shared" si="304"/>
        <v>10618789</v>
      </c>
      <c r="H155" s="24">
        <f t="shared" si="304"/>
        <v>7015565</v>
      </c>
      <c r="I155" s="24">
        <f t="shared" si="304"/>
        <v>1639638</v>
      </c>
      <c r="J155" s="24">
        <f t="shared" si="304"/>
        <v>651473</v>
      </c>
      <c r="K155" s="24">
        <f t="shared" si="304"/>
        <v>10400</v>
      </c>
      <c r="L155" s="24">
        <f t="shared" si="304"/>
        <v>179700</v>
      </c>
      <c r="M155" s="24">
        <f t="shared" si="304"/>
        <v>0</v>
      </c>
      <c r="N155" s="24">
        <f t="shared" si="304"/>
        <v>0</v>
      </c>
      <c r="O155" s="24">
        <f t="shared" si="304"/>
        <v>181823</v>
      </c>
      <c r="P155" s="24">
        <f t="shared" si="304"/>
        <v>279550</v>
      </c>
      <c r="Q155" s="24">
        <f t="shared" si="304"/>
        <v>1741</v>
      </c>
      <c r="R155" s="24">
        <f t="shared" si="304"/>
        <v>1741</v>
      </c>
      <c r="S155" s="24">
        <f t="shared" si="304"/>
        <v>0</v>
      </c>
      <c r="T155" s="24">
        <f t="shared" si="304"/>
        <v>0</v>
      </c>
      <c r="U155" s="24">
        <f t="shared" si="304"/>
        <v>76028</v>
      </c>
      <c r="V155" s="24">
        <f t="shared" si="304"/>
        <v>275560</v>
      </c>
      <c r="W155" s="24">
        <f t="shared" si="304"/>
        <v>772</v>
      </c>
      <c r="X155" s="24">
        <f t="shared" si="304"/>
        <v>174037</v>
      </c>
      <c r="Y155" s="24">
        <f t="shared" si="304"/>
        <v>80523</v>
      </c>
      <c r="Z155" s="24">
        <f t="shared" si="304"/>
        <v>14316</v>
      </c>
      <c r="AA155" s="24">
        <f t="shared" si="304"/>
        <v>0</v>
      </c>
      <c r="AB155" s="24">
        <f t="shared" si="304"/>
        <v>0</v>
      </c>
      <c r="AC155" s="24">
        <f t="shared" si="304"/>
        <v>0</v>
      </c>
      <c r="AD155" s="24">
        <f t="shared" si="304"/>
        <v>5912</v>
      </c>
      <c r="AE155" s="24">
        <f t="shared" si="304"/>
        <v>0</v>
      </c>
      <c r="AF155" s="24">
        <f t="shared" si="304"/>
        <v>958784</v>
      </c>
      <c r="AG155" s="24">
        <f t="shared" si="304"/>
        <v>0</v>
      </c>
      <c r="AH155" s="24">
        <f t="shared" si="304"/>
        <v>0</v>
      </c>
      <c r="AI155" s="24">
        <f t="shared" si="304"/>
        <v>3954</v>
      </c>
      <c r="AJ155" s="24">
        <f t="shared" si="304"/>
        <v>9971</v>
      </c>
      <c r="AK155" s="24">
        <f t="shared" si="304"/>
        <v>0</v>
      </c>
      <c r="AL155" s="24">
        <f t="shared" si="304"/>
        <v>0</v>
      </c>
      <c r="AM155" s="24">
        <f t="shared" si="304"/>
        <v>0</v>
      </c>
      <c r="AN155" s="24">
        <f t="shared" si="304"/>
        <v>0</v>
      </c>
      <c r="AO155" s="24">
        <f t="shared" si="304"/>
        <v>1200</v>
      </c>
      <c r="AP155" s="24">
        <f t="shared" si="304"/>
        <v>0</v>
      </c>
      <c r="AQ155" s="24">
        <f t="shared" si="304"/>
        <v>0</v>
      </c>
      <c r="AR155" s="24"/>
      <c r="AS155" s="24">
        <f t="shared" si="304"/>
        <v>0</v>
      </c>
      <c r="AT155" s="24">
        <f t="shared" si="304"/>
        <v>57442</v>
      </c>
      <c r="AU155" s="24">
        <f t="shared" si="304"/>
        <v>0</v>
      </c>
      <c r="AV155" s="24"/>
      <c r="AW155" s="24"/>
      <c r="AX155" s="24">
        <f t="shared" si="304"/>
        <v>0</v>
      </c>
      <c r="AY155" s="24">
        <f t="shared" si="304"/>
        <v>0</v>
      </c>
      <c r="AZ155" s="24">
        <f t="shared" si="304"/>
        <v>0</v>
      </c>
      <c r="BA155" s="24">
        <f t="shared" si="304"/>
        <v>0</v>
      </c>
      <c r="BB155" s="24"/>
      <c r="BC155" s="24">
        <f t="shared" si="304"/>
        <v>886217</v>
      </c>
      <c r="BD155" s="24">
        <f t="shared" si="304"/>
        <v>527874</v>
      </c>
      <c r="BE155" s="24">
        <f t="shared" si="304"/>
        <v>0</v>
      </c>
      <c r="BF155" s="24">
        <f t="shared" si="304"/>
        <v>0</v>
      </c>
      <c r="BG155" s="24">
        <f t="shared" si="304"/>
        <v>0</v>
      </c>
      <c r="BH155" s="24">
        <f t="shared" si="304"/>
        <v>0</v>
      </c>
      <c r="BI155" s="24">
        <f t="shared" si="304"/>
        <v>0</v>
      </c>
      <c r="BJ155" s="24">
        <f t="shared" si="304"/>
        <v>0</v>
      </c>
      <c r="BK155" s="24">
        <f t="shared" ref="BK155" si="305">SUM(BK156:BK161)</f>
        <v>0</v>
      </c>
      <c r="BL155" s="24">
        <f t="shared" si="304"/>
        <v>0</v>
      </c>
      <c r="BM155" s="24">
        <f t="shared" si="304"/>
        <v>0</v>
      </c>
      <c r="BN155" s="24">
        <f t="shared" si="304"/>
        <v>0</v>
      </c>
      <c r="BO155" s="24">
        <f t="shared" si="304"/>
        <v>0</v>
      </c>
      <c r="BP155" s="24">
        <f t="shared" si="304"/>
        <v>0</v>
      </c>
      <c r="BQ155" s="24">
        <f t="shared" ref="BQ155" si="306">SUM(BQ156:BQ161)</f>
        <v>0</v>
      </c>
      <c r="BR155" s="24">
        <f t="shared" si="304"/>
        <v>527874</v>
      </c>
      <c r="BS155" s="24">
        <f t="shared" si="304"/>
        <v>0</v>
      </c>
      <c r="BT155" s="24">
        <f t="shared" si="304"/>
        <v>0</v>
      </c>
      <c r="BU155" s="24">
        <f t="shared" si="304"/>
        <v>527874</v>
      </c>
      <c r="BV155" s="24">
        <f t="shared" ref="BV155:CZ155" si="307">SUM(BV156:BV161)</f>
        <v>0</v>
      </c>
      <c r="BW155" s="24">
        <f t="shared" si="307"/>
        <v>0</v>
      </c>
      <c r="BX155" s="24">
        <f t="shared" si="307"/>
        <v>0</v>
      </c>
      <c r="BY155" s="24">
        <f t="shared" si="307"/>
        <v>0</v>
      </c>
      <c r="BZ155" s="24">
        <f t="shared" si="307"/>
        <v>0</v>
      </c>
      <c r="CA155" s="24">
        <f t="shared" si="307"/>
        <v>0</v>
      </c>
      <c r="CB155" s="24">
        <f t="shared" si="307"/>
        <v>0</v>
      </c>
      <c r="CC155" s="24">
        <f t="shared" si="307"/>
        <v>0</v>
      </c>
      <c r="CD155" s="24">
        <f t="shared" si="307"/>
        <v>1221318</v>
      </c>
      <c r="CE155" s="24">
        <f t="shared" si="307"/>
        <v>1221318</v>
      </c>
      <c r="CF155" s="24">
        <f t="shared" si="307"/>
        <v>1221318</v>
      </c>
      <c r="CG155" s="24">
        <f t="shared" si="307"/>
        <v>0</v>
      </c>
      <c r="CH155" s="24">
        <f t="shared" si="307"/>
        <v>1221318</v>
      </c>
      <c r="CI155" s="24">
        <f t="shared" si="307"/>
        <v>0</v>
      </c>
      <c r="CJ155" s="24">
        <f t="shared" si="307"/>
        <v>0</v>
      </c>
      <c r="CK155" s="24">
        <f t="shared" ref="CK155:CL155" si="308">SUM(CK156:CK161)</f>
        <v>0</v>
      </c>
      <c r="CL155" s="24">
        <f t="shared" si="308"/>
        <v>0</v>
      </c>
      <c r="CM155" s="24">
        <f t="shared" si="307"/>
        <v>0</v>
      </c>
      <c r="CN155" s="24">
        <f t="shared" si="307"/>
        <v>0</v>
      </c>
      <c r="CO155" s="24">
        <f t="shared" si="307"/>
        <v>0</v>
      </c>
      <c r="CP155" s="24">
        <f t="shared" ref="CP155" si="309">SUM(CP156:CP161)</f>
        <v>0</v>
      </c>
      <c r="CQ155" s="24">
        <f t="shared" si="307"/>
        <v>0</v>
      </c>
      <c r="CR155" s="24"/>
      <c r="CS155" s="24"/>
      <c r="CT155" s="24">
        <f t="shared" si="307"/>
        <v>0</v>
      </c>
      <c r="CU155" s="24">
        <f t="shared" si="307"/>
        <v>0</v>
      </c>
      <c r="CV155" s="24">
        <f t="shared" si="307"/>
        <v>0</v>
      </c>
      <c r="CW155" s="24">
        <f t="shared" si="307"/>
        <v>0</v>
      </c>
      <c r="CX155" s="24">
        <f t="shared" si="307"/>
        <v>0</v>
      </c>
      <c r="CY155" s="24">
        <f t="shared" si="307"/>
        <v>0</v>
      </c>
      <c r="CZ155" s="25">
        <f t="shared" si="307"/>
        <v>0</v>
      </c>
    </row>
    <row r="156" spans="1:104" ht="15.6" x14ac:dyDescent="0.3">
      <c r="A156" s="26" t="s">
        <v>1</v>
      </c>
      <c r="B156" s="27" t="s">
        <v>1</v>
      </c>
      <c r="C156" s="27" t="s">
        <v>84</v>
      </c>
      <c r="D156" s="28" t="s">
        <v>268</v>
      </c>
      <c r="E156" s="23">
        <f t="shared" ref="E156:E161" si="310">SUM(F156+CD156+CW156)</f>
        <v>3397357</v>
      </c>
      <c r="F156" s="24">
        <f t="shared" ref="F156:F161" si="311">SUM(G156+BD156)</f>
        <v>3379461</v>
      </c>
      <c r="G156" s="24">
        <f t="shared" ref="G156:G161" si="312">SUM(H156+I156+J156+Q156+T156+U156+V156+AF156+AE156)</f>
        <v>2851587</v>
      </c>
      <c r="H156" s="29">
        <v>2080313</v>
      </c>
      <c r="I156" s="29">
        <v>496779</v>
      </c>
      <c r="J156" s="24">
        <f t="shared" si="297"/>
        <v>55254</v>
      </c>
      <c r="K156" s="29">
        <v>0</v>
      </c>
      <c r="L156" s="29">
        <v>0</v>
      </c>
      <c r="M156" s="29">
        <v>0</v>
      </c>
      <c r="N156" s="29">
        <v>0</v>
      </c>
      <c r="O156" s="29">
        <v>28517</v>
      </c>
      <c r="P156" s="29">
        <v>26737</v>
      </c>
      <c r="Q156" s="24">
        <f t="shared" si="298"/>
        <v>0</v>
      </c>
      <c r="R156" s="29">
        <v>0</v>
      </c>
      <c r="S156" s="29">
        <v>0</v>
      </c>
      <c r="T156" s="29">
        <v>0</v>
      </c>
      <c r="U156" s="29">
        <v>40117</v>
      </c>
      <c r="V156" s="24">
        <f t="shared" ref="V156:V161" si="313">SUM(W156:AD156)</f>
        <v>141585</v>
      </c>
      <c r="W156" s="29">
        <v>772</v>
      </c>
      <c r="X156" s="29">
        <f>112394+13999+581-16000</f>
        <v>110974</v>
      </c>
      <c r="Y156" s="29">
        <f>21000+706+3115</f>
        <v>24821</v>
      </c>
      <c r="Z156" s="29">
        <f>3293+434+1291</f>
        <v>5018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4">
        <f t="shared" ref="AF156:AF161" si="314">SUM(AG156:BC156)</f>
        <v>37539</v>
      </c>
      <c r="AG156" s="24">
        <v>0</v>
      </c>
      <c r="AH156" s="24">
        <v>0</v>
      </c>
      <c r="AI156" s="29">
        <v>225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1200</v>
      </c>
      <c r="AP156" s="29">
        <v>0</v>
      </c>
      <c r="AQ156" s="29">
        <v>0</v>
      </c>
      <c r="AR156" s="29">
        <v>0</v>
      </c>
      <c r="AS156" s="29">
        <v>0</v>
      </c>
      <c r="AT156" s="29">
        <v>36114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4">
        <f t="shared" ref="BD156:BD161" si="315">SUM(BE156+BI156+BM156+BO156+BR156)</f>
        <v>527874</v>
      </c>
      <c r="BE156" s="24">
        <f t="shared" ref="BE156:BE161" si="316">SUM(BF156:BH156)</f>
        <v>0</v>
      </c>
      <c r="BF156" s="24">
        <v>0</v>
      </c>
      <c r="BG156" s="24">
        <v>0</v>
      </c>
      <c r="BH156" s="24">
        <v>0</v>
      </c>
      <c r="BI156" s="24">
        <f t="shared" ref="BI156:BI161" si="317">SUM(BL156:BL156)</f>
        <v>0</v>
      </c>
      <c r="BJ156" s="24">
        <v>0</v>
      </c>
      <c r="BK156" s="24">
        <v>0</v>
      </c>
      <c r="BL156" s="24">
        <v>0</v>
      </c>
      <c r="BM156" s="24">
        <v>0</v>
      </c>
      <c r="BN156" s="24">
        <v>0</v>
      </c>
      <c r="BO156" s="24">
        <f t="shared" si="300"/>
        <v>0</v>
      </c>
      <c r="BP156" s="24">
        <v>0</v>
      </c>
      <c r="BQ156" s="24">
        <v>0</v>
      </c>
      <c r="BR156" s="24">
        <f t="shared" ref="BR156:BR161" si="318">SUM(BS156:CC156)</f>
        <v>527874</v>
      </c>
      <c r="BS156" s="24">
        <v>0</v>
      </c>
      <c r="BT156" s="24">
        <v>0</v>
      </c>
      <c r="BU156" s="29">
        <v>527874</v>
      </c>
      <c r="BV156" s="24">
        <v>0</v>
      </c>
      <c r="BW156" s="24">
        <v>0</v>
      </c>
      <c r="BX156" s="24">
        <v>0</v>
      </c>
      <c r="BY156" s="24">
        <v>0</v>
      </c>
      <c r="BZ156" s="24">
        <v>0</v>
      </c>
      <c r="CA156" s="24">
        <v>0</v>
      </c>
      <c r="CB156" s="24">
        <v>0</v>
      </c>
      <c r="CC156" s="24">
        <v>0</v>
      </c>
      <c r="CD156" s="24">
        <f t="shared" ref="CD156:CD161" si="319">SUM(CE156+CV156)</f>
        <v>17896</v>
      </c>
      <c r="CE156" s="24">
        <f t="shared" ref="CE156:CE161" si="320">SUM(CF156+CI156+CN156)</f>
        <v>17896</v>
      </c>
      <c r="CF156" s="24">
        <f t="shared" si="301"/>
        <v>17896</v>
      </c>
      <c r="CG156" s="24">
        <v>0</v>
      </c>
      <c r="CH156" s="29">
        <v>17896</v>
      </c>
      <c r="CI156" s="24">
        <f t="shared" ref="CI156:CI161" si="321">SUM(CJ156:CM156)</f>
        <v>0</v>
      </c>
      <c r="CJ156" s="24">
        <v>0</v>
      </c>
      <c r="CK156" s="24">
        <v>0</v>
      </c>
      <c r="CL156" s="24">
        <v>0</v>
      </c>
      <c r="CM156" s="24">
        <v>0</v>
      </c>
      <c r="CN156" s="24">
        <f t="shared" ref="CN156:CN161" si="322">SUM(CO156:CS156)</f>
        <v>0</v>
      </c>
      <c r="CO156" s="24">
        <v>0</v>
      </c>
      <c r="CP156" s="24">
        <v>0</v>
      </c>
      <c r="CQ156" s="24">
        <v>0</v>
      </c>
      <c r="CR156" s="24"/>
      <c r="CS156" s="24"/>
      <c r="CT156" s="24">
        <v>0</v>
      </c>
      <c r="CU156" s="24">
        <v>0</v>
      </c>
      <c r="CV156" s="24">
        <v>0</v>
      </c>
      <c r="CW156" s="24">
        <f t="shared" si="302"/>
        <v>0</v>
      </c>
      <c r="CX156" s="24">
        <f t="shared" si="303"/>
        <v>0</v>
      </c>
      <c r="CY156" s="24">
        <v>0</v>
      </c>
      <c r="CZ156" s="25">
        <v>0</v>
      </c>
    </row>
    <row r="157" spans="1:104" ht="15.6" x14ac:dyDescent="0.3">
      <c r="A157" s="26" t="s">
        <v>1</v>
      </c>
      <c r="B157" s="27" t="s">
        <v>1</v>
      </c>
      <c r="C157" s="27" t="s">
        <v>96</v>
      </c>
      <c r="D157" s="28" t="s">
        <v>269</v>
      </c>
      <c r="E157" s="23">
        <f t="shared" si="310"/>
        <v>4921581</v>
      </c>
      <c r="F157" s="24">
        <f t="shared" si="311"/>
        <v>3745570</v>
      </c>
      <c r="G157" s="24">
        <f t="shared" si="312"/>
        <v>3745570</v>
      </c>
      <c r="H157" s="29">
        <v>2265762</v>
      </c>
      <c r="I157" s="29">
        <v>523646</v>
      </c>
      <c r="J157" s="24">
        <f>SUM(K157:P157)</f>
        <v>573901</v>
      </c>
      <c r="K157" s="29">
        <v>3000</v>
      </c>
      <c r="L157" s="29">
        <v>179700</v>
      </c>
      <c r="M157" s="29">
        <v>0</v>
      </c>
      <c r="N157" s="29">
        <v>0</v>
      </c>
      <c r="O157" s="29">
        <v>153306</v>
      </c>
      <c r="P157" s="29">
        <v>237895</v>
      </c>
      <c r="Q157" s="24">
        <f>SUM(R157:S157)</f>
        <v>0</v>
      </c>
      <c r="R157" s="29">
        <f>10682-10682</f>
        <v>0</v>
      </c>
      <c r="S157" s="29">
        <v>0</v>
      </c>
      <c r="T157" s="29">
        <v>0</v>
      </c>
      <c r="U157" s="29">
        <v>24387</v>
      </c>
      <c r="V157" s="24">
        <f t="shared" si="313"/>
        <v>133975</v>
      </c>
      <c r="W157" s="29">
        <v>0</v>
      </c>
      <c r="X157" s="29">
        <f>54570+283+8210</f>
        <v>63063</v>
      </c>
      <c r="Y157" s="29">
        <f>68822-13120</f>
        <v>55702</v>
      </c>
      <c r="Z157" s="29">
        <f>4388+4910</f>
        <v>9298</v>
      </c>
      <c r="AA157" s="29">
        <v>0</v>
      </c>
      <c r="AB157" s="29">
        <v>0</v>
      </c>
      <c r="AC157" s="29">
        <v>0</v>
      </c>
      <c r="AD157" s="29">
        <f>5909+3</f>
        <v>5912</v>
      </c>
      <c r="AE157" s="29">
        <v>0</v>
      </c>
      <c r="AF157" s="24">
        <f t="shared" si="314"/>
        <v>223899</v>
      </c>
      <c r="AG157" s="24">
        <v>0</v>
      </c>
      <c r="AH157" s="24">
        <v>0</v>
      </c>
      <c r="AI157" s="29">
        <v>3000</v>
      </c>
      <c r="AJ157" s="29">
        <v>9971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f>69753-48425</f>
        <v>21328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189600</v>
      </c>
      <c r="BD157" s="24">
        <f t="shared" si="315"/>
        <v>0</v>
      </c>
      <c r="BE157" s="24">
        <f t="shared" si="316"/>
        <v>0</v>
      </c>
      <c r="BF157" s="24">
        <v>0</v>
      </c>
      <c r="BG157" s="24">
        <v>0</v>
      </c>
      <c r="BH157" s="24">
        <v>0</v>
      </c>
      <c r="BI157" s="24">
        <f t="shared" si="317"/>
        <v>0</v>
      </c>
      <c r="BJ157" s="24">
        <v>0</v>
      </c>
      <c r="BK157" s="24">
        <v>0</v>
      </c>
      <c r="BL157" s="24">
        <v>0</v>
      </c>
      <c r="BM157" s="24">
        <v>0</v>
      </c>
      <c r="BN157" s="24">
        <v>0</v>
      </c>
      <c r="BO157" s="24">
        <f>SUM(BP157)</f>
        <v>0</v>
      </c>
      <c r="BP157" s="24">
        <v>0</v>
      </c>
      <c r="BQ157" s="24">
        <v>0</v>
      </c>
      <c r="BR157" s="24">
        <f t="shared" si="318"/>
        <v>0</v>
      </c>
      <c r="BS157" s="24">
        <v>0</v>
      </c>
      <c r="BT157" s="24">
        <v>0</v>
      </c>
      <c r="BU157" s="24">
        <v>0</v>
      </c>
      <c r="BV157" s="24">
        <v>0</v>
      </c>
      <c r="BW157" s="24">
        <v>0</v>
      </c>
      <c r="BX157" s="24">
        <v>0</v>
      </c>
      <c r="BY157" s="24">
        <v>0</v>
      </c>
      <c r="BZ157" s="24">
        <v>0</v>
      </c>
      <c r="CA157" s="24">
        <v>0</v>
      </c>
      <c r="CB157" s="24">
        <v>0</v>
      </c>
      <c r="CC157" s="24">
        <v>0</v>
      </c>
      <c r="CD157" s="24">
        <f t="shared" si="319"/>
        <v>1176011</v>
      </c>
      <c r="CE157" s="24">
        <f t="shared" si="320"/>
        <v>1176011</v>
      </c>
      <c r="CF157" s="24">
        <f>SUM(CG157:CH157)</f>
        <v>1176011</v>
      </c>
      <c r="CG157" s="24">
        <v>0</v>
      </c>
      <c r="CH157" s="29">
        <f>1188467-12456</f>
        <v>1176011</v>
      </c>
      <c r="CI157" s="24">
        <f t="shared" si="321"/>
        <v>0</v>
      </c>
      <c r="CJ157" s="24">
        <v>0</v>
      </c>
      <c r="CK157" s="24">
        <v>0</v>
      </c>
      <c r="CL157" s="24">
        <v>0</v>
      </c>
      <c r="CM157" s="24">
        <v>0</v>
      </c>
      <c r="CN157" s="24">
        <f t="shared" si="322"/>
        <v>0</v>
      </c>
      <c r="CO157" s="24">
        <v>0</v>
      </c>
      <c r="CP157" s="24">
        <v>0</v>
      </c>
      <c r="CQ157" s="24">
        <v>0</v>
      </c>
      <c r="CR157" s="24"/>
      <c r="CS157" s="24"/>
      <c r="CT157" s="24">
        <v>0</v>
      </c>
      <c r="CU157" s="24">
        <v>0</v>
      </c>
      <c r="CV157" s="24">
        <v>0</v>
      </c>
      <c r="CW157" s="24">
        <f>SUM(CX157)</f>
        <v>0</v>
      </c>
      <c r="CX157" s="24">
        <f>SUM(CY157:CZ157)</f>
        <v>0</v>
      </c>
      <c r="CY157" s="24">
        <v>0</v>
      </c>
      <c r="CZ157" s="25">
        <v>0</v>
      </c>
    </row>
    <row r="158" spans="1:104" ht="15.6" x14ac:dyDescent="0.3">
      <c r="A158" s="26" t="s">
        <v>1</v>
      </c>
      <c r="B158" s="27" t="s">
        <v>1</v>
      </c>
      <c r="C158" s="27" t="s">
        <v>96</v>
      </c>
      <c r="D158" s="28" t="s">
        <v>270</v>
      </c>
      <c r="E158" s="23">
        <f t="shared" si="310"/>
        <v>2600621</v>
      </c>
      <c r="F158" s="24">
        <f t="shared" si="311"/>
        <v>2590621</v>
      </c>
      <c r="G158" s="24">
        <f t="shared" si="312"/>
        <v>2590621</v>
      </c>
      <c r="H158" s="29">
        <v>2003940</v>
      </c>
      <c r="I158" s="29">
        <v>463712</v>
      </c>
      <c r="J158" s="24">
        <f t="shared" si="297"/>
        <v>13612</v>
      </c>
      <c r="K158" s="29">
        <v>7400</v>
      </c>
      <c r="L158" s="29">
        <v>0</v>
      </c>
      <c r="M158" s="29">
        <v>0</v>
      </c>
      <c r="N158" s="29">
        <v>0</v>
      </c>
      <c r="O158" s="29">
        <v>0</v>
      </c>
      <c r="P158" s="29">
        <v>6212</v>
      </c>
      <c r="Q158" s="24">
        <f t="shared" si="298"/>
        <v>0</v>
      </c>
      <c r="R158" s="29">
        <v>0</v>
      </c>
      <c r="S158" s="29">
        <v>0</v>
      </c>
      <c r="T158" s="29">
        <v>0</v>
      </c>
      <c r="U158" s="29">
        <v>6986</v>
      </c>
      <c r="V158" s="24">
        <f t="shared" si="313"/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4">
        <f t="shared" si="314"/>
        <v>102371</v>
      </c>
      <c r="AG158" s="24">
        <v>0</v>
      </c>
      <c r="AH158" s="24">
        <v>0</v>
      </c>
      <c r="AI158" s="29">
        <v>729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101642</v>
      </c>
      <c r="BD158" s="24">
        <f t="shared" si="315"/>
        <v>0</v>
      </c>
      <c r="BE158" s="24">
        <f t="shared" si="316"/>
        <v>0</v>
      </c>
      <c r="BF158" s="24">
        <v>0</v>
      </c>
      <c r="BG158" s="24">
        <v>0</v>
      </c>
      <c r="BH158" s="24">
        <v>0</v>
      </c>
      <c r="BI158" s="24">
        <f t="shared" si="317"/>
        <v>0</v>
      </c>
      <c r="BJ158" s="24">
        <v>0</v>
      </c>
      <c r="BK158" s="24">
        <v>0</v>
      </c>
      <c r="BL158" s="24">
        <v>0</v>
      </c>
      <c r="BM158" s="24">
        <v>0</v>
      </c>
      <c r="BN158" s="24">
        <v>0</v>
      </c>
      <c r="BO158" s="24">
        <f t="shared" si="300"/>
        <v>0</v>
      </c>
      <c r="BP158" s="24">
        <v>0</v>
      </c>
      <c r="BQ158" s="24">
        <v>0</v>
      </c>
      <c r="BR158" s="24">
        <f t="shared" si="318"/>
        <v>0</v>
      </c>
      <c r="BS158" s="24">
        <v>0</v>
      </c>
      <c r="BT158" s="24">
        <v>0</v>
      </c>
      <c r="BU158" s="24">
        <v>0</v>
      </c>
      <c r="BV158" s="24">
        <v>0</v>
      </c>
      <c r="BW158" s="24">
        <v>0</v>
      </c>
      <c r="BX158" s="24">
        <v>0</v>
      </c>
      <c r="BY158" s="24">
        <v>0</v>
      </c>
      <c r="BZ158" s="24">
        <v>0</v>
      </c>
      <c r="CA158" s="24">
        <v>0</v>
      </c>
      <c r="CB158" s="24">
        <v>0</v>
      </c>
      <c r="CC158" s="24">
        <v>0</v>
      </c>
      <c r="CD158" s="24">
        <f t="shared" si="319"/>
        <v>10000</v>
      </c>
      <c r="CE158" s="24">
        <f t="shared" si="320"/>
        <v>10000</v>
      </c>
      <c r="CF158" s="24">
        <f t="shared" si="301"/>
        <v>10000</v>
      </c>
      <c r="CG158" s="24">
        <v>0</v>
      </c>
      <c r="CH158" s="29">
        <v>10000</v>
      </c>
      <c r="CI158" s="24">
        <f t="shared" si="321"/>
        <v>0</v>
      </c>
      <c r="CJ158" s="24">
        <v>0</v>
      </c>
      <c r="CK158" s="24">
        <v>0</v>
      </c>
      <c r="CL158" s="24">
        <v>0</v>
      </c>
      <c r="CM158" s="24">
        <v>0</v>
      </c>
      <c r="CN158" s="24">
        <f t="shared" si="322"/>
        <v>0</v>
      </c>
      <c r="CO158" s="24">
        <v>0</v>
      </c>
      <c r="CP158" s="24">
        <v>0</v>
      </c>
      <c r="CQ158" s="24">
        <v>0</v>
      </c>
      <c r="CR158" s="24"/>
      <c r="CS158" s="24"/>
      <c r="CT158" s="24">
        <v>0</v>
      </c>
      <c r="CU158" s="24">
        <v>0</v>
      </c>
      <c r="CV158" s="24">
        <v>0</v>
      </c>
      <c r="CW158" s="24">
        <f t="shared" si="302"/>
        <v>0</v>
      </c>
      <c r="CX158" s="24">
        <f t="shared" si="303"/>
        <v>0</v>
      </c>
      <c r="CY158" s="24">
        <v>0</v>
      </c>
      <c r="CZ158" s="25">
        <v>0</v>
      </c>
    </row>
    <row r="159" spans="1:104" ht="15.6" x14ac:dyDescent="0.3">
      <c r="A159" s="26" t="s">
        <v>1</v>
      </c>
      <c r="B159" s="27" t="s">
        <v>1</v>
      </c>
      <c r="C159" s="27" t="s">
        <v>96</v>
      </c>
      <c r="D159" s="28" t="s">
        <v>271</v>
      </c>
      <c r="E159" s="23">
        <f t="shared" si="310"/>
        <v>590526</v>
      </c>
      <c r="F159" s="24">
        <f t="shared" si="311"/>
        <v>590526</v>
      </c>
      <c r="G159" s="24">
        <f t="shared" si="312"/>
        <v>590526</v>
      </c>
      <c r="H159" s="29">
        <f>573000-95500</f>
        <v>477500</v>
      </c>
      <c r="I159" s="29">
        <f>130186-21698</f>
        <v>108488</v>
      </c>
      <c r="J159" s="24">
        <f>SUM(K159:P159)</f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4">
        <f>SUM(R159:S159)</f>
        <v>0</v>
      </c>
      <c r="R159" s="29">
        <v>0</v>
      </c>
      <c r="S159" s="29">
        <v>0</v>
      </c>
      <c r="T159" s="29">
        <v>0</v>
      </c>
      <c r="U159" s="29">
        <f>13830-9292</f>
        <v>4538</v>
      </c>
      <c r="V159" s="24">
        <f t="shared" si="313"/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29">
        <v>0</v>
      </c>
      <c r="AE159" s="29">
        <v>0</v>
      </c>
      <c r="AF159" s="24">
        <f t="shared" si="314"/>
        <v>0</v>
      </c>
      <c r="AG159" s="24">
        <v>0</v>
      </c>
      <c r="AH159" s="24">
        <v>0</v>
      </c>
      <c r="AI159" s="29">
        <v>0</v>
      </c>
      <c r="AJ159" s="29">
        <v>0</v>
      </c>
      <c r="AK159" s="29">
        <v>0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29">
        <v>0</v>
      </c>
      <c r="AR159" s="29">
        <v>0</v>
      </c>
      <c r="AS159" s="29">
        <v>0</v>
      </c>
      <c r="AT159" s="29">
        <v>0</v>
      </c>
      <c r="AU159" s="29">
        <v>0</v>
      </c>
      <c r="AV159" s="29">
        <v>0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29">
        <v>0</v>
      </c>
      <c r="BC159" s="29">
        <v>0</v>
      </c>
      <c r="BD159" s="24">
        <f t="shared" si="315"/>
        <v>0</v>
      </c>
      <c r="BE159" s="24">
        <f t="shared" si="316"/>
        <v>0</v>
      </c>
      <c r="BF159" s="24">
        <v>0</v>
      </c>
      <c r="BG159" s="24">
        <v>0</v>
      </c>
      <c r="BH159" s="24">
        <v>0</v>
      </c>
      <c r="BI159" s="24">
        <f t="shared" si="317"/>
        <v>0</v>
      </c>
      <c r="BJ159" s="24">
        <v>0</v>
      </c>
      <c r="BK159" s="24">
        <v>0</v>
      </c>
      <c r="BL159" s="24">
        <v>0</v>
      </c>
      <c r="BM159" s="24">
        <v>0</v>
      </c>
      <c r="BN159" s="24">
        <v>0</v>
      </c>
      <c r="BO159" s="24">
        <f>SUM(BP159)</f>
        <v>0</v>
      </c>
      <c r="BP159" s="24">
        <v>0</v>
      </c>
      <c r="BQ159" s="24">
        <v>0</v>
      </c>
      <c r="BR159" s="24">
        <f t="shared" si="318"/>
        <v>0</v>
      </c>
      <c r="BS159" s="24">
        <v>0</v>
      </c>
      <c r="BT159" s="24">
        <v>0</v>
      </c>
      <c r="BU159" s="24">
        <v>0</v>
      </c>
      <c r="BV159" s="24">
        <v>0</v>
      </c>
      <c r="BW159" s="24">
        <v>0</v>
      </c>
      <c r="BX159" s="24">
        <v>0</v>
      </c>
      <c r="BY159" s="24">
        <v>0</v>
      </c>
      <c r="BZ159" s="24">
        <v>0</v>
      </c>
      <c r="CA159" s="24">
        <v>0</v>
      </c>
      <c r="CB159" s="24">
        <v>0</v>
      </c>
      <c r="CC159" s="24">
        <v>0</v>
      </c>
      <c r="CD159" s="24">
        <f t="shared" si="319"/>
        <v>0</v>
      </c>
      <c r="CE159" s="24">
        <f t="shared" si="320"/>
        <v>0</v>
      </c>
      <c r="CF159" s="24">
        <f>SUM(CG159:CH159)</f>
        <v>0</v>
      </c>
      <c r="CG159" s="24">
        <v>0</v>
      </c>
      <c r="CH159" s="29">
        <v>0</v>
      </c>
      <c r="CI159" s="24">
        <f t="shared" si="321"/>
        <v>0</v>
      </c>
      <c r="CJ159" s="24">
        <v>0</v>
      </c>
      <c r="CK159" s="24">
        <v>0</v>
      </c>
      <c r="CL159" s="24">
        <v>0</v>
      </c>
      <c r="CM159" s="24">
        <v>0</v>
      </c>
      <c r="CN159" s="24">
        <f t="shared" si="322"/>
        <v>0</v>
      </c>
      <c r="CO159" s="24">
        <v>0</v>
      </c>
      <c r="CP159" s="24">
        <v>0</v>
      </c>
      <c r="CQ159" s="24">
        <v>0</v>
      </c>
      <c r="CR159" s="24"/>
      <c r="CS159" s="24"/>
      <c r="CT159" s="24">
        <v>0</v>
      </c>
      <c r="CU159" s="24">
        <v>0</v>
      </c>
      <c r="CV159" s="24">
        <v>0</v>
      </c>
      <c r="CW159" s="24">
        <f>SUM(CX159)</f>
        <v>0</v>
      </c>
      <c r="CX159" s="24">
        <f>SUM(CY159:CZ159)</f>
        <v>0</v>
      </c>
      <c r="CY159" s="24">
        <v>0</v>
      </c>
      <c r="CZ159" s="25">
        <v>0</v>
      </c>
    </row>
    <row r="160" spans="1:104" ht="31.2" x14ac:dyDescent="0.3">
      <c r="A160" s="26" t="s">
        <v>1</v>
      </c>
      <c r="B160" s="27" t="s">
        <v>1</v>
      </c>
      <c r="C160" s="27" t="s">
        <v>98</v>
      </c>
      <c r="D160" s="28" t="s">
        <v>582</v>
      </c>
      <c r="E160" s="23">
        <f t="shared" si="310"/>
        <v>262921</v>
      </c>
      <c r="F160" s="24">
        <f t="shared" si="311"/>
        <v>245510</v>
      </c>
      <c r="G160" s="24">
        <f t="shared" si="312"/>
        <v>245510</v>
      </c>
      <c r="H160" s="29">
        <v>188050</v>
      </c>
      <c r="I160" s="29">
        <v>47013</v>
      </c>
      <c r="J160" s="24">
        <f>SUM(K160:P160)</f>
        <v>8706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8706</v>
      </c>
      <c r="Q160" s="24">
        <f>SUM(R160:S160)</f>
        <v>1741</v>
      </c>
      <c r="R160" s="29">
        <v>1741</v>
      </c>
      <c r="S160" s="29">
        <v>0</v>
      </c>
      <c r="T160" s="29">
        <v>0</v>
      </c>
      <c r="U160" s="29">
        <v>0</v>
      </c>
      <c r="V160" s="24">
        <f t="shared" si="313"/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v>0</v>
      </c>
      <c r="AF160" s="24">
        <f t="shared" si="314"/>
        <v>0</v>
      </c>
      <c r="AG160" s="24">
        <v>0</v>
      </c>
      <c r="AH160" s="24">
        <v>0</v>
      </c>
      <c r="AI160" s="29">
        <v>0</v>
      </c>
      <c r="AJ160" s="29">
        <v>0</v>
      </c>
      <c r="AK160" s="29">
        <v>0</v>
      </c>
      <c r="AL160" s="29">
        <v>0</v>
      </c>
      <c r="AM160" s="29">
        <v>0</v>
      </c>
      <c r="AN160" s="29">
        <v>0</v>
      </c>
      <c r="AO160" s="29">
        <v>0</v>
      </c>
      <c r="AP160" s="29">
        <v>0</v>
      </c>
      <c r="AQ160" s="29">
        <v>0</v>
      </c>
      <c r="AR160" s="29">
        <v>0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0</v>
      </c>
      <c r="AY160" s="29">
        <v>0</v>
      </c>
      <c r="AZ160" s="29">
        <v>0</v>
      </c>
      <c r="BA160" s="29">
        <v>0</v>
      </c>
      <c r="BB160" s="29">
        <v>0</v>
      </c>
      <c r="BC160" s="29">
        <v>0</v>
      </c>
      <c r="BD160" s="24">
        <f t="shared" si="315"/>
        <v>0</v>
      </c>
      <c r="BE160" s="24">
        <f>SUM(BF160:BH160)</f>
        <v>0</v>
      </c>
      <c r="BF160" s="24">
        <v>0</v>
      </c>
      <c r="BG160" s="24">
        <v>0</v>
      </c>
      <c r="BH160" s="24">
        <v>0</v>
      </c>
      <c r="BI160" s="24">
        <f t="shared" si="317"/>
        <v>0</v>
      </c>
      <c r="BJ160" s="24">
        <v>0</v>
      </c>
      <c r="BK160" s="24">
        <v>0</v>
      </c>
      <c r="BL160" s="24">
        <v>0</v>
      </c>
      <c r="BM160" s="24">
        <v>0</v>
      </c>
      <c r="BN160" s="24">
        <v>0</v>
      </c>
      <c r="BO160" s="24">
        <f>SUM(BP160)</f>
        <v>0</v>
      </c>
      <c r="BP160" s="24">
        <v>0</v>
      </c>
      <c r="BQ160" s="24">
        <v>0</v>
      </c>
      <c r="BR160" s="24">
        <f t="shared" si="318"/>
        <v>0</v>
      </c>
      <c r="BS160" s="24">
        <v>0</v>
      </c>
      <c r="BT160" s="24">
        <v>0</v>
      </c>
      <c r="BU160" s="24">
        <v>0</v>
      </c>
      <c r="BV160" s="24">
        <v>0</v>
      </c>
      <c r="BW160" s="24">
        <v>0</v>
      </c>
      <c r="BX160" s="24">
        <v>0</v>
      </c>
      <c r="BY160" s="24">
        <v>0</v>
      </c>
      <c r="BZ160" s="24">
        <v>0</v>
      </c>
      <c r="CA160" s="24">
        <v>0</v>
      </c>
      <c r="CB160" s="24">
        <v>0</v>
      </c>
      <c r="CC160" s="24">
        <v>0</v>
      </c>
      <c r="CD160" s="24">
        <f t="shared" si="319"/>
        <v>17411</v>
      </c>
      <c r="CE160" s="24">
        <f t="shared" si="320"/>
        <v>17411</v>
      </c>
      <c r="CF160" s="24">
        <f>SUM(CG160:CH160)</f>
        <v>17411</v>
      </c>
      <c r="CG160" s="24">
        <v>0</v>
      </c>
      <c r="CH160" s="29">
        <v>17411</v>
      </c>
      <c r="CI160" s="24">
        <f t="shared" si="321"/>
        <v>0</v>
      </c>
      <c r="CJ160" s="24">
        <v>0</v>
      </c>
      <c r="CK160" s="24">
        <v>0</v>
      </c>
      <c r="CL160" s="24">
        <v>0</v>
      </c>
      <c r="CM160" s="24">
        <v>0</v>
      </c>
      <c r="CN160" s="24">
        <f t="shared" si="322"/>
        <v>0</v>
      </c>
      <c r="CO160" s="24">
        <v>0</v>
      </c>
      <c r="CP160" s="24">
        <v>0</v>
      </c>
      <c r="CQ160" s="24">
        <v>0</v>
      </c>
      <c r="CR160" s="24"/>
      <c r="CS160" s="24"/>
      <c r="CT160" s="24">
        <v>0</v>
      </c>
      <c r="CU160" s="24">
        <v>0</v>
      </c>
      <c r="CV160" s="24">
        <v>0</v>
      </c>
      <c r="CW160" s="24">
        <f>SUM(CX160)</f>
        <v>0</v>
      </c>
      <c r="CX160" s="24">
        <f>SUM(CY160:CZ160)</f>
        <v>0</v>
      </c>
      <c r="CY160" s="24">
        <v>0</v>
      </c>
      <c r="CZ160" s="25">
        <v>0</v>
      </c>
    </row>
    <row r="161" spans="1:104" ht="31.2" x14ac:dyDescent="0.3">
      <c r="A161" s="26" t="s">
        <v>1</v>
      </c>
      <c r="B161" s="27" t="s">
        <v>1</v>
      </c>
      <c r="C161" s="27" t="s">
        <v>98</v>
      </c>
      <c r="D161" s="28" t="s">
        <v>272</v>
      </c>
      <c r="E161" s="23">
        <f t="shared" si="310"/>
        <v>594975</v>
      </c>
      <c r="F161" s="24">
        <f t="shared" si="311"/>
        <v>594975</v>
      </c>
      <c r="G161" s="24">
        <f t="shared" si="312"/>
        <v>594975</v>
      </c>
      <c r="H161" s="29">
        <v>0</v>
      </c>
      <c r="I161" s="29">
        <v>0</v>
      </c>
      <c r="J161" s="24">
        <f t="shared" ref="J161" si="323">SUM(K161:P161)</f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4">
        <f t="shared" ref="Q161" si="324">SUM(R161:S161)</f>
        <v>0</v>
      </c>
      <c r="R161" s="29">
        <v>0</v>
      </c>
      <c r="S161" s="29">
        <v>0</v>
      </c>
      <c r="T161" s="29">
        <v>0</v>
      </c>
      <c r="U161" s="29">
        <v>0</v>
      </c>
      <c r="V161" s="24">
        <f t="shared" si="313"/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0</v>
      </c>
      <c r="AF161" s="24">
        <f t="shared" si="314"/>
        <v>594975</v>
      </c>
      <c r="AG161" s="24">
        <v>0</v>
      </c>
      <c r="AH161" s="24">
        <v>0</v>
      </c>
      <c r="AI161" s="29">
        <v>0</v>
      </c>
      <c r="AJ161" s="29">
        <v>0</v>
      </c>
      <c r="AK161" s="29">
        <v>0</v>
      </c>
      <c r="AL161" s="29">
        <v>0</v>
      </c>
      <c r="AM161" s="29">
        <v>0</v>
      </c>
      <c r="AN161" s="29">
        <v>0</v>
      </c>
      <c r="AO161" s="29">
        <v>0</v>
      </c>
      <c r="AP161" s="29">
        <v>0</v>
      </c>
      <c r="AQ161" s="29">
        <v>0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  <c r="AY161" s="29">
        <v>0</v>
      </c>
      <c r="AZ161" s="29">
        <v>0</v>
      </c>
      <c r="BA161" s="29">
        <v>0</v>
      </c>
      <c r="BB161" s="29">
        <v>0</v>
      </c>
      <c r="BC161" s="29">
        <f>668809-73834</f>
        <v>594975</v>
      </c>
      <c r="BD161" s="24">
        <f t="shared" si="315"/>
        <v>0</v>
      </c>
      <c r="BE161" s="24">
        <f t="shared" si="316"/>
        <v>0</v>
      </c>
      <c r="BF161" s="24">
        <v>0</v>
      </c>
      <c r="BG161" s="24">
        <v>0</v>
      </c>
      <c r="BH161" s="24">
        <v>0</v>
      </c>
      <c r="BI161" s="24">
        <f t="shared" si="317"/>
        <v>0</v>
      </c>
      <c r="BJ161" s="24">
        <v>0</v>
      </c>
      <c r="BK161" s="24">
        <v>0</v>
      </c>
      <c r="BL161" s="24">
        <v>0</v>
      </c>
      <c r="BM161" s="24">
        <v>0</v>
      </c>
      <c r="BN161" s="24">
        <v>0</v>
      </c>
      <c r="BO161" s="24">
        <f t="shared" ref="BO161" si="325">SUM(BP161)</f>
        <v>0</v>
      </c>
      <c r="BP161" s="24">
        <v>0</v>
      </c>
      <c r="BQ161" s="24">
        <v>0</v>
      </c>
      <c r="BR161" s="24">
        <f t="shared" si="318"/>
        <v>0</v>
      </c>
      <c r="BS161" s="24">
        <v>0</v>
      </c>
      <c r="BT161" s="24">
        <v>0</v>
      </c>
      <c r="BU161" s="24">
        <v>0</v>
      </c>
      <c r="BV161" s="24">
        <v>0</v>
      </c>
      <c r="BW161" s="24">
        <v>0</v>
      </c>
      <c r="BX161" s="24">
        <v>0</v>
      </c>
      <c r="BY161" s="24">
        <v>0</v>
      </c>
      <c r="BZ161" s="24">
        <v>0</v>
      </c>
      <c r="CA161" s="24">
        <v>0</v>
      </c>
      <c r="CB161" s="24">
        <v>0</v>
      </c>
      <c r="CC161" s="24">
        <v>0</v>
      </c>
      <c r="CD161" s="24">
        <f t="shared" si="319"/>
        <v>0</v>
      </c>
      <c r="CE161" s="24">
        <f t="shared" si="320"/>
        <v>0</v>
      </c>
      <c r="CF161" s="24">
        <f t="shared" ref="CF161" si="326">SUM(CG161:CH161)</f>
        <v>0</v>
      </c>
      <c r="CG161" s="24">
        <v>0</v>
      </c>
      <c r="CH161" s="29">
        <v>0</v>
      </c>
      <c r="CI161" s="24">
        <f t="shared" si="321"/>
        <v>0</v>
      </c>
      <c r="CJ161" s="24">
        <v>0</v>
      </c>
      <c r="CK161" s="24">
        <v>0</v>
      </c>
      <c r="CL161" s="24">
        <v>0</v>
      </c>
      <c r="CM161" s="24">
        <v>0</v>
      </c>
      <c r="CN161" s="24">
        <f t="shared" si="322"/>
        <v>0</v>
      </c>
      <c r="CO161" s="24">
        <v>0</v>
      </c>
      <c r="CP161" s="24">
        <v>0</v>
      </c>
      <c r="CQ161" s="24">
        <v>0</v>
      </c>
      <c r="CR161" s="24"/>
      <c r="CS161" s="24"/>
      <c r="CT161" s="24">
        <v>0</v>
      </c>
      <c r="CU161" s="24">
        <v>0</v>
      </c>
      <c r="CV161" s="24">
        <v>0</v>
      </c>
      <c r="CW161" s="24">
        <f t="shared" ref="CW161" si="327">SUM(CX161)</f>
        <v>0</v>
      </c>
      <c r="CX161" s="24">
        <f t="shared" ref="CX161" si="328">SUM(CY161:CZ161)</f>
        <v>0</v>
      </c>
      <c r="CY161" s="24">
        <v>0</v>
      </c>
      <c r="CZ161" s="25">
        <v>0</v>
      </c>
    </row>
    <row r="162" spans="1:104" ht="31.2" x14ac:dyDescent="0.3">
      <c r="A162" s="31" t="s">
        <v>273</v>
      </c>
      <c r="B162" s="32" t="s">
        <v>1</v>
      </c>
      <c r="C162" s="32" t="s">
        <v>1</v>
      </c>
      <c r="D162" s="33" t="s">
        <v>274</v>
      </c>
      <c r="E162" s="34">
        <f t="shared" ref="E162:AU162" si="329">SUM(E163+E166)</f>
        <v>37829267</v>
      </c>
      <c r="F162" s="35">
        <f t="shared" si="329"/>
        <v>36976337</v>
      </c>
      <c r="G162" s="35">
        <f t="shared" si="329"/>
        <v>36976337</v>
      </c>
      <c r="H162" s="35">
        <f t="shared" si="329"/>
        <v>24398604</v>
      </c>
      <c r="I162" s="35">
        <f t="shared" si="329"/>
        <v>5950356</v>
      </c>
      <c r="J162" s="35">
        <f t="shared" si="329"/>
        <v>668969</v>
      </c>
      <c r="K162" s="35">
        <f t="shared" si="329"/>
        <v>0</v>
      </c>
      <c r="L162" s="35">
        <f t="shared" si="329"/>
        <v>0</v>
      </c>
      <c r="M162" s="35">
        <f t="shared" si="329"/>
        <v>0</v>
      </c>
      <c r="N162" s="35">
        <f t="shared" si="329"/>
        <v>0</v>
      </c>
      <c r="O162" s="35">
        <f t="shared" si="329"/>
        <v>557071</v>
      </c>
      <c r="P162" s="35">
        <f t="shared" si="329"/>
        <v>111898</v>
      </c>
      <c r="Q162" s="35">
        <f t="shared" si="329"/>
        <v>39082</v>
      </c>
      <c r="R162" s="35">
        <f t="shared" si="329"/>
        <v>0</v>
      </c>
      <c r="S162" s="35">
        <f t="shared" si="329"/>
        <v>39082</v>
      </c>
      <c r="T162" s="35">
        <f t="shared" si="329"/>
        <v>0</v>
      </c>
      <c r="U162" s="35">
        <f t="shared" si="329"/>
        <v>167709</v>
      </c>
      <c r="V162" s="35">
        <f t="shared" si="329"/>
        <v>165899</v>
      </c>
      <c r="W162" s="35">
        <f t="shared" si="329"/>
        <v>4238</v>
      </c>
      <c r="X162" s="35">
        <f t="shared" si="329"/>
        <v>0</v>
      </c>
      <c r="Y162" s="35">
        <f t="shared" si="329"/>
        <v>81657</v>
      </c>
      <c r="Z162" s="35">
        <f t="shared" si="329"/>
        <v>0</v>
      </c>
      <c r="AA162" s="35">
        <f t="shared" si="329"/>
        <v>0</v>
      </c>
      <c r="AB162" s="35">
        <f t="shared" si="329"/>
        <v>80004</v>
      </c>
      <c r="AC162" s="35">
        <f t="shared" si="329"/>
        <v>0</v>
      </c>
      <c r="AD162" s="35">
        <f t="shared" si="329"/>
        <v>0</v>
      </c>
      <c r="AE162" s="35">
        <f t="shared" si="329"/>
        <v>0</v>
      </c>
      <c r="AF162" s="35">
        <f t="shared" si="329"/>
        <v>5585718</v>
      </c>
      <c r="AG162" s="35">
        <f t="shared" si="329"/>
        <v>0</v>
      </c>
      <c r="AH162" s="35">
        <f t="shared" si="329"/>
        <v>0</v>
      </c>
      <c r="AI162" s="35">
        <f t="shared" si="329"/>
        <v>0</v>
      </c>
      <c r="AJ162" s="35">
        <f t="shared" si="329"/>
        <v>6801</v>
      </c>
      <c r="AK162" s="35">
        <f t="shared" si="329"/>
        <v>0</v>
      </c>
      <c r="AL162" s="35">
        <f t="shared" si="329"/>
        <v>0</v>
      </c>
      <c r="AM162" s="35">
        <f t="shared" si="329"/>
        <v>0</v>
      </c>
      <c r="AN162" s="35">
        <f t="shared" si="329"/>
        <v>416</v>
      </c>
      <c r="AO162" s="35">
        <f t="shared" si="329"/>
        <v>1741723</v>
      </c>
      <c r="AP162" s="35">
        <f t="shared" si="329"/>
        <v>0</v>
      </c>
      <c r="AQ162" s="35">
        <f t="shared" si="329"/>
        <v>0</v>
      </c>
      <c r="AR162" s="35"/>
      <c r="AS162" s="35">
        <f t="shared" si="329"/>
        <v>0</v>
      </c>
      <c r="AT162" s="35">
        <f t="shared" si="329"/>
        <v>45182</v>
      </c>
      <c r="AU162" s="35">
        <f t="shared" si="329"/>
        <v>0</v>
      </c>
      <c r="AV162" s="35"/>
      <c r="AW162" s="35"/>
      <c r="AX162" s="35">
        <f>SUM(AX163+AX166)</f>
        <v>0</v>
      </c>
      <c r="AY162" s="35">
        <f>SUM(AY163+AY166)</f>
        <v>0</v>
      </c>
      <c r="AZ162" s="35">
        <f>SUM(AZ163+AZ166)</f>
        <v>0</v>
      </c>
      <c r="BA162" s="35">
        <f>SUM(BA163+BA166)</f>
        <v>0</v>
      </c>
      <c r="BB162" s="35"/>
      <c r="BC162" s="35">
        <f t="shared" ref="BC162:CQ162" si="330">SUM(BC163+BC166)</f>
        <v>3791596</v>
      </c>
      <c r="BD162" s="35">
        <f t="shared" si="330"/>
        <v>0</v>
      </c>
      <c r="BE162" s="35">
        <f t="shared" si="330"/>
        <v>0</v>
      </c>
      <c r="BF162" s="35">
        <f t="shared" si="330"/>
        <v>0</v>
      </c>
      <c r="BG162" s="35">
        <f t="shared" si="330"/>
        <v>0</v>
      </c>
      <c r="BH162" s="35">
        <f t="shared" si="330"/>
        <v>0</v>
      </c>
      <c r="BI162" s="35">
        <f t="shared" si="330"/>
        <v>0</v>
      </c>
      <c r="BJ162" s="35">
        <f t="shared" si="330"/>
        <v>0</v>
      </c>
      <c r="BK162" s="35">
        <f t="shared" ref="BK162" si="331">SUM(BK163+BK166)</f>
        <v>0</v>
      </c>
      <c r="BL162" s="35">
        <f t="shared" si="330"/>
        <v>0</v>
      </c>
      <c r="BM162" s="35">
        <f t="shared" si="330"/>
        <v>0</v>
      </c>
      <c r="BN162" s="35">
        <f t="shared" si="330"/>
        <v>0</v>
      </c>
      <c r="BO162" s="35">
        <f t="shared" si="330"/>
        <v>0</v>
      </c>
      <c r="BP162" s="35">
        <f t="shared" si="330"/>
        <v>0</v>
      </c>
      <c r="BQ162" s="35">
        <f t="shared" si="330"/>
        <v>0</v>
      </c>
      <c r="BR162" s="35">
        <f t="shared" si="330"/>
        <v>0</v>
      </c>
      <c r="BS162" s="35">
        <f t="shared" si="330"/>
        <v>0</v>
      </c>
      <c r="BT162" s="35">
        <f t="shared" si="330"/>
        <v>0</v>
      </c>
      <c r="BU162" s="35">
        <f t="shared" si="330"/>
        <v>0</v>
      </c>
      <c r="BV162" s="35">
        <f t="shared" si="330"/>
        <v>0</v>
      </c>
      <c r="BW162" s="35">
        <f t="shared" si="330"/>
        <v>0</v>
      </c>
      <c r="BX162" s="35">
        <f t="shared" si="330"/>
        <v>0</v>
      </c>
      <c r="BY162" s="35">
        <f t="shared" si="330"/>
        <v>0</v>
      </c>
      <c r="BZ162" s="35">
        <f t="shared" si="330"/>
        <v>0</v>
      </c>
      <c r="CA162" s="35">
        <f t="shared" si="330"/>
        <v>0</v>
      </c>
      <c r="CB162" s="35">
        <f t="shared" si="330"/>
        <v>0</v>
      </c>
      <c r="CC162" s="35">
        <f t="shared" si="330"/>
        <v>0</v>
      </c>
      <c r="CD162" s="35">
        <f t="shared" si="330"/>
        <v>852930</v>
      </c>
      <c r="CE162" s="35">
        <f t="shared" si="330"/>
        <v>852930</v>
      </c>
      <c r="CF162" s="35">
        <f t="shared" si="330"/>
        <v>852930</v>
      </c>
      <c r="CG162" s="35">
        <f t="shared" si="330"/>
        <v>0</v>
      </c>
      <c r="CH162" s="35">
        <f t="shared" si="330"/>
        <v>852930</v>
      </c>
      <c r="CI162" s="35">
        <f t="shared" si="330"/>
        <v>0</v>
      </c>
      <c r="CJ162" s="35">
        <f t="shared" si="330"/>
        <v>0</v>
      </c>
      <c r="CK162" s="35">
        <f t="shared" si="330"/>
        <v>0</v>
      </c>
      <c r="CL162" s="35">
        <f t="shared" si="330"/>
        <v>0</v>
      </c>
      <c r="CM162" s="35">
        <f t="shared" si="330"/>
        <v>0</v>
      </c>
      <c r="CN162" s="35">
        <f t="shared" si="330"/>
        <v>0</v>
      </c>
      <c r="CO162" s="35">
        <f t="shared" si="330"/>
        <v>0</v>
      </c>
      <c r="CP162" s="35">
        <f t="shared" si="330"/>
        <v>0</v>
      </c>
      <c r="CQ162" s="35">
        <f t="shared" si="330"/>
        <v>0</v>
      </c>
      <c r="CR162" s="35"/>
      <c r="CS162" s="35"/>
      <c r="CT162" s="35">
        <f t="shared" ref="CT162:CZ162" si="332">SUM(CT163+CT166)</f>
        <v>0</v>
      </c>
      <c r="CU162" s="35">
        <f t="shared" si="332"/>
        <v>0</v>
      </c>
      <c r="CV162" s="35">
        <f t="shared" si="332"/>
        <v>0</v>
      </c>
      <c r="CW162" s="35">
        <f t="shared" si="332"/>
        <v>0</v>
      </c>
      <c r="CX162" s="35">
        <f t="shared" si="332"/>
        <v>0</v>
      </c>
      <c r="CY162" s="35">
        <f t="shared" si="332"/>
        <v>0</v>
      </c>
      <c r="CZ162" s="36">
        <f t="shared" si="332"/>
        <v>0</v>
      </c>
    </row>
    <row r="163" spans="1:104" ht="15.6" x14ac:dyDescent="0.3">
      <c r="A163" s="20"/>
      <c r="B163" s="21" t="s">
        <v>275</v>
      </c>
      <c r="C163" s="21" t="s">
        <v>1</v>
      </c>
      <c r="D163" s="22" t="s">
        <v>276</v>
      </c>
      <c r="E163" s="23">
        <f t="shared" ref="E163:AU163" si="333">SUM(E164:E165)</f>
        <v>29447617</v>
      </c>
      <c r="F163" s="24">
        <f t="shared" si="333"/>
        <v>28742216</v>
      </c>
      <c r="G163" s="24">
        <f t="shared" si="333"/>
        <v>28742216</v>
      </c>
      <c r="H163" s="24">
        <f t="shared" si="333"/>
        <v>19174831</v>
      </c>
      <c r="I163" s="24">
        <f t="shared" si="333"/>
        <v>4735729</v>
      </c>
      <c r="J163" s="24">
        <f t="shared" si="333"/>
        <v>637477</v>
      </c>
      <c r="K163" s="24">
        <f t="shared" si="333"/>
        <v>0</v>
      </c>
      <c r="L163" s="24">
        <f t="shared" si="333"/>
        <v>0</v>
      </c>
      <c r="M163" s="24">
        <f t="shared" si="333"/>
        <v>0</v>
      </c>
      <c r="N163" s="24">
        <f t="shared" si="333"/>
        <v>0</v>
      </c>
      <c r="O163" s="24">
        <f t="shared" si="333"/>
        <v>525579</v>
      </c>
      <c r="P163" s="24">
        <f t="shared" si="333"/>
        <v>111898</v>
      </c>
      <c r="Q163" s="24">
        <f t="shared" si="333"/>
        <v>39082</v>
      </c>
      <c r="R163" s="24">
        <f t="shared" si="333"/>
        <v>0</v>
      </c>
      <c r="S163" s="24">
        <f t="shared" si="333"/>
        <v>39082</v>
      </c>
      <c r="T163" s="24">
        <f t="shared" si="333"/>
        <v>0</v>
      </c>
      <c r="U163" s="24">
        <f t="shared" si="333"/>
        <v>149857</v>
      </c>
      <c r="V163" s="24">
        <f t="shared" si="333"/>
        <v>161661</v>
      </c>
      <c r="W163" s="24">
        <f t="shared" si="333"/>
        <v>0</v>
      </c>
      <c r="X163" s="24">
        <f t="shared" si="333"/>
        <v>0</v>
      </c>
      <c r="Y163" s="24">
        <f t="shared" si="333"/>
        <v>81657</v>
      </c>
      <c r="Z163" s="24">
        <f t="shared" si="333"/>
        <v>0</v>
      </c>
      <c r="AA163" s="24">
        <f t="shared" si="333"/>
        <v>0</v>
      </c>
      <c r="AB163" s="24">
        <f t="shared" si="333"/>
        <v>80004</v>
      </c>
      <c r="AC163" s="24">
        <f t="shared" si="333"/>
        <v>0</v>
      </c>
      <c r="AD163" s="24">
        <f t="shared" si="333"/>
        <v>0</v>
      </c>
      <c r="AE163" s="24">
        <f t="shared" si="333"/>
        <v>0</v>
      </c>
      <c r="AF163" s="24">
        <f t="shared" si="333"/>
        <v>3843579</v>
      </c>
      <c r="AG163" s="24">
        <f t="shared" si="333"/>
        <v>0</v>
      </c>
      <c r="AH163" s="24">
        <f t="shared" si="333"/>
        <v>0</v>
      </c>
      <c r="AI163" s="24">
        <f t="shared" si="333"/>
        <v>0</v>
      </c>
      <c r="AJ163" s="24">
        <f t="shared" si="333"/>
        <v>6801</v>
      </c>
      <c r="AK163" s="24">
        <f t="shared" si="333"/>
        <v>0</v>
      </c>
      <c r="AL163" s="24">
        <f t="shared" si="333"/>
        <v>0</v>
      </c>
      <c r="AM163" s="24">
        <f t="shared" si="333"/>
        <v>0</v>
      </c>
      <c r="AN163" s="24">
        <f t="shared" si="333"/>
        <v>0</v>
      </c>
      <c r="AO163" s="24">
        <f t="shared" si="333"/>
        <v>0</v>
      </c>
      <c r="AP163" s="24">
        <f t="shared" si="333"/>
        <v>0</v>
      </c>
      <c r="AQ163" s="24">
        <f t="shared" si="333"/>
        <v>0</v>
      </c>
      <c r="AR163" s="24"/>
      <c r="AS163" s="24">
        <f t="shared" si="333"/>
        <v>0</v>
      </c>
      <c r="AT163" s="24">
        <f t="shared" si="333"/>
        <v>45182</v>
      </c>
      <c r="AU163" s="24">
        <f t="shared" si="333"/>
        <v>0</v>
      </c>
      <c r="AV163" s="24"/>
      <c r="AW163" s="24"/>
      <c r="AX163" s="24">
        <f>SUM(AX164:AX165)</f>
        <v>0</v>
      </c>
      <c r="AY163" s="24">
        <f>SUM(AY164:AY165)</f>
        <v>0</v>
      </c>
      <c r="AZ163" s="24">
        <f>SUM(AZ164:AZ165)</f>
        <v>0</v>
      </c>
      <c r="BA163" s="24">
        <f>SUM(BA164:BA165)</f>
        <v>0</v>
      </c>
      <c r="BB163" s="24"/>
      <c r="BC163" s="24">
        <f t="shared" ref="BC163:CQ163" si="334">SUM(BC164:BC165)</f>
        <v>3791596</v>
      </c>
      <c r="BD163" s="24">
        <f t="shared" si="334"/>
        <v>0</v>
      </c>
      <c r="BE163" s="24">
        <f t="shared" si="334"/>
        <v>0</v>
      </c>
      <c r="BF163" s="24">
        <f t="shared" si="334"/>
        <v>0</v>
      </c>
      <c r="BG163" s="24">
        <f t="shared" si="334"/>
        <v>0</v>
      </c>
      <c r="BH163" s="24">
        <f t="shared" si="334"/>
        <v>0</v>
      </c>
      <c r="BI163" s="24">
        <f t="shared" si="334"/>
        <v>0</v>
      </c>
      <c r="BJ163" s="24">
        <f t="shared" si="334"/>
        <v>0</v>
      </c>
      <c r="BK163" s="24">
        <f t="shared" ref="BK163" si="335">SUM(BK164:BK165)</f>
        <v>0</v>
      </c>
      <c r="BL163" s="24">
        <f t="shared" si="334"/>
        <v>0</v>
      </c>
      <c r="BM163" s="24">
        <f t="shared" si="334"/>
        <v>0</v>
      </c>
      <c r="BN163" s="24">
        <f t="shared" si="334"/>
        <v>0</v>
      </c>
      <c r="BO163" s="24">
        <f t="shared" si="334"/>
        <v>0</v>
      </c>
      <c r="BP163" s="24">
        <f t="shared" si="334"/>
        <v>0</v>
      </c>
      <c r="BQ163" s="24">
        <f t="shared" si="334"/>
        <v>0</v>
      </c>
      <c r="BR163" s="24">
        <f t="shared" si="334"/>
        <v>0</v>
      </c>
      <c r="BS163" s="24">
        <f t="shared" si="334"/>
        <v>0</v>
      </c>
      <c r="BT163" s="24">
        <f t="shared" si="334"/>
        <v>0</v>
      </c>
      <c r="BU163" s="24">
        <f t="shared" si="334"/>
        <v>0</v>
      </c>
      <c r="BV163" s="24">
        <f t="shared" si="334"/>
        <v>0</v>
      </c>
      <c r="BW163" s="24">
        <f t="shared" si="334"/>
        <v>0</v>
      </c>
      <c r="BX163" s="24">
        <f t="shared" si="334"/>
        <v>0</v>
      </c>
      <c r="BY163" s="24">
        <f t="shared" si="334"/>
        <v>0</v>
      </c>
      <c r="BZ163" s="24">
        <f t="shared" si="334"/>
        <v>0</v>
      </c>
      <c r="CA163" s="24">
        <f t="shared" si="334"/>
        <v>0</v>
      </c>
      <c r="CB163" s="24">
        <f t="shared" si="334"/>
        <v>0</v>
      </c>
      <c r="CC163" s="24">
        <f t="shared" si="334"/>
        <v>0</v>
      </c>
      <c r="CD163" s="24">
        <f t="shared" si="334"/>
        <v>705401</v>
      </c>
      <c r="CE163" s="24">
        <f t="shared" si="334"/>
        <v>705401</v>
      </c>
      <c r="CF163" s="24">
        <f t="shared" si="334"/>
        <v>705401</v>
      </c>
      <c r="CG163" s="24">
        <f t="shared" si="334"/>
        <v>0</v>
      </c>
      <c r="CH163" s="24">
        <f t="shared" si="334"/>
        <v>705401</v>
      </c>
      <c r="CI163" s="24">
        <f t="shared" si="334"/>
        <v>0</v>
      </c>
      <c r="CJ163" s="24">
        <f t="shared" si="334"/>
        <v>0</v>
      </c>
      <c r="CK163" s="24">
        <f t="shared" si="334"/>
        <v>0</v>
      </c>
      <c r="CL163" s="24">
        <f t="shared" si="334"/>
        <v>0</v>
      </c>
      <c r="CM163" s="24">
        <f t="shared" si="334"/>
        <v>0</v>
      </c>
      <c r="CN163" s="24">
        <f t="shared" si="334"/>
        <v>0</v>
      </c>
      <c r="CO163" s="24">
        <f t="shared" si="334"/>
        <v>0</v>
      </c>
      <c r="CP163" s="24">
        <f t="shared" si="334"/>
        <v>0</v>
      </c>
      <c r="CQ163" s="24">
        <f t="shared" si="334"/>
        <v>0</v>
      </c>
      <c r="CR163" s="24"/>
      <c r="CS163" s="24"/>
      <c r="CT163" s="24">
        <f t="shared" ref="CT163:CZ163" si="336">SUM(CT164:CT165)</f>
        <v>0</v>
      </c>
      <c r="CU163" s="24">
        <f t="shared" si="336"/>
        <v>0</v>
      </c>
      <c r="CV163" s="24">
        <f t="shared" si="336"/>
        <v>0</v>
      </c>
      <c r="CW163" s="24">
        <f t="shared" si="336"/>
        <v>0</v>
      </c>
      <c r="CX163" s="24">
        <f t="shared" si="336"/>
        <v>0</v>
      </c>
      <c r="CY163" s="24">
        <f t="shared" si="336"/>
        <v>0</v>
      </c>
      <c r="CZ163" s="25">
        <f t="shared" si="336"/>
        <v>0</v>
      </c>
    </row>
    <row r="164" spans="1:104" ht="31.2" x14ac:dyDescent="0.3">
      <c r="A164" s="26"/>
      <c r="B164" s="27"/>
      <c r="C164" s="40" t="s">
        <v>106</v>
      </c>
      <c r="D164" s="39" t="s">
        <v>277</v>
      </c>
      <c r="E164" s="23">
        <f>SUM(F164+CD164+CW164)</f>
        <v>25657072</v>
      </c>
      <c r="F164" s="24">
        <f>SUM(G164+BD164)</f>
        <v>24951671</v>
      </c>
      <c r="G164" s="24">
        <f>SUM(H164+I164+J164+Q164+T164+U164+V164+AF164+AE164)</f>
        <v>24951671</v>
      </c>
      <c r="H164" s="29">
        <f>22052896-2878065</f>
        <v>19174831</v>
      </c>
      <c r="I164" s="29">
        <f>5319449-583720</f>
        <v>4735729</v>
      </c>
      <c r="J164" s="24">
        <f t="shared" ref="J164" si="337">SUM(K164:P164)</f>
        <v>637477</v>
      </c>
      <c r="K164" s="29">
        <v>0</v>
      </c>
      <c r="L164" s="29">
        <v>0</v>
      </c>
      <c r="M164" s="29">
        <v>0</v>
      </c>
      <c r="N164" s="29">
        <v>0</v>
      </c>
      <c r="O164" s="29">
        <f>406871+118708</f>
        <v>525579</v>
      </c>
      <c r="P164" s="29">
        <f>28823+83075</f>
        <v>111898</v>
      </c>
      <c r="Q164" s="24">
        <f t="shared" ref="Q164" si="338">SUM(R164:S164)</f>
        <v>39082</v>
      </c>
      <c r="R164" s="24">
        <v>0</v>
      </c>
      <c r="S164" s="42">
        <f>39297-215</f>
        <v>39082</v>
      </c>
      <c r="T164" s="42">
        <v>0</v>
      </c>
      <c r="U164" s="42">
        <f>149857</f>
        <v>149857</v>
      </c>
      <c r="V164" s="24">
        <f t="shared" ref="V164" si="339">SUM(W164:AD164)</f>
        <v>161661</v>
      </c>
      <c r="W164" s="29">
        <v>0</v>
      </c>
      <c r="X164" s="29">
        <v>0</v>
      </c>
      <c r="Y164" s="29">
        <v>81657</v>
      </c>
      <c r="Z164" s="29">
        <v>0</v>
      </c>
      <c r="AA164" s="29">
        <v>0</v>
      </c>
      <c r="AB164" s="29">
        <v>80004</v>
      </c>
      <c r="AC164" s="29">
        <v>0</v>
      </c>
      <c r="AD164" s="29">
        <v>0</v>
      </c>
      <c r="AE164" s="29">
        <v>0</v>
      </c>
      <c r="AF164" s="24">
        <f>SUM(AG164:BC164)</f>
        <v>53034</v>
      </c>
      <c r="AG164" s="24">
        <v>0</v>
      </c>
      <c r="AH164" s="24">
        <v>0</v>
      </c>
      <c r="AI164" s="29">
        <v>0</v>
      </c>
      <c r="AJ164" s="29">
        <v>6801</v>
      </c>
      <c r="AK164" s="29">
        <v>0</v>
      </c>
      <c r="AL164" s="29">
        <v>0</v>
      </c>
      <c r="AM164" s="29">
        <v>0</v>
      </c>
      <c r="AN164" s="29">
        <f>202674-202674</f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45182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f>7529-6478</f>
        <v>1051</v>
      </c>
      <c r="BD164" s="24">
        <f>SUM(BE164+BI164+BM164+BO164+BR164)</f>
        <v>0</v>
      </c>
      <c r="BE164" s="24">
        <f>SUM(BF164:BH164)</f>
        <v>0</v>
      </c>
      <c r="BF164" s="24">
        <v>0</v>
      </c>
      <c r="BG164" s="24">
        <v>0</v>
      </c>
      <c r="BH164" s="24">
        <v>0</v>
      </c>
      <c r="BI164" s="24">
        <f>SUM(BL164:BL164)</f>
        <v>0</v>
      </c>
      <c r="BJ164" s="24">
        <v>0</v>
      </c>
      <c r="BK164" s="24">
        <v>0</v>
      </c>
      <c r="BL164" s="24">
        <v>0</v>
      </c>
      <c r="BM164" s="24">
        <v>0</v>
      </c>
      <c r="BN164" s="24">
        <v>0</v>
      </c>
      <c r="BO164" s="24">
        <f t="shared" ref="BO164" si="340">SUM(BP164)</f>
        <v>0</v>
      </c>
      <c r="BP164" s="24">
        <v>0</v>
      </c>
      <c r="BQ164" s="24">
        <v>0</v>
      </c>
      <c r="BR164" s="24">
        <f>SUM(BS164:CC164)</f>
        <v>0</v>
      </c>
      <c r="BS164" s="24">
        <v>0</v>
      </c>
      <c r="BT164" s="24">
        <v>0</v>
      </c>
      <c r="BU164" s="24">
        <v>0</v>
      </c>
      <c r="BV164" s="24">
        <v>0</v>
      </c>
      <c r="BW164" s="24">
        <v>0</v>
      </c>
      <c r="BX164" s="24">
        <v>0</v>
      </c>
      <c r="BY164" s="24">
        <v>0</v>
      </c>
      <c r="BZ164" s="24">
        <v>0</v>
      </c>
      <c r="CA164" s="24">
        <v>0</v>
      </c>
      <c r="CB164" s="24">
        <v>0</v>
      </c>
      <c r="CC164" s="24">
        <v>0</v>
      </c>
      <c r="CD164" s="24">
        <f>SUM(CE164+CV164)</f>
        <v>705401</v>
      </c>
      <c r="CE164" s="24">
        <f>SUM(CF164+CI164+CN164)</f>
        <v>705401</v>
      </c>
      <c r="CF164" s="24">
        <f t="shared" ref="CF164" si="341">SUM(CG164:CH164)</f>
        <v>705401</v>
      </c>
      <c r="CG164" s="24">
        <v>0</v>
      </c>
      <c r="CH164" s="29">
        <f>756054-50653</f>
        <v>705401</v>
      </c>
      <c r="CI164" s="24">
        <f>SUM(CJ164:CM164)</f>
        <v>0</v>
      </c>
      <c r="CJ164" s="24">
        <v>0</v>
      </c>
      <c r="CK164" s="24">
        <v>0</v>
      </c>
      <c r="CL164" s="24">
        <v>0</v>
      </c>
      <c r="CM164" s="24">
        <v>0</v>
      </c>
      <c r="CN164" s="24">
        <f>SUM(CO164:CS164)</f>
        <v>0</v>
      </c>
      <c r="CO164" s="24">
        <v>0</v>
      </c>
      <c r="CP164" s="24">
        <v>0</v>
      </c>
      <c r="CQ164" s="24">
        <v>0</v>
      </c>
      <c r="CR164" s="24"/>
      <c r="CS164" s="24"/>
      <c r="CT164" s="24">
        <v>0</v>
      </c>
      <c r="CU164" s="24">
        <v>0</v>
      </c>
      <c r="CV164" s="24">
        <v>0</v>
      </c>
      <c r="CW164" s="24">
        <f t="shared" ref="CW164" si="342">SUM(CX164)</f>
        <v>0</v>
      </c>
      <c r="CX164" s="24">
        <f t="shared" ref="CX164" si="343">SUM(CY164:CZ164)</f>
        <v>0</v>
      </c>
      <c r="CY164" s="24">
        <v>0</v>
      </c>
      <c r="CZ164" s="25">
        <v>0</v>
      </c>
    </row>
    <row r="165" spans="1:104" ht="31.2" x14ac:dyDescent="0.3">
      <c r="A165" s="26"/>
      <c r="B165" s="27" t="s">
        <v>1</v>
      </c>
      <c r="C165" s="40" t="s">
        <v>106</v>
      </c>
      <c r="D165" s="39" t="s">
        <v>278</v>
      </c>
      <c r="E165" s="23">
        <f>SUM(F165+CD165+CW165)</f>
        <v>3790545</v>
      </c>
      <c r="F165" s="24">
        <f>SUM(G165+BD165)</f>
        <v>3790545</v>
      </c>
      <c r="G165" s="24">
        <f>SUM(H165+I165+J165+Q165+T165+U165+V165+AF165+AE165)</f>
        <v>3790545</v>
      </c>
      <c r="H165" s="29">
        <v>0</v>
      </c>
      <c r="I165" s="29">
        <v>0</v>
      </c>
      <c r="J165" s="24">
        <f t="shared" si="297"/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4">
        <f t="shared" si="298"/>
        <v>0</v>
      </c>
      <c r="R165" s="24">
        <v>0</v>
      </c>
      <c r="S165" s="29">
        <v>0</v>
      </c>
      <c r="T165" s="29">
        <v>0</v>
      </c>
      <c r="U165" s="29">
        <v>0</v>
      </c>
      <c r="V165" s="24">
        <f t="shared" ref="V165" si="344">SUM(W165:AD165)</f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4">
        <f>SUM(AG165:BC165)</f>
        <v>3790545</v>
      </c>
      <c r="AG165" s="24">
        <v>0</v>
      </c>
      <c r="AH165" s="24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f>8000000-1602882-2606573</f>
        <v>3790545</v>
      </c>
      <c r="BD165" s="24">
        <f>SUM(BE165+BI165+BM165+BO165+BR165)</f>
        <v>0</v>
      </c>
      <c r="BE165" s="24">
        <f>SUM(BF165:BH165)</f>
        <v>0</v>
      </c>
      <c r="BF165" s="24">
        <v>0</v>
      </c>
      <c r="BG165" s="24">
        <v>0</v>
      </c>
      <c r="BH165" s="24">
        <v>0</v>
      </c>
      <c r="BI165" s="24">
        <f>SUM(BL165:BL165)</f>
        <v>0</v>
      </c>
      <c r="BJ165" s="24">
        <v>0</v>
      </c>
      <c r="BK165" s="24">
        <v>0</v>
      </c>
      <c r="BL165" s="24">
        <v>0</v>
      </c>
      <c r="BM165" s="24">
        <v>0</v>
      </c>
      <c r="BN165" s="24">
        <v>0</v>
      </c>
      <c r="BO165" s="24">
        <f t="shared" si="300"/>
        <v>0</v>
      </c>
      <c r="BP165" s="24">
        <v>0</v>
      </c>
      <c r="BQ165" s="24">
        <v>0</v>
      </c>
      <c r="BR165" s="24">
        <f>SUM(BS165:CC165)</f>
        <v>0</v>
      </c>
      <c r="BS165" s="24">
        <v>0</v>
      </c>
      <c r="BT165" s="24">
        <v>0</v>
      </c>
      <c r="BU165" s="24">
        <v>0</v>
      </c>
      <c r="BV165" s="24">
        <v>0</v>
      </c>
      <c r="BW165" s="24">
        <v>0</v>
      </c>
      <c r="BX165" s="24">
        <v>0</v>
      </c>
      <c r="BY165" s="24">
        <v>0</v>
      </c>
      <c r="BZ165" s="24">
        <v>0</v>
      </c>
      <c r="CA165" s="24">
        <v>0</v>
      </c>
      <c r="CB165" s="24">
        <v>0</v>
      </c>
      <c r="CC165" s="24">
        <v>0</v>
      </c>
      <c r="CD165" s="24">
        <f>SUM(CE165+CV165)</f>
        <v>0</v>
      </c>
      <c r="CE165" s="24">
        <f>SUM(CF165+CI165+CN165)</f>
        <v>0</v>
      </c>
      <c r="CF165" s="24">
        <f t="shared" si="301"/>
        <v>0</v>
      </c>
      <c r="CG165" s="24">
        <v>0</v>
      </c>
      <c r="CH165" s="24">
        <v>0</v>
      </c>
      <c r="CI165" s="24">
        <f>SUM(CJ165:CM165)</f>
        <v>0</v>
      </c>
      <c r="CJ165" s="24">
        <v>0</v>
      </c>
      <c r="CK165" s="24">
        <v>0</v>
      </c>
      <c r="CL165" s="24">
        <v>0</v>
      </c>
      <c r="CM165" s="24">
        <v>0</v>
      </c>
      <c r="CN165" s="24">
        <f>SUM(CO165:CS165)</f>
        <v>0</v>
      </c>
      <c r="CO165" s="24">
        <v>0</v>
      </c>
      <c r="CP165" s="24">
        <v>0</v>
      </c>
      <c r="CQ165" s="24">
        <v>0</v>
      </c>
      <c r="CR165" s="24"/>
      <c r="CS165" s="24"/>
      <c r="CT165" s="24">
        <v>0</v>
      </c>
      <c r="CU165" s="24">
        <v>0</v>
      </c>
      <c r="CV165" s="24">
        <v>0</v>
      </c>
      <c r="CW165" s="24">
        <f t="shared" si="302"/>
        <v>0</v>
      </c>
      <c r="CX165" s="24">
        <f t="shared" si="303"/>
        <v>0</v>
      </c>
      <c r="CY165" s="24">
        <v>0</v>
      </c>
      <c r="CZ165" s="25">
        <v>0</v>
      </c>
    </row>
    <row r="166" spans="1:104" ht="15.6" x14ac:dyDescent="0.3">
      <c r="A166" s="20"/>
      <c r="B166" s="21" t="s">
        <v>279</v>
      </c>
      <c r="C166" s="21" t="s">
        <v>1</v>
      </c>
      <c r="D166" s="22" t="s">
        <v>280</v>
      </c>
      <c r="E166" s="23">
        <f t="shared" ref="E166:AU166" si="345">SUM(E167:E168)</f>
        <v>8381650</v>
      </c>
      <c r="F166" s="24">
        <f t="shared" si="345"/>
        <v>8234121</v>
      </c>
      <c r="G166" s="24">
        <f t="shared" si="345"/>
        <v>8234121</v>
      </c>
      <c r="H166" s="24">
        <f t="shared" si="345"/>
        <v>5223773</v>
      </c>
      <c r="I166" s="24">
        <f t="shared" si="345"/>
        <v>1214627</v>
      </c>
      <c r="J166" s="24">
        <f t="shared" si="345"/>
        <v>31492</v>
      </c>
      <c r="K166" s="24">
        <f t="shared" si="345"/>
        <v>0</v>
      </c>
      <c r="L166" s="24">
        <f t="shared" si="345"/>
        <v>0</v>
      </c>
      <c r="M166" s="24">
        <f t="shared" si="345"/>
        <v>0</v>
      </c>
      <c r="N166" s="24">
        <f t="shared" si="345"/>
        <v>0</v>
      </c>
      <c r="O166" s="24">
        <f t="shared" si="345"/>
        <v>31492</v>
      </c>
      <c r="P166" s="24">
        <f t="shared" si="345"/>
        <v>0</v>
      </c>
      <c r="Q166" s="24">
        <f t="shared" si="345"/>
        <v>0</v>
      </c>
      <c r="R166" s="24">
        <f t="shared" si="345"/>
        <v>0</v>
      </c>
      <c r="S166" s="24">
        <f t="shared" si="345"/>
        <v>0</v>
      </c>
      <c r="T166" s="24">
        <f t="shared" si="345"/>
        <v>0</v>
      </c>
      <c r="U166" s="24">
        <f t="shared" si="345"/>
        <v>17852</v>
      </c>
      <c r="V166" s="24">
        <f t="shared" si="345"/>
        <v>4238</v>
      </c>
      <c r="W166" s="24">
        <f t="shared" si="345"/>
        <v>4238</v>
      </c>
      <c r="X166" s="24">
        <f t="shared" si="345"/>
        <v>0</v>
      </c>
      <c r="Y166" s="24">
        <f t="shared" si="345"/>
        <v>0</v>
      </c>
      <c r="Z166" s="24">
        <f t="shared" si="345"/>
        <v>0</v>
      </c>
      <c r="AA166" s="24">
        <f t="shared" si="345"/>
        <v>0</v>
      </c>
      <c r="AB166" s="24">
        <f t="shared" si="345"/>
        <v>0</v>
      </c>
      <c r="AC166" s="24">
        <f t="shared" si="345"/>
        <v>0</v>
      </c>
      <c r="AD166" s="24">
        <f t="shared" si="345"/>
        <v>0</v>
      </c>
      <c r="AE166" s="24">
        <f t="shared" si="345"/>
        <v>0</v>
      </c>
      <c r="AF166" s="24">
        <f t="shared" si="345"/>
        <v>1742139</v>
      </c>
      <c r="AG166" s="24">
        <f t="shared" si="345"/>
        <v>0</v>
      </c>
      <c r="AH166" s="24">
        <f t="shared" si="345"/>
        <v>0</v>
      </c>
      <c r="AI166" s="24">
        <f t="shared" si="345"/>
        <v>0</v>
      </c>
      <c r="AJ166" s="24">
        <f t="shared" si="345"/>
        <v>0</v>
      </c>
      <c r="AK166" s="24">
        <f t="shared" si="345"/>
        <v>0</v>
      </c>
      <c r="AL166" s="24">
        <f t="shared" si="345"/>
        <v>0</v>
      </c>
      <c r="AM166" s="24">
        <f t="shared" si="345"/>
        <v>0</v>
      </c>
      <c r="AN166" s="24">
        <f t="shared" si="345"/>
        <v>416</v>
      </c>
      <c r="AO166" s="24">
        <f t="shared" si="345"/>
        <v>1741723</v>
      </c>
      <c r="AP166" s="24">
        <f t="shared" si="345"/>
        <v>0</v>
      </c>
      <c r="AQ166" s="24">
        <f t="shared" si="345"/>
        <v>0</v>
      </c>
      <c r="AR166" s="24"/>
      <c r="AS166" s="24">
        <f t="shared" si="345"/>
        <v>0</v>
      </c>
      <c r="AT166" s="24">
        <f t="shared" si="345"/>
        <v>0</v>
      </c>
      <c r="AU166" s="24">
        <f t="shared" si="345"/>
        <v>0</v>
      </c>
      <c r="AV166" s="24"/>
      <c r="AW166" s="24"/>
      <c r="AX166" s="24">
        <f>SUM(AX167:AX168)</f>
        <v>0</v>
      </c>
      <c r="AY166" s="24">
        <f>SUM(AY167:AY168)</f>
        <v>0</v>
      </c>
      <c r="AZ166" s="24">
        <f>SUM(AZ167:AZ168)</f>
        <v>0</v>
      </c>
      <c r="BA166" s="24">
        <f>SUM(BA167:BA168)</f>
        <v>0</v>
      </c>
      <c r="BB166" s="24"/>
      <c r="BC166" s="24">
        <f t="shared" ref="BC166:CQ166" si="346">SUM(BC167:BC168)</f>
        <v>0</v>
      </c>
      <c r="BD166" s="24">
        <f t="shared" si="346"/>
        <v>0</v>
      </c>
      <c r="BE166" s="24">
        <f t="shared" si="346"/>
        <v>0</v>
      </c>
      <c r="BF166" s="24">
        <f t="shared" si="346"/>
        <v>0</v>
      </c>
      <c r="BG166" s="24">
        <f t="shared" si="346"/>
        <v>0</v>
      </c>
      <c r="BH166" s="24">
        <f t="shared" si="346"/>
        <v>0</v>
      </c>
      <c r="BI166" s="24">
        <f t="shared" si="346"/>
        <v>0</v>
      </c>
      <c r="BJ166" s="24">
        <f t="shared" si="346"/>
        <v>0</v>
      </c>
      <c r="BK166" s="24">
        <f t="shared" ref="BK166" si="347">SUM(BK167:BK168)</f>
        <v>0</v>
      </c>
      <c r="BL166" s="24">
        <f t="shared" si="346"/>
        <v>0</v>
      </c>
      <c r="BM166" s="24">
        <f t="shared" si="346"/>
        <v>0</v>
      </c>
      <c r="BN166" s="24">
        <f t="shared" si="346"/>
        <v>0</v>
      </c>
      <c r="BO166" s="24">
        <f t="shared" si="346"/>
        <v>0</v>
      </c>
      <c r="BP166" s="24">
        <f t="shared" si="346"/>
        <v>0</v>
      </c>
      <c r="BQ166" s="24">
        <f t="shared" si="346"/>
        <v>0</v>
      </c>
      <c r="BR166" s="24">
        <f t="shared" si="346"/>
        <v>0</v>
      </c>
      <c r="BS166" s="24">
        <f t="shared" si="346"/>
        <v>0</v>
      </c>
      <c r="BT166" s="24">
        <f t="shared" si="346"/>
        <v>0</v>
      </c>
      <c r="BU166" s="24">
        <f t="shared" si="346"/>
        <v>0</v>
      </c>
      <c r="BV166" s="24">
        <f t="shared" si="346"/>
        <v>0</v>
      </c>
      <c r="BW166" s="24">
        <f t="shared" si="346"/>
        <v>0</v>
      </c>
      <c r="BX166" s="24">
        <f t="shared" si="346"/>
        <v>0</v>
      </c>
      <c r="BY166" s="24">
        <f t="shared" si="346"/>
        <v>0</v>
      </c>
      <c r="BZ166" s="24">
        <f t="shared" si="346"/>
        <v>0</v>
      </c>
      <c r="CA166" s="24">
        <f t="shared" si="346"/>
        <v>0</v>
      </c>
      <c r="CB166" s="24">
        <f t="shared" si="346"/>
        <v>0</v>
      </c>
      <c r="CC166" s="24">
        <f t="shared" si="346"/>
        <v>0</v>
      </c>
      <c r="CD166" s="24">
        <f t="shared" si="346"/>
        <v>147529</v>
      </c>
      <c r="CE166" s="24">
        <f t="shared" si="346"/>
        <v>147529</v>
      </c>
      <c r="CF166" s="24">
        <f t="shared" si="346"/>
        <v>147529</v>
      </c>
      <c r="CG166" s="24">
        <f t="shared" si="346"/>
        <v>0</v>
      </c>
      <c r="CH166" s="24">
        <f t="shared" si="346"/>
        <v>147529</v>
      </c>
      <c r="CI166" s="24">
        <f t="shared" si="346"/>
        <v>0</v>
      </c>
      <c r="CJ166" s="24">
        <f t="shared" si="346"/>
        <v>0</v>
      </c>
      <c r="CK166" s="24">
        <f t="shared" si="346"/>
        <v>0</v>
      </c>
      <c r="CL166" s="24">
        <f t="shared" si="346"/>
        <v>0</v>
      </c>
      <c r="CM166" s="24">
        <f t="shared" si="346"/>
        <v>0</v>
      </c>
      <c r="CN166" s="24">
        <f t="shared" si="346"/>
        <v>0</v>
      </c>
      <c r="CO166" s="24">
        <f t="shared" si="346"/>
        <v>0</v>
      </c>
      <c r="CP166" s="24">
        <f t="shared" si="346"/>
        <v>0</v>
      </c>
      <c r="CQ166" s="24">
        <f t="shared" si="346"/>
        <v>0</v>
      </c>
      <c r="CR166" s="24"/>
      <c r="CS166" s="24"/>
      <c r="CT166" s="24">
        <f t="shared" ref="CT166:CZ166" si="348">SUM(CT167:CT168)</f>
        <v>0</v>
      </c>
      <c r="CU166" s="24">
        <f t="shared" si="348"/>
        <v>0</v>
      </c>
      <c r="CV166" s="24">
        <f t="shared" si="348"/>
        <v>0</v>
      </c>
      <c r="CW166" s="24">
        <f t="shared" si="348"/>
        <v>0</v>
      </c>
      <c r="CX166" s="24">
        <f t="shared" si="348"/>
        <v>0</v>
      </c>
      <c r="CY166" s="24">
        <f t="shared" si="348"/>
        <v>0</v>
      </c>
      <c r="CZ166" s="25">
        <f t="shared" si="348"/>
        <v>0</v>
      </c>
    </row>
    <row r="167" spans="1:104" ht="15.6" x14ac:dyDescent="0.3">
      <c r="A167" s="26"/>
      <c r="B167" s="27" t="s">
        <v>1</v>
      </c>
      <c r="C167" s="27" t="s">
        <v>82</v>
      </c>
      <c r="D167" s="28" t="s">
        <v>281</v>
      </c>
      <c r="E167" s="23">
        <f>SUM(F167+CD167+CW167)</f>
        <v>253462</v>
      </c>
      <c r="F167" s="24">
        <f>SUM(G167+BD167)</f>
        <v>253462</v>
      </c>
      <c r="G167" s="24">
        <f>SUM(H167+I167+J167+Q167+T167+U167+V167+AF167+AE167)</f>
        <v>253462</v>
      </c>
      <c r="H167" s="29">
        <v>204768</v>
      </c>
      <c r="I167" s="29">
        <v>48694</v>
      </c>
      <c r="J167" s="24">
        <f t="shared" si="297"/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4">
        <f t="shared" si="298"/>
        <v>0</v>
      </c>
      <c r="R167" s="24">
        <v>0</v>
      </c>
      <c r="S167" s="29">
        <v>0</v>
      </c>
      <c r="T167" s="29">
        <v>0</v>
      </c>
      <c r="U167" s="29">
        <v>0</v>
      </c>
      <c r="V167" s="24">
        <f t="shared" ref="V167:V168" si="349">SUM(W167:AD167)</f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4">
        <f>SUM(AG167:BC167)</f>
        <v>0</v>
      </c>
      <c r="AG167" s="24">
        <v>0</v>
      </c>
      <c r="AH167" s="24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4">
        <f>SUM(BE167+BI167+BM167+BO167+BR167)</f>
        <v>0</v>
      </c>
      <c r="BE167" s="24">
        <f>SUM(BF167:BH167)</f>
        <v>0</v>
      </c>
      <c r="BF167" s="24">
        <v>0</v>
      </c>
      <c r="BG167" s="24">
        <v>0</v>
      </c>
      <c r="BH167" s="24">
        <v>0</v>
      </c>
      <c r="BI167" s="24">
        <f>SUM(BL167:BL167)</f>
        <v>0</v>
      </c>
      <c r="BJ167" s="24">
        <v>0</v>
      </c>
      <c r="BK167" s="24">
        <v>0</v>
      </c>
      <c r="BL167" s="24">
        <v>0</v>
      </c>
      <c r="BM167" s="24">
        <v>0</v>
      </c>
      <c r="BN167" s="24">
        <v>0</v>
      </c>
      <c r="BO167" s="24">
        <f t="shared" si="300"/>
        <v>0</v>
      </c>
      <c r="BP167" s="24">
        <v>0</v>
      </c>
      <c r="BQ167" s="24">
        <v>0</v>
      </c>
      <c r="BR167" s="24">
        <f>SUM(BS167:CC167)</f>
        <v>0</v>
      </c>
      <c r="BS167" s="24">
        <v>0</v>
      </c>
      <c r="BT167" s="24">
        <v>0</v>
      </c>
      <c r="BU167" s="24">
        <v>0</v>
      </c>
      <c r="BV167" s="24">
        <v>0</v>
      </c>
      <c r="BW167" s="24">
        <v>0</v>
      </c>
      <c r="BX167" s="24">
        <v>0</v>
      </c>
      <c r="BY167" s="24">
        <v>0</v>
      </c>
      <c r="BZ167" s="24">
        <v>0</v>
      </c>
      <c r="CA167" s="24">
        <v>0</v>
      </c>
      <c r="CB167" s="24">
        <v>0</v>
      </c>
      <c r="CC167" s="24">
        <v>0</v>
      </c>
      <c r="CD167" s="24">
        <f>SUM(CE167+CV167)</f>
        <v>0</v>
      </c>
      <c r="CE167" s="24">
        <f>SUM(CF167+CI167+CN167)</f>
        <v>0</v>
      </c>
      <c r="CF167" s="24">
        <f t="shared" si="301"/>
        <v>0</v>
      </c>
      <c r="CG167" s="24">
        <v>0</v>
      </c>
      <c r="CH167" s="29">
        <v>0</v>
      </c>
      <c r="CI167" s="24">
        <f>SUM(CJ167:CM167)</f>
        <v>0</v>
      </c>
      <c r="CJ167" s="24">
        <v>0</v>
      </c>
      <c r="CK167" s="24">
        <v>0</v>
      </c>
      <c r="CL167" s="24">
        <v>0</v>
      </c>
      <c r="CM167" s="24">
        <v>0</v>
      </c>
      <c r="CN167" s="24">
        <f>SUM(CO167:CS167)</f>
        <v>0</v>
      </c>
      <c r="CO167" s="24">
        <v>0</v>
      </c>
      <c r="CP167" s="24">
        <v>0</v>
      </c>
      <c r="CQ167" s="24">
        <v>0</v>
      </c>
      <c r="CR167" s="24"/>
      <c r="CS167" s="24"/>
      <c r="CT167" s="24">
        <v>0</v>
      </c>
      <c r="CU167" s="24">
        <v>0</v>
      </c>
      <c r="CV167" s="24">
        <v>0</v>
      </c>
      <c r="CW167" s="24">
        <f t="shared" si="302"/>
        <v>0</v>
      </c>
      <c r="CX167" s="24">
        <f t="shared" si="303"/>
        <v>0</v>
      </c>
      <c r="CY167" s="24">
        <v>0</v>
      </c>
      <c r="CZ167" s="25">
        <v>0</v>
      </c>
    </row>
    <row r="168" spans="1:104" ht="31.2" x14ac:dyDescent="0.3">
      <c r="A168" s="26" t="s">
        <v>1</v>
      </c>
      <c r="B168" s="27" t="s">
        <v>1</v>
      </c>
      <c r="C168" s="27" t="s">
        <v>106</v>
      </c>
      <c r="D168" s="28" t="s">
        <v>573</v>
      </c>
      <c r="E168" s="23">
        <f>SUM(F168+CD168+CW168)</f>
        <v>8128188</v>
      </c>
      <c r="F168" s="24">
        <f>SUM(G168+BD168)</f>
        <v>7980659</v>
      </c>
      <c r="G168" s="24">
        <f>SUM(H168+I168+J168+Q168+T168+U168+V168+AF168+AE168)</f>
        <v>7980659</v>
      </c>
      <c r="H168" s="29">
        <f>5570002-550997</f>
        <v>5019005</v>
      </c>
      <c r="I168" s="29">
        <f>1323814-157881</f>
        <v>1165933</v>
      </c>
      <c r="J168" s="24">
        <f t="shared" si="297"/>
        <v>31492</v>
      </c>
      <c r="K168" s="29">
        <v>0</v>
      </c>
      <c r="L168" s="29">
        <v>0</v>
      </c>
      <c r="M168" s="29">
        <v>0</v>
      </c>
      <c r="N168" s="29">
        <v>0</v>
      </c>
      <c r="O168" s="29">
        <v>31492</v>
      </c>
      <c r="P168" s="29">
        <f>1497-1497</f>
        <v>0</v>
      </c>
      <c r="Q168" s="24">
        <f t="shared" si="298"/>
        <v>0</v>
      </c>
      <c r="R168" s="24"/>
      <c r="S168" s="29">
        <v>0</v>
      </c>
      <c r="T168" s="29">
        <v>0</v>
      </c>
      <c r="U168" s="29">
        <f>41175-23323</f>
        <v>17852</v>
      </c>
      <c r="V168" s="24">
        <f t="shared" si="349"/>
        <v>4238</v>
      </c>
      <c r="W168" s="29">
        <f>4407-169</f>
        <v>4238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4">
        <f>SUM(AG168:BC168)</f>
        <v>1742139</v>
      </c>
      <c r="AG168" s="24">
        <v>0</v>
      </c>
      <c r="AH168" s="24">
        <v>0</v>
      </c>
      <c r="AI168" s="29">
        <f>477-477</f>
        <v>0</v>
      </c>
      <c r="AJ168" s="29">
        <f>267-267</f>
        <v>0</v>
      </c>
      <c r="AK168" s="29">
        <v>0</v>
      </c>
      <c r="AL168" s="29">
        <v>0</v>
      </c>
      <c r="AM168" s="29">
        <v>0</v>
      </c>
      <c r="AN168" s="29">
        <f>49665-49249</f>
        <v>416</v>
      </c>
      <c r="AO168" s="29">
        <f>1775135-33412</f>
        <v>1741723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4">
        <f>SUM(BE168+BI168+BM168+BO168+BR168)</f>
        <v>0</v>
      </c>
      <c r="BE168" s="24">
        <f>SUM(BF168:BH168)</f>
        <v>0</v>
      </c>
      <c r="BF168" s="24">
        <v>0</v>
      </c>
      <c r="BG168" s="24">
        <v>0</v>
      </c>
      <c r="BH168" s="24">
        <v>0</v>
      </c>
      <c r="BI168" s="24">
        <f>SUM(BL168:BL168)</f>
        <v>0</v>
      </c>
      <c r="BJ168" s="24">
        <v>0</v>
      </c>
      <c r="BK168" s="24">
        <v>0</v>
      </c>
      <c r="BL168" s="24">
        <v>0</v>
      </c>
      <c r="BM168" s="24">
        <v>0</v>
      </c>
      <c r="BN168" s="24">
        <v>0</v>
      </c>
      <c r="BO168" s="24">
        <f t="shared" si="300"/>
        <v>0</v>
      </c>
      <c r="BP168" s="24">
        <v>0</v>
      </c>
      <c r="BQ168" s="24">
        <v>0</v>
      </c>
      <c r="BR168" s="24">
        <f>SUM(BS168:CC168)</f>
        <v>0</v>
      </c>
      <c r="BS168" s="24">
        <v>0</v>
      </c>
      <c r="BT168" s="24">
        <v>0</v>
      </c>
      <c r="BU168" s="24">
        <v>0</v>
      </c>
      <c r="BV168" s="24">
        <v>0</v>
      </c>
      <c r="BW168" s="24">
        <v>0</v>
      </c>
      <c r="BX168" s="24">
        <v>0</v>
      </c>
      <c r="BY168" s="24">
        <v>0</v>
      </c>
      <c r="BZ168" s="24">
        <v>0</v>
      </c>
      <c r="CA168" s="24">
        <v>0</v>
      </c>
      <c r="CB168" s="24">
        <v>0</v>
      </c>
      <c r="CC168" s="24">
        <v>0</v>
      </c>
      <c r="CD168" s="24">
        <f>SUM(CE168+CV168)</f>
        <v>147529</v>
      </c>
      <c r="CE168" s="24">
        <f>SUM(CF168+CI168+CN168)</f>
        <v>147529</v>
      </c>
      <c r="CF168" s="24">
        <f t="shared" si="301"/>
        <v>147529</v>
      </c>
      <c r="CG168" s="24">
        <v>0</v>
      </c>
      <c r="CH168" s="29">
        <f>148714-1185</f>
        <v>147529</v>
      </c>
      <c r="CI168" s="24">
        <f>SUM(CJ168:CM168)</f>
        <v>0</v>
      </c>
      <c r="CJ168" s="24">
        <v>0</v>
      </c>
      <c r="CK168" s="24">
        <v>0</v>
      </c>
      <c r="CL168" s="24">
        <v>0</v>
      </c>
      <c r="CM168" s="24">
        <v>0</v>
      </c>
      <c r="CN168" s="24">
        <f>SUM(CO168:CS168)</f>
        <v>0</v>
      </c>
      <c r="CO168" s="24"/>
      <c r="CP168" s="24"/>
      <c r="CQ168" s="24">
        <v>0</v>
      </c>
      <c r="CR168" s="24"/>
      <c r="CS168" s="24"/>
      <c r="CT168" s="24">
        <v>0</v>
      </c>
      <c r="CU168" s="24">
        <v>0</v>
      </c>
      <c r="CV168" s="24">
        <v>0</v>
      </c>
      <c r="CW168" s="24">
        <f t="shared" si="302"/>
        <v>0</v>
      </c>
      <c r="CX168" s="24">
        <f t="shared" si="303"/>
        <v>0</v>
      </c>
      <c r="CY168" s="24">
        <v>0</v>
      </c>
      <c r="CZ168" s="25">
        <v>0</v>
      </c>
    </row>
    <row r="169" spans="1:104" ht="15.6" x14ac:dyDescent="0.3">
      <c r="A169" s="31" t="s">
        <v>282</v>
      </c>
      <c r="B169" s="32" t="s">
        <v>1</v>
      </c>
      <c r="C169" s="32" t="s">
        <v>1</v>
      </c>
      <c r="D169" s="33" t="s">
        <v>283</v>
      </c>
      <c r="E169" s="34">
        <f>SUM(E170+E172+E175+E178+E180)</f>
        <v>768980116</v>
      </c>
      <c r="F169" s="35">
        <f t="shared" ref="F169:BX169" si="350">SUM(F170+F172+F175+F178+F180)</f>
        <v>730830313</v>
      </c>
      <c r="G169" s="35">
        <f t="shared" si="350"/>
        <v>728296629</v>
      </c>
      <c r="H169" s="35">
        <f t="shared" si="350"/>
        <v>390131697</v>
      </c>
      <c r="I169" s="35">
        <f t="shared" si="350"/>
        <v>92686960</v>
      </c>
      <c r="J169" s="35">
        <f t="shared" si="350"/>
        <v>157107829</v>
      </c>
      <c r="K169" s="35">
        <f t="shared" si="350"/>
        <v>119550381</v>
      </c>
      <c r="L169" s="35">
        <f t="shared" si="350"/>
        <v>1436593</v>
      </c>
      <c r="M169" s="35">
        <f t="shared" si="350"/>
        <v>19894467</v>
      </c>
      <c r="N169" s="35">
        <f t="shared" si="350"/>
        <v>31463</v>
      </c>
      <c r="O169" s="35">
        <f t="shared" si="350"/>
        <v>12252854</v>
      </c>
      <c r="P169" s="35">
        <f t="shared" si="350"/>
        <v>3942071</v>
      </c>
      <c r="Q169" s="35">
        <f t="shared" si="350"/>
        <v>6970</v>
      </c>
      <c r="R169" s="35">
        <f t="shared" si="350"/>
        <v>0</v>
      </c>
      <c r="S169" s="35">
        <f t="shared" si="350"/>
        <v>6970</v>
      </c>
      <c r="T169" s="35">
        <f t="shared" si="350"/>
        <v>0</v>
      </c>
      <c r="U169" s="35">
        <f t="shared" si="350"/>
        <v>1993385</v>
      </c>
      <c r="V169" s="35">
        <f t="shared" si="350"/>
        <v>26057552</v>
      </c>
      <c r="W169" s="35">
        <f t="shared" si="350"/>
        <v>497268</v>
      </c>
      <c r="X169" s="35">
        <f t="shared" si="350"/>
        <v>13119397</v>
      </c>
      <c r="Y169" s="35">
        <f t="shared" si="350"/>
        <v>6244648</v>
      </c>
      <c r="Z169" s="35">
        <f t="shared" si="350"/>
        <v>5080036</v>
      </c>
      <c r="AA169" s="35">
        <f t="shared" si="350"/>
        <v>898090</v>
      </c>
      <c r="AB169" s="35">
        <f t="shared" si="350"/>
        <v>12547</v>
      </c>
      <c r="AC169" s="35">
        <f t="shared" si="350"/>
        <v>0</v>
      </c>
      <c r="AD169" s="35">
        <f t="shared" si="350"/>
        <v>205566</v>
      </c>
      <c r="AE169" s="35">
        <f t="shared" si="350"/>
        <v>2472</v>
      </c>
      <c r="AF169" s="35">
        <f t="shared" si="350"/>
        <v>60309764</v>
      </c>
      <c r="AG169" s="35">
        <f t="shared" si="350"/>
        <v>0</v>
      </c>
      <c r="AH169" s="35">
        <f t="shared" si="350"/>
        <v>0</v>
      </c>
      <c r="AI169" s="35">
        <f t="shared" si="350"/>
        <v>174806</v>
      </c>
      <c r="AJ169" s="35">
        <f t="shared" si="350"/>
        <v>1920849</v>
      </c>
      <c r="AK169" s="35">
        <f t="shared" si="350"/>
        <v>0</v>
      </c>
      <c r="AL169" s="35">
        <f t="shared" si="350"/>
        <v>9151</v>
      </c>
      <c r="AM169" s="35">
        <f t="shared" si="350"/>
        <v>0</v>
      </c>
      <c r="AN169" s="35">
        <f t="shared" si="350"/>
        <v>730545</v>
      </c>
      <c r="AO169" s="35">
        <f t="shared" si="350"/>
        <v>181931</v>
      </c>
      <c r="AP169" s="35">
        <f t="shared" si="350"/>
        <v>0</v>
      </c>
      <c r="AQ169" s="35">
        <f t="shared" si="350"/>
        <v>0</v>
      </c>
      <c r="AR169" s="35">
        <f t="shared" ref="AR169" si="351">SUM(AR170+AR172+AR175+AR178+AR180)</f>
        <v>0</v>
      </c>
      <c r="AS169" s="35">
        <f t="shared" si="350"/>
        <v>0</v>
      </c>
      <c r="AT169" s="35">
        <f t="shared" si="350"/>
        <v>894777</v>
      </c>
      <c r="AU169" s="35">
        <f t="shared" si="350"/>
        <v>1672120</v>
      </c>
      <c r="AV169" s="35">
        <f t="shared" si="350"/>
        <v>0</v>
      </c>
      <c r="AW169" s="35">
        <f t="shared" si="350"/>
        <v>1983836</v>
      </c>
      <c r="AX169" s="35">
        <f t="shared" si="350"/>
        <v>1465652</v>
      </c>
      <c r="AY169" s="35">
        <f t="shared" si="350"/>
        <v>0</v>
      </c>
      <c r="AZ169" s="35">
        <f t="shared" si="350"/>
        <v>0</v>
      </c>
      <c r="BA169" s="35">
        <f t="shared" si="350"/>
        <v>0</v>
      </c>
      <c r="BB169" s="35"/>
      <c r="BC169" s="35">
        <f t="shared" si="350"/>
        <v>51276097</v>
      </c>
      <c r="BD169" s="35">
        <f t="shared" si="350"/>
        <v>2533684</v>
      </c>
      <c r="BE169" s="35">
        <f t="shared" si="350"/>
        <v>0</v>
      </c>
      <c r="BF169" s="35">
        <f t="shared" si="350"/>
        <v>0</v>
      </c>
      <c r="BG169" s="35">
        <f t="shared" si="350"/>
        <v>0</v>
      </c>
      <c r="BH169" s="35">
        <f t="shared" si="350"/>
        <v>0</v>
      </c>
      <c r="BI169" s="35">
        <f t="shared" si="350"/>
        <v>0</v>
      </c>
      <c r="BJ169" s="35">
        <f t="shared" si="350"/>
        <v>0</v>
      </c>
      <c r="BK169" s="35">
        <f t="shared" ref="BK169" si="352">SUM(BK170+BK172+BK175+BK178+BK180)</f>
        <v>0</v>
      </c>
      <c r="BL169" s="35">
        <f t="shared" si="350"/>
        <v>0</v>
      </c>
      <c r="BM169" s="35">
        <f t="shared" si="350"/>
        <v>0</v>
      </c>
      <c r="BN169" s="35">
        <f t="shared" si="350"/>
        <v>0</v>
      </c>
      <c r="BO169" s="35">
        <f t="shared" si="350"/>
        <v>0</v>
      </c>
      <c r="BP169" s="35">
        <f t="shared" si="350"/>
        <v>0</v>
      </c>
      <c r="BQ169" s="35">
        <f t="shared" ref="BQ169" si="353">SUM(BQ170+BQ172+BQ175+BQ178+BQ180)</f>
        <v>0</v>
      </c>
      <c r="BR169" s="35">
        <f t="shared" si="350"/>
        <v>2533684</v>
      </c>
      <c r="BS169" s="35">
        <f t="shared" si="350"/>
        <v>0</v>
      </c>
      <c r="BT169" s="35">
        <f t="shared" si="350"/>
        <v>0</v>
      </c>
      <c r="BU169" s="35">
        <f t="shared" si="350"/>
        <v>0</v>
      </c>
      <c r="BV169" s="35">
        <f t="shared" si="350"/>
        <v>0</v>
      </c>
      <c r="BW169" s="35">
        <f t="shared" si="350"/>
        <v>0</v>
      </c>
      <c r="BX169" s="35">
        <f t="shared" si="350"/>
        <v>0</v>
      </c>
      <c r="BY169" s="35">
        <f t="shared" ref="BY169:CZ169" si="354">SUM(BY170+BY172+BY175+BY178+BY180)</f>
        <v>0</v>
      </c>
      <c r="BZ169" s="35">
        <f t="shared" si="354"/>
        <v>0</v>
      </c>
      <c r="CA169" s="35">
        <f t="shared" si="354"/>
        <v>0</v>
      </c>
      <c r="CB169" s="35">
        <f t="shared" si="354"/>
        <v>0</v>
      </c>
      <c r="CC169" s="35">
        <f t="shared" si="354"/>
        <v>2533684</v>
      </c>
      <c r="CD169" s="35">
        <f t="shared" si="354"/>
        <v>38149803</v>
      </c>
      <c r="CE169" s="35">
        <f t="shared" si="354"/>
        <v>38149803</v>
      </c>
      <c r="CF169" s="35">
        <f t="shared" si="354"/>
        <v>3678815</v>
      </c>
      <c r="CG169" s="35">
        <f t="shared" si="354"/>
        <v>0</v>
      </c>
      <c r="CH169" s="35">
        <f t="shared" si="354"/>
        <v>3678815</v>
      </c>
      <c r="CI169" s="35">
        <f t="shared" si="354"/>
        <v>27046517</v>
      </c>
      <c r="CJ169" s="35">
        <f t="shared" si="354"/>
        <v>0</v>
      </c>
      <c r="CK169" s="35">
        <f t="shared" ref="CK169:CL169" si="355">SUM(CK170+CK172+CK175+CK178+CK180)</f>
        <v>27046517</v>
      </c>
      <c r="CL169" s="35">
        <f t="shared" si="355"/>
        <v>0</v>
      </c>
      <c r="CM169" s="35">
        <f t="shared" si="354"/>
        <v>0</v>
      </c>
      <c r="CN169" s="35">
        <f t="shared" si="354"/>
        <v>7424471</v>
      </c>
      <c r="CO169" s="35">
        <f t="shared" si="354"/>
        <v>0</v>
      </c>
      <c r="CP169" s="35">
        <f t="shared" ref="CP169" si="356">SUM(CP170+CP172+CP175+CP178+CP180)</f>
        <v>7387111</v>
      </c>
      <c r="CQ169" s="35">
        <f t="shared" si="354"/>
        <v>0</v>
      </c>
      <c r="CR169" s="35">
        <f t="shared" ref="CR169" si="357">SUM(CR170+CR172+CR175+CR178+CR180)</f>
        <v>37360</v>
      </c>
      <c r="CS169" s="35">
        <f t="shared" si="354"/>
        <v>0</v>
      </c>
      <c r="CT169" s="35">
        <f t="shared" si="354"/>
        <v>0</v>
      </c>
      <c r="CU169" s="35">
        <f t="shared" si="354"/>
        <v>0</v>
      </c>
      <c r="CV169" s="35">
        <f t="shared" si="354"/>
        <v>0</v>
      </c>
      <c r="CW169" s="35">
        <f t="shared" si="354"/>
        <v>0</v>
      </c>
      <c r="CX169" s="35">
        <f t="shared" si="354"/>
        <v>0</v>
      </c>
      <c r="CY169" s="35">
        <f t="shared" si="354"/>
        <v>0</v>
      </c>
      <c r="CZ169" s="36">
        <f t="shared" si="354"/>
        <v>0</v>
      </c>
    </row>
    <row r="170" spans="1:104" ht="15.6" x14ac:dyDescent="0.3">
      <c r="A170" s="20"/>
      <c r="B170" s="21" t="s">
        <v>284</v>
      </c>
      <c r="C170" s="21" t="s">
        <v>1</v>
      </c>
      <c r="D170" s="22" t="s">
        <v>285</v>
      </c>
      <c r="E170" s="23">
        <f>SUM(E171)</f>
        <v>574849349</v>
      </c>
      <c r="F170" s="24">
        <f t="shared" ref="F170:BX170" si="358">SUM(F171)</f>
        <v>537542517</v>
      </c>
      <c r="G170" s="24">
        <f t="shared" si="358"/>
        <v>535332536</v>
      </c>
      <c r="H170" s="24">
        <f t="shared" si="358"/>
        <v>283241647</v>
      </c>
      <c r="I170" s="24">
        <f t="shared" si="358"/>
        <v>66930801</v>
      </c>
      <c r="J170" s="24">
        <f t="shared" si="358"/>
        <v>114040904</v>
      </c>
      <c r="K170" s="24">
        <f t="shared" si="358"/>
        <v>83531002</v>
      </c>
      <c r="L170" s="24">
        <f t="shared" si="358"/>
        <v>1232262</v>
      </c>
      <c r="M170" s="24">
        <f t="shared" si="358"/>
        <v>19016454</v>
      </c>
      <c r="N170" s="24">
        <f t="shared" si="358"/>
        <v>31463</v>
      </c>
      <c r="O170" s="24">
        <f t="shared" si="358"/>
        <v>7392611</v>
      </c>
      <c r="P170" s="24">
        <f t="shared" si="358"/>
        <v>2837112</v>
      </c>
      <c r="Q170" s="24">
        <f t="shared" si="358"/>
        <v>0</v>
      </c>
      <c r="R170" s="24">
        <f t="shared" si="358"/>
        <v>0</v>
      </c>
      <c r="S170" s="24">
        <f t="shared" si="358"/>
        <v>0</v>
      </c>
      <c r="T170" s="24">
        <f t="shared" si="358"/>
        <v>0</v>
      </c>
      <c r="U170" s="24">
        <f t="shared" si="358"/>
        <v>1247331</v>
      </c>
      <c r="V170" s="24">
        <f t="shared" si="358"/>
        <v>22599445</v>
      </c>
      <c r="W170" s="24">
        <f t="shared" si="358"/>
        <v>355373</v>
      </c>
      <c r="X170" s="24">
        <f t="shared" si="358"/>
        <v>11035504</v>
      </c>
      <c r="Y170" s="24">
        <f t="shared" si="358"/>
        <v>5604867</v>
      </c>
      <c r="Z170" s="24">
        <f t="shared" si="358"/>
        <v>4636560</v>
      </c>
      <c r="AA170" s="24">
        <f t="shared" si="358"/>
        <v>826794</v>
      </c>
      <c r="AB170" s="24">
        <f t="shared" si="358"/>
        <v>12547</v>
      </c>
      <c r="AC170" s="24">
        <f t="shared" si="358"/>
        <v>0</v>
      </c>
      <c r="AD170" s="24">
        <f t="shared" si="358"/>
        <v>127800</v>
      </c>
      <c r="AE170" s="24">
        <f t="shared" si="358"/>
        <v>0</v>
      </c>
      <c r="AF170" s="24">
        <f t="shared" si="358"/>
        <v>47272408</v>
      </c>
      <c r="AG170" s="24">
        <f t="shared" si="358"/>
        <v>0</v>
      </c>
      <c r="AH170" s="24">
        <f t="shared" si="358"/>
        <v>0</v>
      </c>
      <c r="AI170" s="24">
        <f t="shared" si="358"/>
        <v>157855</v>
      </c>
      <c r="AJ170" s="24">
        <f t="shared" si="358"/>
        <v>1320887</v>
      </c>
      <c r="AK170" s="24">
        <f t="shared" si="358"/>
        <v>0</v>
      </c>
      <c r="AL170" s="24">
        <f t="shared" si="358"/>
        <v>2485</v>
      </c>
      <c r="AM170" s="24">
        <f t="shared" si="358"/>
        <v>0</v>
      </c>
      <c r="AN170" s="24">
        <f t="shared" si="358"/>
        <v>145200</v>
      </c>
      <c r="AO170" s="24">
        <f t="shared" si="358"/>
        <v>144442</v>
      </c>
      <c r="AP170" s="24">
        <f t="shared" si="358"/>
        <v>0</v>
      </c>
      <c r="AQ170" s="24">
        <f t="shared" si="358"/>
        <v>0</v>
      </c>
      <c r="AR170" s="24">
        <f t="shared" si="358"/>
        <v>0</v>
      </c>
      <c r="AS170" s="24">
        <f t="shared" si="358"/>
        <v>0</v>
      </c>
      <c r="AT170" s="24">
        <f t="shared" si="358"/>
        <v>727915</v>
      </c>
      <c r="AU170" s="24">
        <f t="shared" si="358"/>
        <v>15000</v>
      </c>
      <c r="AV170" s="24">
        <f t="shared" si="358"/>
        <v>0</v>
      </c>
      <c r="AW170" s="24">
        <f t="shared" si="358"/>
        <v>1013141</v>
      </c>
      <c r="AX170" s="24">
        <f t="shared" si="358"/>
        <v>0</v>
      </c>
      <c r="AY170" s="24">
        <f t="shared" si="358"/>
        <v>0</v>
      </c>
      <c r="AZ170" s="24">
        <f t="shared" si="358"/>
        <v>0</v>
      </c>
      <c r="BA170" s="24">
        <f t="shared" si="358"/>
        <v>0</v>
      </c>
      <c r="BB170" s="24"/>
      <c r="BC170" s="24">
        <f t="shared" si="358"/>
        <v>43745483</v>
      </c>
      <c r="BD170" s="24">
        <f t="shared" si="358"/>
        <v>2209981</v>
      </c>
      <c r="BE170" s="24">
        <f t="shared" si="358"/>
        <v>0</v>
      </c>
      <c r="BF170" s="24">
        <f t="shared" si="358"/>
        <v>0</v>
      </c>
      <c r="BG170" s="24">
        <f t="shared" si="358"/>
        <v>0</v>
      </c>
      <c r="BH170" s="24">
        <f t="shared" si="358"/>
        <v>0</v>
      </c>
      <c r="BI170" s="24">
        <f t="shared" si="358"/>
        <v>0</v>
      </c>
      <c r="BJ170" s="24">
        <f t="shared" si="358"/>
        <v>0</v>
      </c>
      <c r="BK170" s="24">
        <f t="shared" si="358"/>
        <v>0</v>
      </c>
      <c r="BL170" s="24">
        <f t="shared" si="358"/>
        <v>0</v>
      </c>
      <c r="BM170" s="24">
        <f t="shared" si="358"/>
        <v>0</v>
      </c>
      <c r="BN170" s="24">
        <f t="shared" si="358"/>
        <v>0</v>
      </c>
      <c r="BO170" s="24">
        <f t="shared" si="358"/>
        <v>0</v>
      </c>
      <c r="BP170" s="24">
        <f t="shared" si="358"/>
        <v>0</v>
      </c>
      <c r="BQ170" s="24">
        <f t="shared" si="358"/>
        <v>0</v>
      </c>
      <c r="BR170" s="24">
        <f t="shared" si="358"/>
        <v>2209981</v>
      </c>
      <c r="BS170" s="24">
        <f t="shared" si="358"/>
        <v>0</v>
      </c>
      <c r="BT170" s="24">
        <f t="shared" si="358"/>
        <v>0</v>
      </c>
      <c r="BU170" s="24">
        <f t="shared" si="358"/>
        <v>0</v>
      </c>
      <c r="BV170" s="24">
        <f t="shared" si="358"/>
        <v>0</v>
      </c>
      <c r="BW170" s="24">
        <f t="shared" si="358"/>
        <v>0</v>
      </c>
      <c r="BX170" s="24">
        <f t="shared" si="358"/>
        <v>0</v>
      </c>
      <c r="BY170" s="24">
        <f t="shared" ref="BY170:CZ170" si="359">SUM(BY171)</f>
        <v>0</v>
      </c>
      <c r="BZ170" s="24">
        <f t="shared" si="359"/>
        <v>0</v>
      </c>
      <c r="CA170" s="24">
        <f t="shared" si="359"/>
        <v>0</v>
      </c>
      <c r="CB170" s="24">
        <f t="shared" si="359"/>
        <v>0</v>
      </c>
      <c r="CC170" s="24">
        <f t="shared" si="359"/>
        <v>2209981</v>
      </c>
      <c r="CD170" s="24">
        <f t="shared" si="359"/>
        <v>37306832</v>
      </c>
      <c r="CE170" s="24">
        <f t="shared" si="359"/>
        <v>37306832</v>
      </c>
      <c r="CF170" s="24">
        <f t="shared" si="359"/>
        <v>3055852</v>
      </c>
      <c r="CG170" s="24">
        <f t="shared" si="359"/>
        <v>0</v>
      </c>
      <c r="CH170" s="24">
        <f t="shared" si="359"/>
        <v>3055852</v>
      </c>
      <c r="CI170" s="24">
        <f t="shared" si="359"/>
        <v>27046517</v>
      </c>
      <c r="CJ170" s="24">
        <f t="shared" si="359"/>
        <v>0</v>
      </c>
      <c r="CK170" s="24">
        <f t="shared" si="359"/>
        <v>27046517</v>
      </c>
      <c r="CL170" s="24">
        <f t="shared" si="359"/>
        <v>0</v>
      </c>
      <c r="CM170" s="24">
        <f t="shared" si="359"/>
        <v>0</v>
      </c>
      <c r="CN170" s="24">
        <f t="shared" si="359"/>
        <v>7204463</v>
      </c>
      <c r="CO170" s="24">
        <f t="shared" si="359"/>
        <v>0</v>
      </c>
      <c r="CP170" s="24">
        <f t="shared" si="359"/>
        <v>7204463</v>
      </c>
      <c r="CQ170" s="24">
        <f t="shared" si="359"/>
        <v>0</v>
      </c>
      <c r="CR170" s="24"/>
      <c r="CS170" s="24"/>
      <c r="CT170" s="24">
        <f t="shared" si="359"/>
        <v>0</v>
      </c>
      <c r="CU170" s="24">
        <f t="shared" si="359"/>
        <v>0</v>
      </c>
      <c r="CV170" s="24">
        <f t="shared" si="359"/>
        <v>0</v>
      </c>
      <c r="CW170" s="24">
        <f t="shared" si="359"/>
        <v>0</v>
      </c>
      <c r="CX170" s="24">
        <f t="shared" si="359"/>
        <v>0</v>
      </c>
      <c r="CY170" s="24">
        <f t="shared" si="359"/>
        <v>0</v>
      </c>
      <c r="CZ170" s="25">
        <f t="shared" si="359"/>
        <v>0</v>
      </c>
    </row>
    <row r="171" spans="1:104" ht="15.6" x14ac:dyDescent="0.3">
      <c r="A171" s="26"/>
      <c r="B171" s="27" t="s">
        <v>1</v>
      </c>
      <c r="C171" s="27" t="s">
        <v>86</v>
      </c>
      <c r="D171" s="28" t="s">
        <v>285</v>
      </c>
      <c r="E171" s="23">
        <f>SUM(F171+CD171+CW171)</f>
        <v>574849349</v>
      </c>
      <c r="F171" s="24">
        <f>SUM(G171+BD171)</f>
        <v>537542517</v>
      </c>
      <c r="G171" s="24">
        <f>SUM(H171+I171+J171+Q171+T171+U171+V171+AF171+AE171)</f>
        <v>535332536</v>
      </c>
      <c r="H171" s="29">
        <f>269816767+13424880</f>
        <v>283241647</v>
      </c>
      <c r="I171" s="29">
        <f>62624472+4306329</f>
        <v>66930801</v>
      </c>
      <c r="J171" s="24">
        <f t="shared" si="297"/>
        <v>114040904</v>
      </c>
      <c r="K171" s="29">
        <f>72398116+11132886</f>
        <v>83531002</v>
      </c>
      <c r="L171" s="29">
        <v>1232262</v>
      </c>
      <c r="M171" s="29">
        <v>19016454</v>
      </c>
      <c r="N171" s="29">
        <v>31463</v>
      </c>
      <c r="O171" s="29">
        <v>7392611</v>
      </c>
      <c r="P171" s="29">
        <f>2817799+30707-11394</f>
        <v>2837112</v>
      </c>
      <c r="Q171" s="24">
        <f t="shared" si="298"/>
        <v>0</v>
      </c>
      <c r="R171" s="24">
        <v>0</v>
      </c>
      <c r="S171" s="24"/>
      <c r="T171" s="24">
        <v>0</v>
      </c>
      <c r="U171" s="29">
        <f>1497331-250000</f>
        <v>1247331</v>
      </c>
      <c r="V171" s="24">
        <f t="shared" ref="V171" si="360">SUM(W171:AD171)</f>
        <v>22599445</v>
      </c>
      <c r="W171" s="29">
        <v>355373</v>
      </c>
      <c r="X171" s="29">
        <f>10269089+766415</f>
        <v>11035504</v>
      </c>
      <c r="Y171" s="29">
        <v>5604867</v>
      </c>
      <c r="Z171" s="29">
        <f>4447776+188784</f>
        <v>4636560</v>
      </c>
      <c r="AA171" s="29">
        <v>826794</v>
      </c>
      <c r="AB171" s="29">
        <v>12547</v>
      </c>
      <c r="AC171" s="29">
        <v>0</v>
      </c>
      <c r="AD171" s="29">
        <f>113855+10630+3315</f>
        <v>127800</v>
      </c>
      <c r="AE171" s="29">
        <v>0</v>
      </c>
      <c r="AF171" s="24">
        <f>SUM(AG171:BC171)</f>
        <v>47272408</v>
      </c>
      <c r="AG171" s="24">
        <v>0</v>
      </c>
      <c r="AH171" s="24"/>
      <c r="AI171" s="29">
        <v>157855</v>
      </c>
      <c r="AJ171" s="29">
        <v>1320887</v>
      </c>
      <c r="AK171" s="29">
        <v>0</v>
      </c>
      <c r="AL171" s="29">
        <v>2485</v>
      </c>
      <c r="AM171" s="29">
        <v>0</v>
      </c>
      <c r="AN171" s="29">
        <f>425200-280000</f>
        <v>145200</v>
      </c>
      <c r="AO171" s="29">
        <v>144442</v>
      </c>
      <c r="AP171" s="29">
        <v>0</v>
      </c>
      <c r="AQ171" s="29">
        <v>0</v>
      </c>
      <c r="AR171" s="29"/>
      <c r="AS171" s="29">
        <v>0</v>
      </c>
      <c r="AT171" s="29">
        <v>727915</v>
      </c>
      <c r="AU171" s="29">
        <v>15000</v>
      </c>
      <c r="AV171" s="29">
        <v>0</v>
      </c>
      <c r="AW171" s="29">
        <v>1013141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f>41096199+2649284</f>
        <v>43745483</v>
      </c>
      <c r="BD171" s="24">
        <f>SUM(BE171+BI171+BM171+BO171+BR171)</f>
        <v>2209981</v>
      </c>
      <c r="BE171" s="24">
        <f>SUM(BF171:BH171)</f>
        <v>0</v>
      </c>
      <c r="BF171" s="24">
        <v>0</v>
      </c>
      <c r="BG171" s="24">
        <v>0</v>
      </c>
      <c r="BH171" s="24">
        <v>0</v>
      </c>
      <c r="BI171" s="24">
        <f>SUM(BL171:BL171)</f>
        <v>0</v>
      </c>
      <c r="BJ171" s="24">
        <v>0</v>
      </c>
      <c r="BK171" s="24">
        <v>0</v>
      </c>
      <c r="BL171" s="24">
        <v>0</v>
      </c>
      <c r="BM171" s="24">
        <v>0</v>
      </c>
      <c r="BN171" s="24">
        <v>0</v>
      </c>
      <c r="BO171" s="24">
        <f t="shared" si="300"/>
        <v>0</v>
      </c>
      <c r="BP171" s="24">
        <v>0</v>
      </c>
      <c r="BQ171" s="24">
        <v>0</v>
      </c>
      <c r="BR171" s="24">
        <f>SUM(BS171:CC171)</f>
        <v>2209981</v>
      </c>
      <c r="BS171" s="24">
        <v>0</v>
      </c>
      <c r="BT171" s="24">
        <v>0</v>
      </c>
      <c r="BU171" s="24">
        <v>0</v>
      </c>
      <c r="BV171" s="24">
        <v>0</v>
      </c>
      <c r="BW171" s="24">
        <v>0</v>
      </c>
      <c r="BX171" s="24">
        <v>0</v>
      </c>
      <c r="BY171" s="24">
        <v>0</v>
      </c>
      <c r="BZ171" s="24">
        <v>0</v>
      </c>
      <c r="CA171" s="24">
        <v>0</v>
      </c>
      <c r="CB171" s="24">
        <v>0</v>
      </c>
      <c r="CC171" s="29">
        <f>4209981-2000000</f>
        <v>2209981</v>
      </c>
      <c r="CD171" s="24">
        <f>SUM(CE171+CV171)</f>
        <v>37306832</v>
      </c>
      <c r="CE171" s="24">
        <f>SUM(CF171+CI171+CN171)</f>
        <v>37306832</v>
      </c>
      <c r="CF171" s="24">
        <f t="shared" si="301"/>
        <v>3055852</v>
      </c>
      <c r="CG171" s="24">
        <v>0</v>
      </c>
      <c r="CH171" s="29">
        <v>3055852</v>
      </c>
      <c r="CI171" s="24">
        <f>SUM(CJ171:CM171)</f>
        <v>27046517</v>
      </c>
      <c r="CJ171" s="24">
        <v>0</v>
      </c>
      <c r="CK171" s="24">
        <f>0+6300000+20746517</f>
        <v>27046517</v>
      </c>
      <c r="CL171" s="24">
        <v>0</v>
      </c>
      <c r="CM171" s="24">
        <v>0</v>
      </c>
      <c r="CN171" s="24">
        <f>SUM(CO171:CS171)</f>
        <v>7204463</v>
      </c>
      <c r="CO171" s="29"/>
      <c r="CP171" s="29">
        <f>476420+6728043</f>
        <v>7204463</v>
      </c>
      <c r="CQ171" s="24">
        <v>0</v>
      </c>
      <c r="CR171" s="24"/>
      <c r="CS171" s="24"/>
      <c r="CT171" s="24"/>
      <c r="CU171" s="24"/>
      <c r="CV171" s="24">
        <v>0</v>
      </c>
      <c r="CW171" s="24">
        <f t="shared" si="302"/>
        <v>0</v>
      </c>
      <c r="CX171" s="24">
        <f t="shared" si="303"/>
        <v>0</v>
      </c>
      <c r="CY171" s="24">
        <v>0</v>
      </c>
      <c r="CZ171" s="25">
        <v>0</v>
      </c>
    </row>
    <row r="172" spans="1:104" ht="31.2" x14ac:dyDescent="0.3">
      <c r="A172" s="20"/>
      <c r="B172" s="21" t="s">
        <v>286</v>
      </c>
      <c r="C172" s="21" t="s">
        <v>1</v>
      </c>
      <c r="D172" s="22" t="s">
        <v>287</v>
      </c>
      <c r="E172" s="23">
        <f>SUM(E173:E174)</f>
        <v>135189389</v>
      </c>
      <c r="F172" s="24">
        <f t="shared" ref="F172:BX172" si="361">SUM(F173:F174)</f>
        <v>134618271</v>
      </c>
      <c r="G172" s="24">
        <f t="shared" si="361"/>
        <v>134541045</v>
      </c>
      <c r="H172" s="24">
        <f t="shared" si="361"/>
        <v>86007484</v>
      </c>
      <c r="I172" s="24">
        <f t="shared" si="361"/>
        <v>20837566</v>
      </c>
      <c r="J172" s="24">
        <f t="shared" si="361"/>
        <v>14801455</v>
      </c>
      <c r="K172" s="24">
        <f t="shared" si="361"/>
        <v>9355281</v>
      </c>
      <c r="L172" s="24">
        <f t="shared" si="361"/>
        <v>167324</v>
      </c>
      <c r="M172" s="24">
        <f t="shared" si="361"/>
        <v>0</v>
      </c>
      <c r="N172" s="24">
        <f t="shared" si="361"/>
        <v>0</v>
      </c>
      <c r="O172" s="24">
        <f t="shared" si="361"/>
        <v>4321297</v>
      </c>
      <c r="P172" s="24">
        <f t="shared" si="361"/>
        <v>957553</v>
      </c>
      <c r="Q172" s="24">
        <f t="shared" si="361"/>
        <v>5948</v>
      </c>
      <c r="R172" s="24">
        <f t="shared" si="361"/>
        <v>0</v>
      </c>
      <c r="S172" s="24">
        <f t="shared" si="361"/>
        <v>5948</v>
      </c>
      <c r="T172" s="24">
        <f t="shared" si="361"/>
        <v>0</v>
      </c>
      <c r="U172" s="24">
        <f t="shared" si="361"/>
        <v>546804</v>
      </c>
      <c r="V172" s="24">
        <f t="shared" si="361"/>
        <v>2643978</v>
      </c>
      <c r="W172" s="24">
        <f t="shared" si="361"/>
        <v>121041</v>
      </c>
      <c r="X172" s="24">
        <f t="shared" si="361"/>
        <v>1558515</v>
      </c>
      <c r="Y172" s="24">
        <f t="shared" si="361"/>
        <v>512485</v>
      </c>
      <c r="Z172" s="24">
        <f t="shared" si="361"/>
        <v>344536</v>
      </c>
      <c r="AA172" s="24">
        <f t="shared" si="361"/>
        <v>64711</v>
      </c>
      <c r="AB172" s="24">
        <f t="shared" si="361"/>
        <v>0</v>
      </c>
      <c r="AC172" s="24">
        <f t="shared" si="361"/>
        <v>0</v>
      </c>
      <c r="AD172" s="24">
        <f t="shared" si="361"/>
        <v>42690</v>
      </c>
      <c r="AE172" s="24">
        <f t="shared" si="361"/>
        <v>2472</v>
      </c>
      <c r="AF172" s="24">
        <f t="shared" si="361"/>
        <v>9695338</v>
      </c>
      <c r="AG172" s="24">
        <f t="shared" si="361"/>
        <v>0</v>
      </c>
      <c r="AH172" s="24">
        <f t="shared" si="361"/>
        <v>0</v>
      </c>
      <c r="AI172" s="24">
        <f t="shared" si="361"/>
        <v>16326</v>
      </c>
      <c r="AJ172" s="24">
        <f t="shared" si="361"/>
        <v>517845</v>
      </c>
      <c r="AK172" s="24">
        <f t="shared" si="361"/>
        <v>0</v>
      </c>
      <c r="AL172" s="24">
        <f t="shared" si="361"/>
        <v>4575</v>
      </c>
      <c r="AM172" s="24">
        <f t="shared" si="361"/>
        <v>0</v>
      </c>
      <c r="AN172" s="24">
        <f t="shared" si="361"/>
        <v>409243</v>
      </c>
      <c r="AO172" s="24">
        <f t="shared" si="361"/>
        <v>37489</v>
      </c>
      <c r="AP172" s="24">
        <f t="shared" si="361"/>
        <v>0</v>
      </c>
      <c r="AQ172" s="24">
        <f t="shared" si="361"/>
        <v>0</v>
      </c>
      <c r="AR172" s="24">
        <f t="shared" ref="AR172" si="362">SUM(AR173:AR174)</f>
        <v>0</v>
      </c>
      <c r="AS172" s="24">
        <f t="shared" si="361"/>
        <v>0</v>
      </c>
      <c r="AT172" s="24">
        <f t="shared" si="361"/>
        <v>122147</v>
      </c>
      <c r="AU172" s="24">
        <f t="shared" si="361"/>
        <v>1620720</v>
      </c>
      <c r="AV172" s="24">
        <f t="shared" si="361"/>
        <v>0</v>
      </c>
      <c r="AW172" s="24">
        <f t="shared" si="361"/>
        <v>936254</v>
      </c>
      <c r="AX172" s="24">
        <f t="shared" si="361"/>
        <v>0</v>
      </c>
      <c r="AY172" s="24">
        <f t="shared" si="361"/>
        <v>0</v>
      </c>
      <c r="AZ172" s="24">
        <f t="shared" si="361"/>
        <v>0</v>
      </c>
      <c r="BA172" s="24">
        <f t="shared" si="361"/>
        <v>0</v>
      </c>
      <c r="BB172" s="24"/>
      <c r="BC172" s="24">
        <f t="shared" si="361"/>
        <v>6030739</v>
      </c>
      <c r="BD172" s="24">
        <f t="shared" si="361"/>
        <v>77226</v>
      </c>
      <c r="BE172" s="24">
        <f t="shared" si="361"/>
        <v>0</v>
      </c>
      <c r="BF172" s="24">
        <f t="shared" si="361"/>
        <v>0</v>
      </c>
      <c r="BG172" s="24">
        <f t="shared" si="361"/>
        <v>0</v>
      </c>
      <c r="BH172" s="24">
        <f t="shared" si="361"/>
        <v>0</v>
      </c>
      <c r="BI172" s="24">
        <f t="shared" si="361"/>
        <v>0</v>
      </c>
      <c r="BJ172" s="24">
        <f t="shared" si="361"/>
        <v>0</v>
      </c>
      <c r="BK172" s="24">
        <f t="shared" ref="BK172" si="363">SUM(BK173:BK174)</f>
        <v>0</v>
      </c>
      <c r="BL172" s="24">
        <f t="shared" si="361"/>
        <v>0</v>
      </c>
      <c r="BM172" s="24">
        <f t="shared" si="361"/>
        <v>0</v>
      </c>
      <c r="BN172" s="24">
        <f t="shared" si="361"/>
        <v>0</v>
      </c>
      <c r="BO172" s="24">
        <f t="shared" si="361"/>
        <v>0</v>
      </c>
      <c r="BP172" s="24">
        <f t="shared" si="361"/>
        <v>0</v>
      </c>
      <c r="BQ172" s="24">
        <f t="shared" ref="BQ172" si="364">SUM(BQ173:BQ174)</f>
        <v>0</v>
      </c>
      <c r="BR172" s="24">
        <f t="shared" si="361"/>
        <v>77226</v>
      </c>
      <c r="BS172" s="24">
        <f t="shared" si="361"/>
        <v>0</v>
      </c>
      <c r="BT172" s="24">
        <f t="shared" si="361"/>
        <v>0</v>
      </c>
      <c r="BU172" s="24">
        <f t="shared" si="361"/>
        <v>0</v>
      </c>
      <c r="BV172" s="24">
        <f t="shared" si="361"/>
        <v>0</v>
      </c>
      <c r="BW172" s="24">
        <f t="shared" si="361"/>
        <v>0</v>
      </c>
      <c r="BX172" s="24">
        <f t="shared" si="361"/>
        <v>0</v>
      </c>
      <c r="BY172" s="24">
        <f t="shared" ref="BY172:CZ172" si="365">SUM(BY173:BY174)</f>
        <v>0</v>
      </c>
      <c r="BZ172" s="24">
        <f t="shared" si="365"/>
        <v>0</v>
      </c>
      <c r="CA172" s="24">
        <f t="shared" si="365"/>
        <v>0</v>
      </c>
      <c r="CB172" s="24">
        <f t="shared" si="365"/>
        <v>0</v>
      </c>
      <c r="CC172" s="24">
        <f t="shared" si="365"/>
        <v>77226</v>
      </c>
      <c r="CD172" s="24">
        <f t="shared" si="365"/>
        <v>571118</v>
      </c>
      <c r="CE172" s="24">
        <f t="shared" si="365"/>
        <v>571118</v>
      </c>
      <c r="CF172" s="24">
        <f t="shared" si="365"/>
        <v>351110</v>
      </c>
      <c r="CG172" s="24">
        <f t="shared" si="365"/>
        <v>0</v>
      </c>
      <c r="CH172" s="24">
        <f t="shared" si="365"/>
        <v>351110</v>
      </c>
      <c r="CI172" s="24">
        <f t="shared" si="365"/>
        <v>0</v>
      </c>
      <c r="CJ172" s="24">
        <f t="shared" si="365"/>
        <v>0</v>
      </c>
      <c r="CK172" s="24">
        <f t="shared" ref="CK172:CL172" si="366">SUM(CK173:CK174)</f>
        <v>0</v>
      </c>
      <c r="CL172" s="24">
        <f t="shared" si="366"/>
        <v>0</v>
      </c>
      <c r="CM172" s="24">
        <f t="shared" si="365"/>
        <v>0</v>
      </c>
      <c r="CN172" s="24">
        <f t="shared" si="365"/>
        <v>220008</v>
      </c>
      <c r="CO172" s="24">
        <f t="shared" si="365"/>
        <v>0</v>
      </c>
      <c r="CP172" s="24">
        <f t="shared" ref="CP172" si="367">SUM(CP173:CP174)</f>
        <v>182648</v>
      </c>
      <c r="CQ172" s="24">
        <f t="shared" si="365"/>
        <v>0</v>
      </c>
      <c r="CR172" s="24">
        <f t="shared" ref="CR172" si="368">SUM(CR173:CR174)</f>
        <v>37360</v>
      </c>
      <c r="CS172" s="24">
        <f t="shared" si="365"/>
        <v>0</v>
      </c>
      <c r="CT172" s="24">
        <f t="shared" si="365"/>
        <v>0</v>
      </c>
      <c r="CU172" s="24">
        <f t="shared" si="365"/>
        <v>0</v>
      </c>
      <c r="CV172" s="24">
        <f t="shared" si="365"/>
        <v>0</v>
      </c>
      <c r="CW172" s="24">
        <f t="shared" si="365"/>
        <v>0</v>
      </c>
      <c r="CX172" s="24">
        <f t="shared" si="365"/>
        <v>0</v>
      </c>
      <c r="CY172" s="24">
        <f t="shared" si="365"/>
        <v>0</v>
      </c>
      <c r="CZ172" s="25">
        <f t="shared" si="365"/>
        <v>0</v>
      </c>
    </row>
    <row r="173" spans="1:104" ht="15.6" x14ac:dyDescent="0.3">
      <c r="A173" s="26"/>
      <c r="B173" s="27" t="s">
        <v>1</v>
      </c>
      <c r="C173" s="27" t="s">
        <v>86</v>
      </c>
      <c r="D173" s="28" t="s">
        <v>288</v>
      </c>
      <c r="E173" s="23">
        <f>SUM(F173+CD173+CW173)</f>
        <v>104376730</v>
      </c>
      <c r="F173" s="24">
        <f>SUM(G173+BD173)</f>
        <v>103976818</v>
      </c>
      <c r="G173" s="24">
        <f>SUM(H173+I173+J173+Q173+T173+U173+V173+AF173+AE173)</f>
        <v>103976818</v>
      </c>
      <c r="H173" s="29">
        <v>65711593</v>
      </c>
      <c r="I173" s="29">
        <v>16059913</v>
      </c>
      <c r="J173" s="24">
        <f t="shared" si="297"/>
        <v>9988985</v>
      </c>
      <c r="K173" s="29">
        <f>7988767+558848</f>
        <v>8547615</v>
      </c>
      <c r="L173" s="29">
        <v>140975</v>
      </c>
      <c r="M173" s="29">
        <v>0</v>
      </c>
      <c r="N173" s="29">
        <v>0</v>
      </c>
      <c r="O173" s="29">
        <v>369579</v>
      </c>
      <c r="P173" s="29">
        <f>930653+163</f>
        <v>930816</v>
      </c>
      <c r="Q173" s="24">
        <f t="shared" si="298"/>
        <v>0</v>
      </c>
      <c r="R173" s="24">
        <v>0</v>
      </c>
      <c r="S173" s="24"/>
      <c r="T173" s="24">
        <v>0</v>
      </c>
      <c r="U173" s="29">
        <f>530531-120000</f>
        <v>410531</v>
      </c>
      <c r="V173" s="24">
        <f t="shared" ref="V173:V174" si="369">SUM(W173:AD173)</f>
        <v>2369368</v>
      </c>
      <c r="W173" s="29">
        <v>121041</v>
      </c>
      <c r="X173" s="29">
        <f>1307495+91012+22691</f>
        <v>1421198</v>
      </c>
      <c r="Y173" s="29">
        <f>399932+12637</f>
        <v>412569</v>
      </c>
      <c r="Z173" s="29">
        <v>310412</v>
      </c>
      <c r="AA173" s="29">
        <v>61458</v>
      </c>
      <c r="AB173" s="29">
        <v>0</v>
      </c>
      <c r="AC173" s="29">
        <v>0</v>
      </c>
      <c r="AD173" s="29">
        <f>49441+20-6771</f>
        <v>42690</v>
      </c>
      <c r="AE173" s="29">
        <v>0</v>
      </c>
      <c r="AF173" s="24">
        <f>SUM(AG173:BC173)</f>
        <v>9436428</v>
      </c>
      <c r="AG173" s="24">
        <v>0</v>
      </c>
      <c r="AH173" s="24">
        <v>0</v>
      </c>
      <c r="AI173" s="29">
        <v>12333</v>
      </c>
      <c r="AJ173" s="29">
        <v>516211</v>
      </c>
      <c r="AK173" s="29">
        <v>0</v>
      </c>
      <c r="AL173" s="29">
        <v>4575</v>
      </c>
      <c r="AM173" s="29">
        <v>0</v>
      </c>
      <c r="AN173" s="29">
        <v>310881</v>
      </c>
      <c r="AO173" s="29">
        <v>0</v>
      </c>
      <c r="AP173" s="29">
        <v>0</v>
      </c>
      <c r="AQ173" s="29">
        <v>0</v>
      </c>
      <c r="AR173" s="29"/>
      <c r="AS173" s="29">
        <v>0</v>
      </c>
      <c r="AT173" s="29">
        <v>74332</v>
      </c>
      <c r="AU173" s="29">
        <v>1600000</v>
      </c>
      <c r="AV173" s="29">
        <v>0</v>
      </c>
      <c r="AW173" s="29">
        <v>936254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f>5965532+16310</f>
        <v>5981842</v>
      </c>
      <c r="BD173" s="24">
        <f>SUM(BE173+BI173+BM173+BO173+BR173)</f>
        <v>0</v>
      </c>
      <c r="BE173" s="24">
        <f>SUM(BF173:BH173)</f>
        <v>0</v>
      </c>
      <c r="BF173" s="24">
        <v>0</v>
      </c>
      <c r="BG173" s="24">
        <v>0</v>
      </c>
      <c r="BH173" s="24">
        <v>0</v>
      </c>
      <c r="BI173" s="24">
        <f>SUM(BL173:BL173)</f>
        <v>0</v>
      </c>
      <c r="BJ173" s="24">
        <v>0</v>
      </c>
      <c r="BK173" s="24">
        <v>0</v>
      </c>
      <c r="BL173" s="24">
        <v>0</v>
      </c>
      <c r="BM173" s="24">
        <v>0</v>
      </c>
      <c r="BN173" s="24">
        <v>0</v>
      </c>
      <c r="BO173" s="24">
        <f t="shared" si="300"/>
        <v>0</v>
      </c>
      <c r="BP173" s="24">
        <v>0</v>
      </c>
      <c r="BQ173" s="24">
        <v>0</v>
      </c>
      <c r="BR173" s="24">
        <f>SUM(BS173:CC173)</f>
        <v>0</v>
      </c>
      <c r="BS173" s="24">
        <v>0</v>
      </c>
      <c r="BT173" s="24">
        <v>0</v>
      </c>
      <c r="BU173" s="24">
        <v>0</v>
      </c>
      <c r="BV173" s="24">
        <v>0</v>
      </c>
      <c r="BW173" s="24">
        <v>0</v>
      </c>
      <c r="BX173" s="24">
        <v>0</v>
      </c>
      <c r="BY173" s="24">
        <v>0</v>
      </c>
      <c r="BZ173" s="24">
        <v>0</v>
      </c>
      <c r="CA173" s="24">
        <v>0</v>
      </c>
      <c r="CB173" s="24">
        <v>0</v>
      </c>
      <c r="CC173" s="29">
        <v>0</v>
      </c>
      <c r="CD173" s="24">
        <f>SUM(CE173+CV173)</f>
        <v>399912</v>
      </c>
      <c r="CE173" s="24">
        <f>SUM(CF173+CI173+CN173)</f>
        <v>399912</v>
      </c>
      <c r="CF173" s="24">
        <f t="shared" si="301"/>
        <v>228133</v>
      </c>
      <c r="CG173" s="24">
        <v>0</v>
      </c>
      <c r="CH173" s="29">
        <f>378133-150000</f>
        <v>228133</v>
      </c>
      <c r="CI173" s="24">
        <f>SUM(CJ173:CM173)</f>
        <v>0</v>
      </c>
      <c r="CJ173" s="24">
        <v>0</v>
      </c>
      <c r="CK173" s="24">
        <v>0</v>
      </c>
      <c r="CL173" s="24">
        <v>0</v>
      </c>
      <c r="CM173" s="24">
        <v>0</v>
      </c>
      <c r="CN173" s="24">
        <f>SUM(CO173:CS173)</f>
        <v>171779</v>
      </c>
      <c r="CO173" s="29"/>
      <c r="CP173" s="29">
        <v>171779</v>
      </c>
      <c r="CQ173" s="29">
        <v>0</v>
      </c>
      <c r="CR173" s="29">
        <v>0</v>
      </c>
      <c r="CS173" s="29">
        <v>0</v>
      </c>
      <c r="CT173" s="24"/>
      <c r="CU173" s="24"/>
      <c r="CV173" s="24">
        <v>0</v>
      </c>
      <c r="CW173" s="24">
        <f t="shared" si="302"/>
        <v>0</v>
      </c>
      <c r="CX173" s="24">
        <f t="shared" si="303"/>
        <v>0</v>
      </c>
      <c r="CY173" s="24">
        <v>0</v>
      </c>
      <c r="CZ173" s="25">
        <v>0</v>
      </c>
    </row>
    <row r="174" spans="1:104" ht="15.6" x14ac:dyDescent="0.3">
      <c r="A174" s="26"/>
      <c r="B174" s="27" t="s">
        <v>1</v>
      </c>
      <c r="C174" s="27" t="s">
        <v>86</v>
      </c>
      <c r="D174" s="28" t="s">
        <v>289</v>
      </c>
      <c r="E174" s="23">
        <f>SUM(F174+CD174+CW174)</f>
        <v>30812659</v>
      </c>
      <c r="F174" s="24">
        <f>SUM(G174+BD174)</f>
        <v>30641453</v>
      </c>
      <c r="G174" s="24">
        <f>SUM(H174+I174+J174+Q174+T174+U174+V174+AF174+AE174)</f>
        <v>30564227</v>
      </c>
      <c r="H174" s="29">
        <v>20295891</v>
      </c>
      <c r="I174" s="29">
        <v>4777653</v>
      </c>
      <c r="J174" s="24">
        <f t="shared" si="297"/>
        <v>4812470</v>
      </c>
      <c r="K174" s="29">
        <v>807666</v>
      </c>
      <c r="L174" s="29">
        <v>26349</v>
      </c>
      <c r="M174" s="29">
        <v>0</v>
      </c>
      <c r="N174" s="29">
        <v>0</v>
      </c>
      <c r="O174" s="29">
        <v>3951718</v>
      </c>
      <c r="P174" s="29">
        <v>26737</v>
      </c>
      <c r="Q174" s="24">
        <f t="shared" si="298"/>
        <v>5948</v>
      </c>
      <c r="R174" s="24">
        <v>0</v>
      </c>
      <c r="S174" s="29">
        <v>5948</v>
      </c>
      <c r="T174" s="24"/>
      <c r="U174" s="29">
        <v>136273</v>
      </c>
      <c r="V174" s="24">
        <f t="shared" si="369"/>
        <v>274610</v>
      </c>
      <c r="W174" s="29">
        <v>0</v>
      </c>
      <c r="X174" s="29">
        <f>126615+10702</f>
        <v>137317</v>
      </c>
      <c r="Y174" s="29">
        <v>99916</v>
      </c>
      <c r="Z174" s="29">
        <v>34124</v>
      </c>
      <c r="AA174" s="29">
        <v>3253</v>
      </c>
      <c r="AB174" s="29">
        <v>0</v>
      </c>
      <c r="AC174" s="29">
        <v>0</v>
      </c>
      <c r="AD174" s="29">
        <v>0</v>
      </c>
      <c r="AE174" s="29">
        <v>2472</v>
      </c>
      <c r="AF174" s="24">
        <f>SUM(AG174:BC174)</f>
        <v>258910</v>
      </c>
      <c r="AG174" s="24">
        <v>0</v>
      </c>
      <c r="AH174" s="24"/>
      <c r="AI174" s="29">
        <v>3993</v>
      </c>
      <c r="AJ174" s="29">
        <v>1634</v>
      </c>
      <c r="AK174" s="29">
        <v>0</v>
      </c>
      <c r="AL174" s="29">
        <v>0</v>
      </c>
      <c r="AM174" s="29">
        <v>0</v>
      </c>
      <c r="AN174" s="29">
        <v>98362</v>
      </c>
      <c r="AO174" s="29">
        <v>37489</v>
      </c>
      <c r="AP174" s="29">
        <v>0</v>
      </c>
      <c r="AQ174" s="29">
        <v>0</v>
      </c>
      <c r="AR174" s="29">
        <v>0</v>
      </c>
      <c r="AS174" s="29">
        <v>0</v>
      </c>
      <c r="AT174" s="29">
        <v>47815</v>
      </c>
      <c r="AU174" s="29">
        <v>20720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48897</v>
      </c>
      <c r="BD174" s="24">
        <f>SUM(BE174+BI174+BM174+BO174+BR174)</f>
        <v>77226</v>
      </c>
      <c r="BE174" s="24">
        <f>SUM(BF174:BH174)</f>
        <v>0</v>
      </c>
      <c r="BF174" s="24">
        <v>0</v>
      </c>
      <c r="BG174" s="24">
        <v>0</v>
      </c>
      <c r="BH174" s="24">
        <v>0</v>
      </c>
      <c r="BI174" s="24">
        <f>SUM(BL174:BL174)</f>
        <v>0</v>
      </c>
      <c r="BJ174" s="24">
        <v>0</v>
      </c>
      <c r="BK174" s="24">
        <v>0</v>
      </c>
      <c r="BL174" s="24">
        <v>0</v>
      </c>
      <c r="BM174" s="24">
        <v>0</v>
      </c>
      <c r="BN174" s="24">
        <v>0</v>
      </c>
      <c r="BO174" s="24">
        <f t="shared" si="300"/>
        <v>0</v>
      </c>
      <c r="BP174" s="24">
        <v>0</v>
      </c>
      <c r="BQ174" s="24">
        <v>0</v>
      </c>
      <c r="BR174" s="24">
        <f>SUM(BS174:CC174)</f>
        <v>77226</v>
      </c>
      <c r="BS174" s="24">
        <v>0</v>
      </c>
      <c r="BT174" s="24">
        <v>0</v>
      </c>
      <c r="BU174" s="24">
        <v>0</v>
      </c>
      <c r="BV174" s="24">
        <v>0</v>
      </c>
      <c r="BW174" s="24">
        <v>0</v>
      </c>
      <c r="BX174" s="24">
        <v>0</v>
      </c>
      <c r="BY174" s="24">
        <v>0</v>
      </c>
      <c r="BZ174" s="24">
        <v>0</v>
      </c>
      <c r="CA174" s="24">
        <v>0</v>
      </c>
      <c r="CB174" s="24">
        <v>0</v>
      </c>
      <c r="CC174" s="29">
        <v>77226</v>
      </c>
      <c r="CD174" s="24">
        <f>SUM(CE174+CV174)</f>
        <v>171206</v>
      </c>
      <c r="CE174" s="24">
        <f>SUM(CF174+CI174+CN174)</f>
        <v>171206</v>
      </c>
      <c r="CF174" s="24">
        <f t="shared" si="301"/>
        <v>122977</v>
      </c>
      <c r="CG174" s="24">
        <v>0</v>
      </c>
      <c r="CH174" s="29">
        <v>122977</v>
      </c>
      <c r="CI174" s="24">
        <f>SUM(CJ174:CM174)</f>
        <v>0</v>
      </c>
      <c r="CJ174" s="24">
        <v>0</v>
      </c>
      <c r="CK174" s="24">
        <v>0</v>
      </c>
      <c r="CL174" s="24">
        <v>0</v>
      </c>
      <c r="CM174" s="24">
        <v>0</v>
      </c>
      <c r="CN174" s="24">
        <f>SUM(CO174:CS174)</f>
        <v>48229</v>
      </c>
      <c r="CO174" s="29"/>
      <c r="CP174" s="29">
        <v>10869</v>
      </c>
      <c r="CQ174" s="29">
        <v>0</v>
      </c>
      <c r="CR174" s="29">
        <v>37360</v>
      </c>
      <c r="CS174" s="29"/>
      <c r="CT174" s="24">
        <v>0</v>
      </c>
      <c r="CU174" s="24">
        <v>0</v>
      </c>
      <c r="CV174" s="24">
        <v>0</v>
      </c>
      <c r="CW174" s="24">
        <f t="shared" si="302"/>
        <v>0</v>
      </c>
      <c r="CX174" s="24">
        <f t="shared" si="303"/>
        <v>0</v>
      </c>
      <c r="CY174" s="24">
        <v>0</v>
      </c>
      <c r="CZ174" s="25">
        <v>0</v>
      </c>
    </row>
    <row r="175" spans="1:104" ht="31.2" x14ac:dyDescent="0.3">
      <c r="A175" s="20"/>
      <c r="B175" s="21" t="s">
        <v>290</v>
      </c>
      <c r="C175" s="21" t="s">
        <v>1</v>
      </c>
      <c r="D175" s="22" t="s">
        <v>291</v>
      </c>
      <c r="E175" s="23">
        <f t="shared" ref="E175:BU175" si="370">SUM(E176:E177)</f>
        <v>28863367</v>
      </c>
      <c r="F175" s="24">
        <f t="shared" si="370"/>
        <v>28646550</v>
      </c>
      <c r="G175" s="24">
        <f t="shared" si="370"/>
        <v>28400073</v>
      </c>
      <c r="H175" s="24">
        <f t="shared" si="370"/>
        <v>19144941</v>
      </c>
      <c r="I175" s="24">
        <f t="shared" si="370"/>
        <v>4522588</v>
      </c>
      <c r="J175" s="24">
        <f t="shared" si="370"/>
        <v>3379084</v>
      </c>
      <c r="K175" s="24">
        <f t="shared" si="370"/>
        <v>1928625</v>
      </c>
      <c r="L175" s="24">
        <f t="shared" si="370"/>
        <v>33945</v>
      </c>
      <c r="M175" s="24">
        <f t="shared" si="370"/>
        <v>878013</v>
      </c>
      <c r="N175" s="24">
        <f t="shared" si="370"/>
        <v>0</v>
      </c>
      <c r="O175" s="24">
        <f t="shared" si="370"/>
        <v>418125</v>
      </c>
      <c r="P175" s="24">
        <f t="shared" si="370"/>
        <v>120376</v>
      </c>
      <c r="Q175" s="24">
        <f t="shared" si="370"/>
        <v>1022</v>
      </c>
      <c r="R175" s="24">
        <f t="shared" si="370"/>
        <v>0</v>
      </c>
      <c r="S175" s="24">
        <f t="shared" si="370"/>
        <v>1022</v>
      </c>
      <c r="T175" s="24">
        <f t="shared" si="370"/>
        <v>0</v>
      </c>
      <c r="U175" s="24">
        <f t="shared" si="370"/>
        <v>161793</v>
      </c>
      <c r="V175" s="24">
        <f t="shared" si="370"/>
        <v>814129</v>
      </c>
      <c r="W175" s="24">
        <f t="shared" si="370"/>
        <v>20854</v>
      </c>
      <c r="X175" s="24">
        <f t="shared" si="370"/>
        <v>525378</v>
      </c>
      <c r="Y175" s="24">
        <f t="shared" si="370"/>
        <v>127296</v>
      </c>
      <c r="Z175" s="24">
        <f t="shared" si="370"/>
        <v>98940</v>
      </c>
      <c r="AA175" s="24">
        <f t="shared" si="370"/>
        <v>6585</v>
      </c>
      <c r="AB175" s="24">
        <f t="shared" si="370"/>
        <v>0</v>
      </c>
      <c r="AC175" s="24">
        <f t="shared" si="370"/>
        <v>0</v>
      </c>
      <c r="AD175" s="24">
        <f t="shared" si="370"/>
        <v>35076</v>
      </c>
      <c r="AE175" s="24">
        <f t="shared" si="370"/>
        <v>0</v>
      </c>
      <c r="AF175" s="24">
        <f t="shared" si="370"/>
        <v>376516</v>
      </c>
      <c r="AG175" s="24">
        <f t="shared" si="370"/>
        <v>0</v>
      </c>
      <c r="AH175" s="24">
        <f t="shared" si="370"/>
        <v>0</v>
      </c>
      <c r="AI175" s="24">
        <f t="shared" si="370"/>
        <v>625</v>
      </c>
      <c r="AJ175" s="24">
        <f t="shared" si="370"/>
        <v>82117</v>
      </c>
      <c r="AK175" s="24">
        <f t="shared" si="370"/>
        <v>0</v>
      </c>
      <c r="AL175" s="24">
        <f t="shared" si="370"/>
        <v>1591</v>
      </c>
      <c r="AM175" s="24">
        <f t="shared" si="370"/>
        <v>0</v>
      </c>
      <c r="AN175" s="24">
        <f t="shared" si="370"/>
        <v>176102</v>
      </c>
      <c r="AO175" s="24">
        <f t="shared" si="370"/>
        <v>0</v>
      </c>
      <c r="AP175" s="24">
        <f t="shared" si="370"/>
        <v>0</v>
      </c>
      <c r="AQ175" s="24">
        <f t="shared" si="370"/>
        <v>0</v>
      </c>
      <c r="AR175" s="24">
        <f t="shared" ref="AR175" si="371">SUM(AR176:AR177)</f>
        <v>0</v>
      </c>
      <c r="AS175" s="24">
        <f t="shared" si="370"/>
        <v>0</v>
      </c>
      <c r="AT175" s="24">
        <f t="shared" si="370"/>
        <v>44715</v>
      </c>
      <c r="AU175" s="24">
        <f t="shared" si="370"/>
        <v>14400</v>
      </c>
      <c r="AV175" s="24">
        <f t="shared" si="370"/>
        <v>0</v>
      </c>
      <c r="AW175" s="24">
        <f t="shared" si="370"/>
        <v>34441</v>
      </c>
      <c r="AX175" s="24">
        <f t="shared" si="370"/>
        <v>0</v>
      </c>
      <c r="AY175" s="24">
        <f t="shared" si="370"/>
        <v>0</v>
      </c>
      <c r="AZ175" s="24">
        <f t="shared" si="370"/>
        <v>0</v>
      </c>
      <c r="BA175" s="24">
        <f t="shared" si="370"/>
        <v>0</v>
      </c>
      <c r="BB175" s="24"/>
      <c r="BC175" s="24">
        <f t="shared" si="370"/>
        <v>22525</v>
      </c>
      <c r="BD175" s="24">
        <f t="shared" si="370"/>
        <v>246477</v>
      </c>
      <c r="BE175" s="24">
        <f t="shared" si="370"/>
        <v>0</v>
      </c>
      <c r="BF175" s="24">
        <f t="shared" si="370"/>
        <v>0</v>
      </c>
      <c r="BG175" s="24">
        <f t="shared" si="370"/>
        <v>0</v>
      </c>
      <c r="BH175" s="24">
        <f t="shared" si="370"/>
        <v>0</v>
      </c>
      <c r="BI175" s="24">
        <f t="shared" si="370"/>
        <v>0</v>
      </c>
      <c r="BJ175" s="24">
        <f t="shared" si="370"/>
        <v>0</v>
      </c>
      <c r="BK175" s="24">
        <f t="shared" ref="BK175" si="372">SUM(BK176:BK177)</f>
        <v>0</v>
      </c>
      <c r="BL175" s="24">
        <f t="shared" si="370"/>
        <v>0</v>
      </c>
      <c r="BM175" s="24">
        <f t="shared" si="370"/>
        <v>0</v>
      </c>
      <c r="BN175" s="24">
        <f t="shared" si="370"/>
        <v>0</v>
      </c>
      <c r="BO175" s="24">
        <f t="shared" si="370"/>
        <v>0</v>
      </c>
      <c r="BP175" s="24">
        <f t="shared" si="370"/>
        <v>0</v>
      </c>
      <c r="BQ175" s="24">
        <f t="shared" ref="BQ175" si="373">SUM(BQ176:BQ177)</f>
        <v>0</v>
      </c>
      <c r="BR175" s="24">
        <f t="shared" si="370"/>
        <v>246477</v>
      </c>
      <c r="BS175" s="24">
        <f t="shared" si="370"/>
        <v>0</v>
      </c>
      <c r="BT175" s="24">
        <f t="shared" si="370"/>
        <v>0</v>
      </c>
      <c r="BU175" s="24">
        <f t="shared" si="370"/>
        <v>0</v>
      </c>
      <c r="BV175" s="24">
        <f t="shared" ref="BV175:CZ175" si="374">SUM(BV176:BV177)</f>
        <v>0</v>
      </c>
      <c r="BW175" s="24">
        <f t="shared" si="374"/>
        <v>0</v>
      </c>
      <c r="BX175" s="24">
        <f t="shared" si="374"/>
        <v>0</v>
      </c>
      <c r="BY175" s="24">
        <f t="shared" si="374"/>
        <v>0</v>
      </c>
      <c r="BZ175" s="24">
        <f t="shared" si="374"/>
        <v>0</v>
      </c>
      <c r="CA175" s="24">
        <f t="shared" si="374"/>
        <v>0</v>
      </c>
      <c r="CB175" s="24">
        <f t="shared" si="374"/>
        <v>0</v>
      </c>
      <c r="CC175" s="24">
        <f t="shared" si="374"/>
        <v>246477</v>
      </c>
      <c r="CD175" s="24">
        <f t="shared" si="374"/>
        <v>216817</v>
      </c>
      <c r="CE175" s="24">
        <f t="shared" si="374"/>
        <v>216817</v>
      </c>
      <c r="CF175" s="24">
        <f t="shared" si="374"/>
        <v>216817</v>
      </c>
      <c r="CG175" s="24">
        <f t="shared" si="374"/>
        <v>0</v>
      </c>
      <c r="CH175" s="24">
        <f t="shared" si="374"/>
        <v>216817</v>
      </c>
      <c r="CI175" s="24">
        <f t="shared" si="374"/>
        <v>0</v>
      </c>
      <c r="CJ175" s="24">
        <f t="shared" si="374"/>
        <v>0</v>
      </c>
      <c r="CK175" s="24">
        <f t="shared" ref="CK175:CL175" si="375">SUM(CK176:CK177)</f>
        <v>0</v>
      </c>
      <c r="CL175" s="24">
        <f t="shared" si="375"/>
        <v>0</v>
      </c>
      <c r="CM175" s="24">
        <f t="shared" si="374"/>
        <v>0</v>
      </c>
      <c r="CN175" s="24">
        <f t="shared" si="374"/>
        <v>0</v>
      </c>
      <c r="CO175" s="24">
        <f t="shared" si="374"/>
        <v>0</v>
      </c>
      <c r="CP175" s="24">
        <f t="shared" ref="CP175" si="376">SUM(CP176:CP177)</f>
        <v>0</v>
      </c>
      <c r="CQ175" s="24">
        <f t="shared" si="374"/>
        <v>0</v>
      </c>
      <c r="CR175" s="24"/>
      <c r="CS175" s="24"/>
      <c r="CT175" s="24">
        <f t="shared" si="374"/>
        <v>0</v>
      </c>
      <c r="CU175" s="24">
        <f t="shared" si="374"/>
        <v>0</v>
      </c>
      <c r="CV175" s="24">
        <f t="shared" si="374"/>
        <v>0</v>
      </c>
      <c r="CW175" s="24">
        <f t="shared" si="374"/>
        <v>0</v>
      </c>
      <c r="CX175" s="24">
        <f t="shared" si="374"/>
        <v>0</v>
      </c>
      <c r="CY175" s="24">
        <f t="shared" si="374"/>
        <v>0</v>
      </c>
      <c r="CZ175" s="25">
        <f t="shared" si="374"/>
        <v>0</v>
      </c>
    </row>
    <row r="176" spans="1:104" ht="15.6" x14ac:dyDescent="0.3">
      <c r="A176" s="26"/>
      <c r="B176" s="27" t="s">
        <v>1</v>
      </c>
      <c r="C176" s="27" t="s">
        <v>84</v>
      </c>
      <c r="D176" s="28" t="s">
        <v>292</v>
      </c>
      <c r="E176" s="23">
        <f>SUM(F176+CD176+CW176)</f>
        <v>6658379</v>
      </c>
      <c r="F176" s="24">
        <f>SUM(G176+BD176)</f>
        <v>6441562</v>
      </c>
      <c r="G176" s="24">
        <f>SUM(H176+I176+J176+Q176+T176+U176+V176+AF176+AE176)</f>
        <v>6195085</v>
      </c>
      <c r="H176" s="29">
        <f>3699445-50115</f>
        <v>3649330</v>
      </c>
      <c r="I176" s="29">
        <v>858271</v>
      </c>
      <c r="J176" s="24">
        <f t="shared" si="297"/>
        <v>1258164</v>
      </c>
      <c r="K176" s="29">
        <v>153582</v>
      </c>
      <c r="L176" s="29">
        <f>193450-65913-93592</f>
        <v>33945</v>
      </c>
      <c r="M176" s="29">
        <f>790834+87179</f>
        <v>878013</v>
      </c>
      <c r="N176" s="29">
        <v>0</v>
      </c>
      <c r="O176" s="29">
        <v>95109</v>
      </c>
      <c r="P176" s="29">
        <f>75933+21582</f>
        <v>97515</v>
      </c>
      <c r="Q176" s="24">
        <f t="shared" si="298"/>
        <v>1022</v>
      </c>
      <c r="R176" s="24">
        <v>0</v>
      </c>
      <c r="S176" s="29">
        <v>1022</v>
      </c>
      <c r="T176" s="29">
        <v>0</v>
      </c>
      <c r="U176" s="29">
        <v>11766</v>
      </c>
      <c r="V176" s="24">
        <f t="shared" ref="V176:V177" si="377">SUM(W176:AD176)</f>
        <v>200431</v>
      </c>
      <c r="W176" s="29">
        <v>19620</v>
      </c>
      <c r="X176" s="29">
        <v>0</v>
      </c>
      <c r="Y176" s="29">
        <f>69092+9158</f>
        <v>78250</v>
      </c>
      <c r="Z176" s="29">
        <v>61919</v>
      </c>
      <c r="AA176" s="29">
        <v>6522</v>
      </c>
      <c r="AB176" s="29">
        <v>0</v>
      </c>
      <c r="AC176" s="29">
        <v>0</v>
      </c>
      <c r="AD176" s="29">
        <f>34092+14+14</f>
        <v>34120</v>
      </c>
      <c r="AE176" s="29">
        <v>0</v>
      </c>
      <c r="AF176" s="24">
        <f>SUM(AG176:BC176)</f>
        <v>216101</v>
      </c>
      <c r="AG176" s="24">
        <v>0</v>
      </c>
      <c r="AH176" s="24"/>
      <c r="AI176" s="29">
        <v>625</v>
      </c>
      <c r="AJ176" s="29">
        <f>16204+65913</f>
        <v>82117</v>
      </c>
      <c r="AK176" s="29">
        <v>0</v>
      </c>
      <c r="AL176" s="29">
        <v>1591</v>
      </c>
      <c r="AM176" s="29">
        <v>0</v>
      </c>
      <c r="AN176" s="29">
        <f>34254-18567</f>
        <v>15687</v>
      </c>
      <c r="AO176" s="29">
        <v>0</v>
      </c>
      <c r="AP176" s="29">
        <v>0</v>
      </c>
      <c r="AQ176" s="29">
        <v>0</v>
      </c>
      <c r="AR176" s="29"/>
      <c r="AS176" s="29">
        <v>0</v>
      </c>
      <c r="AT176" s="29">
        <v>44715</v>
      </c>
      <c r="AU176" s="29">
        <v>14400</v>
      </c>
      <c r="AV176" s="29">
        <v>0</v>
      </c>
      <c r="AW176" s="29">
        <f>18178+16263</f>
        <v>34441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f>32525-10000</f>
        <v>22525</v>
      </c>
      <c r="BD176" s="24">
        <f>SUM(BE176+BI176+BM176+BO176+BR176)</f>
        <v>246477</v>
      </c>
      <c r="BE176" s="24">
        <f>SUM(BF176:BH176)</f>
        <v>0</v>
      </c>
      <c r="BF176" s="24">
        <v>0</v>
      </c>
      <c r="BG176" s="24">
        <v>0</v>
      </c>
      <c r="BH176" s="24">
        <v>0</v>
      </c>
      <c r="BI176" s="24">
        <f>SUM(BL176:BL176)</f>
        <v>0</v>
      </c>
      <c r="BJ176" s="24">
        <v>0</v>
      </c>
      <c r="BK176" s="24">
        <v>0</v>
      </c>
      <c r="BL176" s="24">
        <v>0</v>
      </c>
      <c r="BM176" s="24">
        <v>0</v>
      </c>
      <c r="BN176" s="24">
        <v>0</v>
      </c>
      <c r="BO176" s="24">
        <f t="shared" si="300"/>
        <v>0</v>
      </c>
      <c r="BP176" s="24">
        <v>0</v>
      </c>
      <c r="BQ176" s="24">
        <v>0</v>
      </c>
      <c r="BR176" s="24">
        <f>SUM(BS176:CC176)</f>
        <v>246477</v>
      </c>
      <c r="BS176" s="24">
        <v>0</v>
      </c>
      <c r="BT176" s="24">
        <v>0</v>
      </c>
      <c r="BU176" s="24">
        <v>0</v>
      </c>
      <c r="BV176" s="24">
        <v>0</v>
      </c>
      <c r="BW176" s="24">
        <v>0</v>
      </c>
      <c r="BX176" s="24">
        <v>0</v>
      </c>
      <c r="BY176" s="24">
        <v>0</v>
      </c>
      <c r="BZ176" s="24">
        <v>0</v>
      </c>
      <c r="CA176" s="24">
        <v>0</v>
      </c>
      <c r="CB176" s="24">
        <v>0</v>
      </c>
      <c r="CC176" s="29">
        <v>246477</v>
      </c>
      <c r="CD176" s="24">
        <f>SUM(CE176+CV176)</f>
        <v>216817</v>
      </c>
      <c r="CE176" s="24">
        <f>SUM(CF176+CI176+CN176)</f>
        <v>216817</v>
      </c>
      <c r="CF176" s="24">
        <f t="shared" si="301"/>
        <v>216817</v>
      </c>
      <c r="CG176" s="24">
        <v>0</v>
      </c>
      <c r="CH176" s="24">
        <f>57973+158844</f>
        <v>216817</v>
      </c>
      <c r="CI176" s="24">
        <f>SUM(CJ176:CM176)</f>
        <v>0</v>
      </c>
      <c r="CJ176" s="24">
        <v>0</v>
      </c>
      <c r="CK176" s="24">
        <v>0</v>
      </c>
      <c r="CL176" s="24">
        <v>0</v>
      </c>
      <c r="CM176" s="24">
        <v>0</v>
      </c>
      <c r="CN176" s="24">
        <f>SUM(CO176:CS176)</f>
        <v>0</v>
      </c>
      <c r="CO176" s="24">
        <v>0</v>
      </c>
      <c r="CP176" s="24">
        <v>0</v>
      </c>
      <c r="CQ176" s="24">
        <v>0</v>
      </c>
      <c r="CR176" s="24"/>
      <c r="CS176" s="24"/>
      <c r="CT176" s="24">
        <v>0</v>
      </c>
      <c r="CU176" s="24">
        <v>0</v>
      </c>
      <c r="CV176" s="24">
        <v>0</v>
      </c>
      <c r="CW176" s="24">
        <f t="shared" si="302"/>
        <v>0</v>
      </c>
      <c r="CX176" s="24">
        <f t="shared" si="303"/>
        <v>0</v>
      </c>
      <c r="CY176" s="24">
        <v>0</v>
      </c>
      <c r="CZ176" s="25">
        <v>0</v>
      </c>
    </row>
    <row r="177" spans="1:104" ht="15.6" x14ac:dyDescent="0.3">
      <c r="A177" s="26"/>
      <c r="B177" s="27" t="s">
        <v>1</v>
      </c>
      <c r="C177" s="27" t="s">
        <v>86</v>
      </c>
      <c r="D177" s="28" t="s">
        <v>293</v>
      </c>
      <c r="E177" s="23">
        <f>SUM(F177+CD177+CW177)</f>
        <v>22204988</v>
      </c>
      <c r="F177" s="24">
        <f>SUM(G177+BD177)</f>
        <v>22204988</v>
      </c>
      <c r="G177" s="24">
        <f>SUM(H177+I177+J177+Q177+T177+U177+V177+AF177+AE177)</f>
        <v>22204988</v>
      </c>
      <c r="H177" s="29">
        <f>15524888-29277</f>
        <v>15495611</v>
      </c>
      <c r="I177" s="29">
        <f>3671636-7319</f>
        <v>3664317</v>
      </c>
      <c r="J177" s="24">
        <f t="shared" si="297"/>
        <v>2120920</v>
      </c>
      <c r="K177" s="29">
        <v>1775043</v>
      </c>
      <c r="L177" s="29">
        <v>0</v>
      </c>
      <c r="M177" s="29">
        <v>0</v>
      </c>
      <c r="N177" s="29">
        <v>0</v>
      </c>
      <c r="O177" s="29">
        <v>323016</v>
      </c>
      <c r="P177" s="29">
        <v>22861</v>
      </c>
      <c r="Q177" s="24">
        <f t="shared" si="298"/>
        <v>0</v>
      </c>
      <c r="R177" s="24">
        <v>0</v>
      </c>
      <c r="S177" s="29">
        <v>0</v>
      </c>
      <c r="T177" s="29">
        <v>0</v>
      </c>
      <c r="U177" s="29">
        <f>180027-30000</f>
        <v>150027</v>
      </c>
      <c r="V177" s="24">
        <f t="shared" si="377"/>
        <v>613698</v>
      </c>
      <c r="W177" s="29">
        <v>1234</v>
      </c>
      <c r="X177" s="29">
        <f>462387+62991</f>
        <v>525378</v>
      </c>
      <c r="Y177" s="29">
        <v>49046</v>
      </c>
      <c r="Z177" s="29">
        <v>37021</v>
      </c>
      <c r="AA177" s="29">
        <v>63</v>
      </c>
      <c r="AB177" s="29">
        <v>0</v>
      </c>
      <c r="AC177" s="29">
        <v>0</v>
      </c>
      <c r="AD177" s="29">
        <v>956</v>
      </c>
      <c r="AE177" s="29">
        <v>0</v>
      </c>
      <c r="AF177" s="24">
        <f>SUM(AG177:BC177)</f>
        <v>160415</v>
      </c>
      <c r="AG177" s="24">
        <v>0</v>
      </c>
      <c r="AH177" s="24">
        <v>0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160415</v>
      </c>
      <c r="AO177" s="29">
        <v>0</v>
      </c>
      <c r="AP177" s="29">
        <v>0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0</v>
      </c>
      <c r="BA177" s="29">
        <v>0</v>
      </c>
      <c r="BB177" s="29">
        <v>0</v>
      </c>
      <c r="BC177" s="29">
        <v>0</v>
      </c>
      <c r="BD177" s="24">
        <f>SUM(BE177+BI177+BM177+BO177+BR177)</f>
        <v>0</v>
      </c>
      <c r="BE177" s="24">
        <f>SUM(BF177:BH177)</f>
        <v>0</v>
      </c>
      <c r="BF177" s="24">
        <v>0</v>
      </c>
      <c r="BG177" s="24">
        <v>0</v>
      </c>
      <c r="BH177" s="24">
        <v>0</v>
      </c>
      <c r="BI177" s="24">
        <f>SUM(BL177:BL177)</f>
        <v>0</v>
      </c>
      <c r="BJ177" s="24">
        <v>0</v>
      </c>
      <c r="BK177" s="24">
        <v>0</v>
      </c>
      <c r="BL177" s="24">
        <v>0</v>
      </c>
      <c r="BM177" s="24">
        <v>0</v>
      </c>
      <c r="BN177" s="24">
        <v>0</v>
      </c>
      <c r="BO177" s="24">
        <f t="shared" si="300"/>
        <v>0</v>
      </c>
      <c r="BP177" s="24">
        <v>0</v>
      </c>
      <c r="BQ177" s="24">
        <v>0</v>
      </c>
      <c r="BR177" s="24">
        <f>SUM(BS177:CC177)</f>
        <v>0</v>
      </c>
      <c r="BS177" s="24">
        <v>0</v>
      </c>
      <c r="BT177" s="24">
        <v>0</v>
      </c>
      <c r="BU177" s="24">
        <v>0</v>
      </c>
      <c r="BV177" s="24">
        <v>0</v>
      </c>
      <c r="BW177" s="24">
        <v>0</v>
      </c>
      <c r="BX177" s="24">
        <v>0</v>
      </c>
      <c r="BY177" s="24">
        <v>0</v>
      </c>
      <c r="BZ177" s="24">
        <v>0</v>
      </c>
      <c r="CA177" s="24">
        <v>0</v>
      </c>
      <c r="CB177" s="24">
        <v>0</v>
      </c>
      <c r="CC177" s="24">
        <v>0</v>
      </c>
      <c r="CD177" s="24">
        <f>SUM(CE177+CV177)</f>
        <v>0</v>
      </c>
      <c r="CE177" s="24">
        <f>SUM(CF177+CI177+CN177)</f>
        <v>0</v>
      </c>
      <c r="CF177" s="24">
        <f t="shared" si="301"/>
        <v>0</v>
      </c>
      <c r="CG177" s="24">
        <v>0</v>
      </c>
      <c r="CH177" s="24"/>
      <c r="CI177" s="24">
        <f>SUM(CJ177:CM177)</f>
        <v>0</v>
      </c>
      <c r="CJ177" s="24">
        <v>0</v>
      </c>
      <c r="CK177" s="24">
        <v>0</v>
      </c>
      <c r="CL177" s="24">
        <v>0</v>
      </c>
      <c r="CM177" s="24">
        <v>0</v>
      </c>
      <c r="CN177" s="24">
        <f>SUM(CO177:CS177)</f>
        <v>0</v>
      </c>
      <c r="CO177" s="24">
        <v>0</v>
      </c>
      <c r="CP177" s="24">
        <v>0</v>
      </c>
      <c r="CQ177" s="24">
        <v>0</v>
      </c>
      <c r="CR177" s="24"/>
      <c r="CS177" s="24"/>
      <c r="CT177" s="24">
        <v>0</v>
      </c>
      <c r="CU177" s="24">
        <v>0</v>
      </c>
      <c r="CV177" s="24">
        <v>0</v>
      </c>
      <c r="CW177" s="24">
        <f t="shared" si="302"/>
        <v>0</v>
      </c>
      <c r="CX177" s="24">
        <f t="shared" si="303"/>
        <v>0</v>
      </c>
      <c r="CY177" s="24">
        <v>0</v>
      </c>
      <c r="CZ177" s="25">
        <v>0</v>
      </c>
    </row>
    <row r="178" spans="1:104" ht="31.2" x14ac:dyDescent="0.3">
      <c r="A178" s="20"/>
      <c r="B178" s="21" t="s">
        <v>294</v>
      </c>
      <c r="C178" s="21" t="s">
        <v>1</v>
      </c>
      <c r="D178" s="22" t="s">
        <v>295</v>
      </c>
      <c r="E178" s="23">
        <f>SUM(E179)</f>
        <v>27654562</v>
      </c>
      <c r="F178" s="24">
        <f t="shared" ref="F178:BX178" si="378">SUM(F179)</f>
        <v>27654562</v>
      </c>
      <c r="G178" s="24">
        <f t="shared" si="378"/>
        <v>27654562</v>
      </c>
      <c r="H178" s="24">
        <f t="shared" si="378"/>
        <v>0</v>
      </c>
      <c r="I178" s="24">
        <f t="shared" si="378"/>
        <v>0</v>
      </c>
      <c r="J178" s="24">
        <f t="shared" si="378"/>
        <v>24712960</v>
      </c>
      <c r="K178" s="24">
        <f t="shared" si="378"/>
        <v>24712960</v>
      </c>
      <c r="L178" s="24">
        <f t="shared" si="378"/>
        <v>0</v>
      </c>
      <c r="M178" s="24">
        <f t="shared" si="378"/>
        <v>0</v>
      </c>
      <c r="N178" s="24">
        <f t="shared" si="378"/>
        <v>0</v>
      </c>
      <c r="O178" s="24">
        <f t="shared" si="378"/>
        <v>0</v>
      </c>
      <c r="P178" s="24">
        <f t="shared" si="378"/>
        <v>0</v>
      </c>
      <c r="Q178" s="24">
        <f t="shared" si="378"/>
        <v>0</v>
      </c>
      <c r="R178" s="24">
        <f t="shared" si="378"/>
        <v>0</v>
      </c>
      <c r="S178" s="24">
        <f t="shared" si="378"/>
        <v>0</v>
      </c>
      <c r="T178" s="24">
        <f t="shared" si="378"/>
        <v>0</v>
      </c>
      <c r="U178" s="24">
        <f t="shared" si="378"/>
        <v>0</v>
      </c>
      <c r="V178" s="24">
        <f t="shared" si="378"/>
        <v>0</v>
      </c>
      <c r="W178" s="24">
        <f t="shared" si="378"/>
        <v>0</v>
      </c>
      <c r="X178" s="24">
        <f t="shared" si="378"/>
        <v>0</v>
      </c>
      <c r="Y178" s="24">
        <f t="shared" si="378"/>
        <v>0</v>
      </c>
      <c r="Z178" s="24">
        <f t="shared" si="378"/>
        <v>0</v>
      </c>
      <c r="AA178" s="24">
        <f t="shared" si="378"/>
        <v>0</v>
      </c>
      <c r="AB178" s="24">
        <f t="shared" si="378"/>
        <v>0</v>
      </c>
      <c r="AC178" s="24">
        <f t="shared" si="378"/>
        <v>0</v>
      </c>
      <c r="AD178" s="24">
        <f t="shared" si="378"/>
        <v>0</v>
      </c>
      <c r="AE178" s="24">
        <f t="shared" si="378"/>
        <v>0</v>
      </c>
      <c r="AF178" s="24">
        <f t="shared" si="378"/>
        <v>2941602</v>
      </c>
      <c r="AG178" s="24">
        <f t="shared" si="378"/>
        <v>0</v>
      </c>
      <c r="AH178" s="24">
        <f t="shared" si="378"/>
        <v>0</v>
      </c>
      <c r="AI178" s="24">
        <f t="shared" si="378"/>
        <v>0</v>
      </c>
      <c r="AJ178" s="24">
        <f t="shared" si="378"/>
        <v>0</v>
      </c>
      <c r="AK178" s="24">
        <f t="shared" si="378"/>
        <v>0</v>
      </c>
      <c r="AL178" s="24">
        <f t="shared" si="378"/>
        <v>0</v>
      </c>
      <c r="AM178" s="24">
        <f t="shared" si="378"/>
        <v>0</v>
      </c>
      <c r="AN178" s="24">
        <f t="shared" si="378"/>
        <v>0</v>
      </c>
      <c r="AO178" s="24">
        <f t="shared" si="378"/>
        <v>0</v>
      </c>
      <c r="AP178" s="24">
        <f t="shared" si="378"/>
        <v>0</v>
      </c>
      <c r="AQ178" s="24">
        <f t="shared" si="378"/>
        <v>0</v>
      </c>
      <c r="AR178" s="24"/>
      <c r="AS178" s="24">
        <f t="shared" si="378"/>
        <v>0</v>
      </c>
      <c r="AT178" s="24">
        <f t="shared" si="378"/>
        <v>0</v>
      </c>
      <c r="AU178" s="24">
        <f t="shared" si="378"/>
        <v>0</v>
      </c>
      <c r="AV178" s="24"/>
      <c r="AW178" s="24"/>
      <c r="AX178" s="24">
        <f t="shared" si="378"/>
        <v>1465652</v>
      </c>
      <c r="AY178" s="24">
        <f t="shared" si="378"/>
        <v>0</v>
      </c>
      <c r="AZ178" s="24">
        <f t="shared" si="378"/>
        <v>0</v>
      </c>
      <c r="BA178" s="24">
        <f t="shared" si="378"/>
        <v>0</v>
      </c>
      <c r="BB178" s="24"/>
      <c r="BC178" s="24">
        <f t="shared" si="378"/>
        <v>1475950</v>
      </c>
      <c r="BD178" s="24">
        <f t="shared" si="378"/>
        <v>0</v>
      </c>
      <c r="BE178" s="24">
        <f t="shared" si="378"/>
        <v>0</v>
      </c>
      <c r="BF178" s="24">
        <f t="shared" si="378"/>
        <v>0</v>
      </c>
      <c r="BG178" s="24">
        <f t="shared" si="378"/>
        <v>0</v>
      </c>
      <c r="BH178" s="24">
        <f t="shared" si="378"/>
        <v>0</v>
      </c>
      <c r="BI178" s="24">
        <f t="shared" si="378"/>
        <v>0</v>
      </c>
      <c r="BJ178" s="24">
        <f t="shared" si="378"/>
        <v>0</v>
      </c>
      <c r="BK178" s="24">
        <f t="shared" si="378"/>
        <v>0</v>
      </c>
      <c r="BL178" s="24">
        <f t="shared" si="378"/>
        <v>0</v>
      </c>
      <c r="BM178" s="24">
        <f t="shared" si="378"/>
        <v>0</v>
      </c>
      <c r="BN178" s="24">
        <f t="shared" si="378"/>
        <v>0</v>
      </c>
      <c r="BO178" s="24">
        <f t="shared" si="378"/>
        <v>0</v>
      </c>
      <c r="BP178" s="24">
        <f t="shared" si="378"/>
        <v>0</v>
      </c>
      <c r="BQ178" s="24">
        <f t="shared" si="378"/>
        <v>0</v>
      </c>
      <c r="BR178" s="24">
        <f t="shared" si="378"/>
        <v>0</v>
      </c>
      <c r="BS178" s="24">
        <f t="shared" si="378"/>
        <v>0</v>
      </c>
      <c r="BT178" s="24">
        <f t="shared" si="378"/>
        <v>0</v>
      </c>
      <c r="BU178" s="24">
        <f t="shared" si="378"/>
        <v>0</v>
      </c>
      <c r="BV178" s="24">
        <f t="shared" si="378"/>
        <v>0</v>
      </c>
      <c r="BW178" s="24">
        <f t="shared" si="378"/>
        <v>0</v>
      </c>
      <c r="BX178" s="24">
        <f t="shared" si="378"/>
        <v>0</v>
      </c>
      <c r="BY178" s="24">
        <f t="shared" ref="BY178:CZ178" si="379">SUM(BY179)</f>
        <v>0</v>
      </c>
      <c r="BZ178" s="24">
        <f t="shared" si="379"/>
        <v>0</v>
      </c>
      <c r="CA178" s="24">
        <f t="shared" si="379"/>
        <v>0</v>
      </c>
      <c r="CB178" s="24">
        <f t="shared" si="379"/>
        <v>0</v>
      </c>
      <c r="CC178" s="24">
        <f t="shared" si="379"/>
        <v>0</v>
      </c>
      <c r="CD178" s="24">
        <f t="shared" si="379"/>
        <v>0</v>
      </c>
      <c r="CE178" s="24">
        <f t="shared" si="379"/>
        <v>0</v>
      </c>
      <c r="CF178" s="24">
        <f t="shared" si="379"/>
        <v>0</v>
      </c>
      <c r="CG178" s="24">
        <f t="shared" si="379"/>
        <v>0</v>
      </c>
      <c r="CH178" s="24">
        <f t="shared" si="379"/>
        <v>0</v>
      </c>
      <c r="CI178" s="24">
        <f t="shared" si="379"/>
        <v>0</v>
      </c>
      <c r="CJ178" s="24">
        <f t="shared" si="379"/>
        <v>0</v>
      </c>
      <c r="CK178" s="24">
        <f t="shared" si="379"/>
        <v>0</v>
      </c>
      <c r="CL178" s="24">
        <f t="shared" si="379"/>
        <v>0</v>
      </c>
      <c r="CM178" s="24">
        <f t="shared" si="379"/>
        <v>0</v>
      </c>
      <c r="CN178" s="24">
        <f t="shared" si="379"/>
        <v>0</v>
      </c>
      <c r="CO178" s="24">
        <f t="shared" si="379"/>
        <v>0</v>
      </c>
      <c r="CP178" s="24">
        <f t="shared" si="379"/>
        <v>0</v>
      </c>
      <c r="CQ178" s="24">
        <f t="shared" si="379"/>
        <v>0</v>
      </c>
      <c r="CR178" s="24"/>
      <c r="CS178" s="24"/>
      <c r="CT178" s="24">
        <f t="shared" si="379"/>
        <v>0</v>
      </c>
      <c r="CU178" s="24">
        <f t="shared" si="379"/>
        <v>0</v>
      </c>
      <c r="CV178" s="24">
        <f t="shared" si="379"/>
        <v>0</v>
      </c>
      <c r="CW178" s="24">
        <f t="shared" si="379"/>
        <v>0</v>
      </c>
      <c r="CX178" s="24">
        <f t="shared" si="379"/>
        <v>0</v>
      </c>
      <c r="CY178" s="24">
        <f t="shared" si="379"/>
        <v>0</v>
      </c>
      <c r="CZ178" s="25">
        <f t="shared" si="379"/>
        <v>0</v>
      </c>
    </row>
    <row r="179" spans="1:104" ht="31.2" x14ac:dyDescent="0.3">
      <c r="A179" s="26"/>
      <c r="B179" s="27" t="s">
        <v>1</v>
      </c>
      <c r="C179" s="27" t="s">
        <v>86</v>
      </c>
      <c r="D179" s="28" t="s">
        <v>296</v>
      </c>
      <c r="E179" s="23">
        <f>SUM(F179+CD179+CW179)</f>
        <v>27654562</v>
      </c>
      <c r="F179" s="24">
        <f>SUM(G179+BD179)</f>
        <v>27654562</v>
      </c>
      <c r="G179" s="24">
        <f>SUM(H179+I179+J179+Q179+T179+U179+V179+AF179+AE179)</f>
        <v>27654562</v>
      </c>
      <c r="H179" s="24">
        <v>0</v>
      </c>
      <c r="I179" s="24">
        <v>0</v>
      </c>
      <c r="J179" s="24">
        <f t="shared" si="297"/>
        <v>24712960</v>
      </c>
      <c r="K179" s="29">
        <v>24712960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f t="shared" si="298"/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f t="shared" ref="V179" si="380">SUM(W179:AD179)</f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f>SUM(AG179:BC179)</f>
        <v>2941602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/>
      <c r="AS179" s="24">
        <v>0</v>
      </c>
      <c r="AT179" s="24">
        <v>0</v>
      </c>
      <c r="AU179" s="24">
        <v>0</v>
      </c>
      <c r="AV179" s="24"/>
      <c r="AW179" s="24"/>
      <c r="AX179" s="29">
        <f>919790+545862</f>
        <v>1465652</v>
      </c>
      <c r="AY179" s="24">
        <v>0</v>
      </c>
      <c r="AZ179" s="24">
        <v>0</v>
      </c>
      <c r="BA179" s="24">
        <v>0</v>
      </c>
      <c r="BB179" s="24"/>
      <c r="BC179" s="30">
        <f>1492260-16310</f>
        <v>1475950</v>
      </c>
      <c r="BD179" s="24">
        <f>SUM(BE179+BI179+BM179+BO179+BR179)</f>
        <v>0</v>
      </c>
      <c r="BE179" s="24">
        <f>SUM(BF179:BH179)</f>
        <v>0</v>
      </c>
      <c r="BF179" s="24">
        <v>0</v>
      </c>
      <c r="BG179" s="24">
        <v>0</v>
      </c>
      <c r="BH179" s="24">
        <v>0</v>
      </c>
      <c r="BI179" s="24">
        <f>SUM(BL179:BL179)</f>
        <v>0</v>
      </c>
      <c r="BJ179" s="24">
        <v>0</v>
      </c>
      <c r="BK179" s="24">
        <v>0</v>
      </c>
      <c r="BL179" s="24">
        <v>0</v>
      </c>
      <c r="BM179" s="24">
        <v>0</v>
      </c>
      <c r="BN179" s="24">
        <v>0</v>
      </c>
      <c r="BO179" s="24">
        <f t="shared" si="300"/>
        <v>0</v>
      </c>
      <c r="BP179" s="24">
        <v>0</v>
      </c>
      <c r="BQ179" s="24">
        <v>0</v>
      </c>
      <c r="BR179" s="24">
        <f>SUM(BS179:CC179)</f>
        <v>0</v>
      </c>
      <c r="BS179" s="24">
        <v>0</v>
      </c>
      <c r="BT179" s="24">
        <v>0</v>
      </c>
      <c r="BU179" s="24">
        <v>0</v>
      </c>
      <c r="BV179" s="24">
        <v>0</v>
      </c>
      <c r="BW179" s="24">
        <v>0</v>
      </c>
      <c r="BX179" s="24">
        <v>0</v>
      </c>
      <c r="BY179" s="24">
        <v>0</v>
      </c>
      <c r="BZ179" s="24">
        <v>0</v>
      </c>
      <c r="CA179" s="24">
        <v>0</v>
      </c>
      <c r="CB179" s="24">
        <v>0</v>
      </c>
      <c r="CC179" s="24">
        <v>0</v>
      </c>
      <c r="CD179" s="24">
        <f>SUM(CE179+CV179)</f>
        <v>0</v>
      </c>
      <c r="CE179" s="24">
        <f>SUM(CF179+CI179+CN179)</f>
        <v>0</v>
      </c>
      <c r="CF179" s="24">
        <f t="shared" si="301"/>
        <v>0</v>
      </c>
      <c r="CG179" s="24">
        <v>0</v>
      </c>
      <c r="CH179" s="24">
        <v>0</v>
      </c>
      <c r="CI179" s="24">
        <f>SUM(CJ179:CM179)</f>
        <v>0</v>
      </c>
      <c r="CJ179" s="24">
        <v>0</v>
      </c>
      <c r="CK179" s="24">
        <v>0</v>
      </c>
      <c r="CL179" s="24">
        <v>0</v>
      </c>
      <c r="CM179" s="24">
        <v>0</v>
      </c>
      <c r="CN179" s="24">
        <f>SUM(CO179:CS179)</f>
        <v>0</v>
      </c>
      <c r="CO179" s="24">
        <v>0</v>
      </c>
      <c r="CP179" s="24">
        <v>0</v>
      </c>
      <c r="CQ179" s="24">
        <v>0</v>
      </c>
      <c r="CR179" s="24"/>
      <c r="CS179" s="24"/>
      <c r="CT179" s="24">
        <v>0</v>
      </c>
      <c r="CU179" s="24">
        <v>0</v>
      </c>
      <c r="CV179" s="24">
        <v>0</v>
      </c>
      <c r="CW179" s="24">
        <f t="shared" si="302"/>
        <v>0</v>
      </c>
      <c r="CX179" s="24">
        <f t="shared" si="303"/>
        <v>0</v>
      </c>
      <c r="CY179" s="24">
        <v>0</v>
      </c>
      <c r="CZ179" s="25">
        <v>0</v>
      </c>
    </row>
    <row r="180" spans="1:104" ht="31.2" x14ac:dyDescent="0.3">
      <c r="A180" s="20"/>
      <c r="B180" s="21" t="s">
        <v>297</v>
      </c>
      <c r="C180" s="21" t="s">
        <v>1</v>
      </c>
      <c r="D180" s="22" t="s">
        <v>298</v>
      </c>
      <c r="E180" s="23">
        <f t="shared" ref="E180:AL180" si="381">SUM(E181)</f>
        <v>2423449</v>
      </c>
      <c r="F180" s="24">
        <f t="shared" si="381"/>
        <v>2368413</v>
      </c>
      <c r="G180" s="24">
        <f t="shared" si="381"/>
        <v>2368413</v>
      </c>
      <c r="H180" s="24">
        <f t="shared" si="381"/>
        <v>1737625</v>
      </c>
      <c r="I180" s="24">
        <f t="shared" si="381"/>
        <v>396005</v>
      </c>
      <c r="J180" s="24">
        <f t="shared" si="381"/>
        <v>173426</v>
      </c>
      <c r="K180" s="24">
        <f t="shared" si="381"/>
        <v>22513</v>
      </c>
      <c r="L180" s="24">
        <f t="shared" si="381"/>
        <v>3062</v>
      </c>
      <c r="M180" s="24">
        <f t="shared" si="381"/>
        <v>0</v>
      </c>
      <c r="N180" s="24">
        <f t="shared" si="381"/>
        <v>0</v>
      </c>
      <c r="O180" s="24">
        <f t="shared" si="381"/>
        <v>120821</v>
      </c>
      <c r="P180" s="24">
        <f t="shared" si="381"/>
        <v>27030</v>
      </c>
      <c r="Q180" s="24">
        <f t="shared" si="381"/>
        <v>0</v>
      </c>
      <c r="R180" s="24">
        <f t="shared" si="381"/>
        <v>0</v>
      </c>
      <c r="S180" s="24">
        <f t="shared" si="381"/>
        <v>0</v>
      </c>
      <c r="T180" s="24">
        <f t="shared" si="381"/>
        <v>0</v>
      </c>
      <c r="U180" s="24">
        <f t="shared" si="381"/>
        <v>37457</v>
      </c>
      <c r="V180" s="24">
        <f t="shared" si="381"/>
        <v>0</v>
      </c>
      <c r="W180" s="24">
        <f t="shared" si="381"/>
        <v>0</v>
      </c>
      <c r="X180" s="24">
        <f t="shared" si="381"/>
        <v>0</v>
      </c>
      <c r="Y180" s="24">
        <f t="shared" si="381"/>
        <v>0</v>
      </c>
      <c r="Z180" s="24">
        <f t="shared" si="381"/>
        <v>0</v>
      </c>
      <c r="AA180" s="24">
        <f t="shared" si="381"/>
        <v>0</v>
      </c>
      <c r="AB180" s="24">
        <f t="shared" si="381"/>
        <v>0</v>
      </c>
      <c r="AC180" s="24">
        <f t="shared" si="381"/>
        <v>0</v>
      </c>
      <c r="AD180" s="24">
        <f t="shared" si="381"/>
        <v>0</v>
      </c>
      <c r="AE180" s="24">
        <f t="shared" si="381"/>
        <v>0</v>
      </c>
      <c r="AF180" s="24">
        <f t="shared" si="381"/>
        <v>23900</v>
      </c>
      <c r="AG180" s="24">
        <f t="shared" si="381"/>
        <v>0</v>
      </c>
      <c r="AH180" s="24">
        <f t="shared" si="381"/>
        <v>0</v>
      </c>
      <c r="AI180" s="24">
        <f t="shared" si="381"/>
        <v>0</v>
      </c>
      <c r="AJ180" s="24">
        <f t="shared" si="381"/>
        <v>0</v>
      </c>
      <c r="AK180" s="24">
        <f t="shared" si="381"/>
        <v>0</v>
      </c>
      <c r="AL180" s="24">
        <f t="shared" si="381"/>
        <v>500</v>
      </c>
      <c r="AM180" s="24">
        <f t="shared" ref="AM180:CZ180" si="382">SUM(AM181)</f>
        <v>0</v>
      </c>
      <c r="AN180" s="24">
        <f t="shared" si="382"/>
        <v>0</v>
      </c>
      <c r="AO180" s="24">
        <f t="shared" si="382"/>
        <v>0</v>
      </c>
      <c r="AP180" s="24">
        <f t="shared" si="382"/>
        <v>0</v>
      </c>
      <c r="AQ180" s="24">
        <f t="shared" si="382"/>
        <v>0</v>
      </c>
      <c r="AR180" s="24"/>
      <c r="AS180" s="24">
        <f t="shared" si="382"/>
        <v>0</v>
      </c>
      <c r="AT180" s="24">
        <f t="shared" si="382"/>
        <v>0</v>
      </c>
      <c r="AU180" s="24">
        <f t="shared" si="382"/>
        <v>22000</v>
      </c>
      <c r="AV180" s="24"/>
      <c r="AW180" s="24"/>
      <c r="AX180" s="24">
        <f t="shared" si="382"/>
        <v>0</v>
      </c>
      <c r="AY180" s="24">
        <f t="shared" si="382"/>
        <v>0</v>
      </c>
      <c r="AZ180" s="24">
        <f t="shared" si="382"/>
        <v>0</v>
      </c>
      <c r="BA180" s="24">
        <f t="shared" si="382"/>
        <v>0</v>
      </c>
      <c r="BB180" s="24"/>
      <c r="BC180" s="24">
        <f t="shared" si="382"/>
        <v>1400</v>
      </c>
      <c r="BD180" s="24">
        <f t="shared" si="382"/>
        <v>0</v>
      </c>
      <c r="BE180" s="24">
        <f t="shared" si="382"/>
        <v>0</v>
      </c>
      <c r="BF180" s="24">
        <f t="shared" si="382"/>
        <v>0</v>
      </c>
      <c r="BG180" s="24">
        <f t="shared" si="382"/>
        <v>0</v>
      </c>
      <c r="BH180" s="24">
        <f t="shared" si="382"/>
        <v>0</v>
      </c>
      <c r="BI180" s="24">
        <f t="shared" si="382"/>
        <v>0</v>
      </c>
      <c r="BJ180" s="24">
        <f t="shared" si="382"/>
        <v>0</v>
      </c>
      <c r="BK180" s="24">
        <f t="shared" si="382"/>
        <v>0</v>
      </c>
      <c r="BL180" s="24">
        <f t="shared" si="382"/>
        <v>0</v>
      </c>
      <c r="BM180" s="24">
        <f t="shared" si="382"/>
        <v>0</v>
      </c>
      <c r="BN180" s="24">
        <f t="shared" si="382"/>
        <v>0</v>
      </c>
      <c r="BO180" s="24">
        <f t="shared" si="382"/>
        <v>0</v>
      </c>
      <c r="BP180" s="24">
        <f t="shared" si="382"/>
        <v>0</v>
      </c>
      <c r="BQ180" s="24">
        <f t="shared" si="382"/>
        <v>0</v>
      </c>
      <c r="BR180" s="24">
        <f t="shared" si="382"/>
        <v>0</v>
      </c>
      <c r="BS180" s="24">
        <f t="shared" si="382"/>
        <v>0</v>
      </c>
      <c r="BT180" s="24">
        <f t="shared" si="382"/>
        <v>0</v>
      </c>
      <c r="BU180" s="24">
        <f t="shared" si="382"/>
        <v>0</v>
      </c>
      <c r="BV180" s="24">
        <f t="shared" si="382"/>
        <v>0</v>
      </c>
      <c r="BW180" s="24">
        <f t="shared" si="382"/>
        <v>0</v>
      </c>
      <c r="BX180" s="24">
        <f t="shared" si="382"/>
        <v>0</v>
      </c>
      <c r="BY180" s="24">
        <f t="shared" si="382"/>
        <v>0</v>
      </c>
      <c r="BZ180" s="24">
        <f t="shared" si="382"/>
        <v>0</v>
      </c>
      <c r="CA180" s="24">
        <f t="shared" si="382"/>
        <v>0</v>
      </c>
      <c r="CB180" s="24">
        <f t="shared" si="382"/>
        <v>0</v>
      </c>
      <c r="CC180" s="24">
        <f t="shared" si="382"/>
        <v>0</v>
      </c>
      <c r="CD180" s="24">
        <f t="shared" si="382"/>
        <v>55036</v>
      </c>
      <c r="CE180" s="24">
        <f t="shared" si="382"/>
        <v>55036</v>
      </c>
      <c r="CF180" s="24">
        <f t="shared" si="382"/>
        <v>55036</v>
      </c>
      <c r="CG180" s="24">
        <f t="shared" si="382"/>
        <v>0</v>
      </c>
      <c r="CH180" s="24">
        <f t="shared" si="382"/>
        <v>55036</v>
      </c>
      <c r="CI180" s="24">
        <f t="shared" si="382"/>
        <v>0</v>
      </c>
      <c r="CJ180" s="24">
        <f t="shared" si="382"/>
        <v>0</v>
      </c>
      <c r="CK180" s="24">
        <f t="shared" si="382"/>
        <v>0</v>
      </c>
      <c r="CL180" s="24">
        <f t="shared" si="382"/>
        <v>0</v>
      </c>
      <c r="CM180" s="24">
        <f t="shared" si="382"/>
        <v>0</v>
      </c>
      <c r="CN180" s="24">
        <f t="shared" si="382"/>
        <v>0</v>
      </c>
      <c r="CO180" s="24">
        <f t="shared" si="382"/>
        <v>0</v>
      </c>
      <c r="CP180" s="24">
        <f t="shared" si="382"/>
        <v>0</v>
      </c>
      <c r="CQ180" s="24">
        <f t="shared" si="382"/>
        <v>0</v>
      </c>
      <c r="CR180" s="24"/>
      <c r="CS180" s="24"/>
      <c r="CT180" s="24">
        <f t="shared" si="382"/>
        <v>0</v>
      </c>
      <c r="CU180" s="24">
        <f t="shared" si="382"/>
        <v>0</v>
      </c>
      <c r="CV180" s="24">
        <f t="shared" si="382"/>
        <v>0</v>
      </c>
      <c r="CW180" s="24">
        <f t="shared" si="382"/>
        <v>0</v>
      </c>
      <c r="CX180" s="24">
        <f t="shared" si="382"/>
        <v>0</v>
      </c>
      <c r="CY180" s="24">
        <f t="shared" si="382"/>
        <v>0</v>
      </c>
      <c r="CZ180" s="25">
        <f t="shared" si="382"/>
        <v>0</v>
      </c>
    </row>
    <row r="181" spans="1:104" ht="31.2" x14ac:dyDescent="0.3">
      <c r="A181" s="26" t="s">
        <v>1</v>
      </c>
      <c r="B181" s="27" t="s">
        <v>1</v>
      </c>
      <c r="C181" s="27" t="s">
        <v>86</v>
      </c>
      <c r="D181" s="28" t="s">
        <v>299</v>
      </c>
      <c r="E181" s="23">
        <f>SUM(F181+CD181+CW181)</f>
        <v>2423449</v>
      </c>
      <c r="F181" s="24">
        <f>SUM(G181+BD181)</f>
        <v>2368413</v>
      </c>
      <c r="G181" s="24">
        <f>SUM(H181+I181+J181+Q181+T181+U181+V181+AF181+AE181)</f>
        <v>2368413</v>
      </c>
      <c r="H181" s="29">
        <v>1737625</v>
      </c>
      <c r="I181" s="29">
        <v>396005</v>
      </c>
      <c r="J181" s="24">
        <f t="shared" si="297"/>
        <v>173426</v>
      </c>
      <c r="K181" s="29">
        <v>22513</v>
      </c>
      <c r="L181" s="29">
        <v>3062</v>
      </c>
      <c r="M181" s="29">
        <v>0</v>
      </c>
      <c r="N181" s="29">
        <v>0</v>
      </c>
      <c r="O181" s="29">
        <v>120821</v>
      </c>
      <c r="P181" s="29">
        <v>27030</v>
      </c>
      <c r="Q181" s="24">
        <f t="shared" si="298"/>
        <v>0</v>
      </c>
      <c r="R181" s="24">
        <v>0</v>
      </c>
      <c r="S181" s="24">
        <v>0</v>
      </c>
      <c r="T181" s="24">
        <v>0</v>
      </c>
      <c r="U181" s="29">
        <v>37457</v>
      </c>
      <c r="V181" s="24">
        <f t="shared" ref="V181" si="383">SUM(W181:AD181)</f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f>SUM(AG181:BC181)</f>
        <v>23900</v>
      </c>
      <c r="AG181" s="24">
        <v>0</v>
      </c>
      <c r="AH181" s="24">
        <v>0</v>
      </c>
      <c r="AI181" s="24">
        <v>0</v>
      </c>
      <c r="AJ181" s="24"/>
      <c r="AK181" s="24">
        <v>0</v>
      </c>
      <c r="AL181" s="29">
        <v>500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22000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1400</v>
      </c>
      <c r="BD181" s="24">
        <f>SUM(BE181+BI181+BM181+BO181+BR181)</f>
        <v>0</v>
      </c>
      <c r="BE181" s="24">
        <f>SUM(BF181:BH181)</f>
        <v>0</v>
      </c>
      <c r="BF181" s="24">
        <v>0</v>
      </c>
      <c r="BG181" s="24">
        <v>0</v>
      </c>
      <c r="BH181" s="24">
        <v>0</v>
      </c>
      <c r="BI181" s="24">
        <f>SUM(BL181:BL181)</f>
        <v>0</v>
      </c>
      <c r="BJ181" s="24">
        <v>0</v>
      </c>
      <c r="BK181" s="24">
        <v>0</v>
      </c>
      <c r="BL181" s="24">
        <v>0</v>
      </c>
      <c r="BM181" s="24">
        <v>0</v>
      </c>
      <c r="BN181" s="24">
        <v>0</v>
      </c>
      <c r="BO181" s="24">
        <f t="shared" si="300"/>
        <v>0</v>
      </c>
      <c r="BP181" s="24">
        <v>0</v>
      </c>
      <c r="BQ181" s="24">
        <v>0</v>
      </c>
      <c r="BR181" s="24">
        <f>SUM(BS181:CC181)</f>
        <v>0</v>
      </c>
      <c r="BS181" s="24">
        <v>0</v>
      </c>
      <c r="BT181" s="24">
        <v>0</v>
      </c>
      <c r="BU181" s="24">
        <v>0</v>
      </c>
      <c r="BV181" s="24">
        <v>0</v>
      </c>
      <c r="BW181" s="24">
        <v>0</v>
      </c>
      <c r="BX181" s="24">
        <v>0</v>
      </c>
      <c r="BY181" s="24">
        <v>0</v>
      </c>
      <c r="BZ181" s="24">
        <v>0</v>
      </c>
      <c r="CA181" s="24">
        <v>0</v>
      </c>
      <c r="CB181" s="24">
        <v>0</v>
      </c>
      <c r="CC181" s="24">
        <v>0</v>
      </c>
      <c r="CD181" s="24">
        <f>SUM(CE181+CV181)</f>
        <v>55036</v>
      </c>
      <c r="CE181" s="24">
        <f>SUM(CF181+CI181+CN181)</f>
        <v>55036</v>
      </c>
      <c r="CF181" s="24">
        <f t="shared" si="301"/>
        <v>55036</v>
      </c>
      <c r="CG181" s="24">
        <v>0</v>
      </c>
      <c r="CH181" s="29">
        <v>55036</v>
      </c>
      <c r="CI181" s="24">
        <f>SUM(CJ181:CM181)</f>
        <v>0</v>
      </c>
      <c r="CJ181" s="24">
        <v>0</v>
      </c>
      <c r="CK181" s="24">
        <v>0</v>
      </c>
      <c r="CL181" s="24">
        <v>0</v>
      </c>
      <c r="CM181" s="24">
        <v>0</v>
      </c>
      <c r="CN181" s="24">
        <f>SUM(CO181:CS181)</f>
        <v>0</v>
      </c>
      <c r="CO181" s="24">
        <v>0</v>
      </c>
      <c r="CP181" s="24">
        <v>0</v>
      </c>
      <c r="CQ181" s="24">
        <v>0</v>
      </c>
      <c r="CR181" s="24"/>
      <c r="CS181" s="24"/>
      <c r="CT181" s="24">
        <v>0</v>
      </c>
      <c r="CU181" s="24">
        <v>0</v>
      </c>
      <c r="CV181" s="24">
        <v>0</v>
      </c>
      <c r="CW181" s="24">
        <f t="shared" si="302"/>
        <v>0</v>
      </c>
      <c r="CX181" s="24">
        <f t="shared" si="303"/>
        <v>0</v>
      </c>
      <c r="CY181" s="24">
        <v>0</v>
      </c>
      <c r="CZ181" s="25">
        <v>0</v>
      </c>
    </row>
    <row r="182" spans="1:104" ht="15.6" x14ac:dyDescent="0.3">
      <c r="A182" s="31" t="s">
        <v>300</v>
      </c>
      <c r="B182" s="32" t="s">
        <v>1</v>
      </c>
      <c r="C182" s="32" t="s">
        <v>1</v>
      </c>
      <c r="D182" s="33" t="s">
        <v>301</v>
      </c>
      <c r="E182" s="34">
        <f t="shared" ref="E182:AU182" si="384">SUM(E183+E184+E185+E189+E191+E193+E195+E197+E205)</f>
        <v>667405950</v>
      </c>
      <c r="F182" s="35">
        <f t="shared" si="384"/>
        <v>666720716</v>
      </c>
      <c r="G182" s="35">
        <f t="shared" si="384"/>
        <v>195358658</v>
      </c>
      <c r="H182" s="35">
        <f t="shared" si="384"/>
        <v>17156955</v>
      </c>
      <c r="I182" s="35">
        <f t="shared" si="384"/>
        <v>3707422</v>
      </c>
      <c r="J182" s="35">
        <f t="shared" si="384"/>
        <v>9730495</v>
      </c>
      <c r="K182" s="35">
        <f t="shared" si="384"/>
        <v>976431</v>
      </c>
      <c r="L182" s="35">
        <f t="shared" si="384"/>
        <v>249900</v>
      </c>
      <c r="M182" s="35">
        <f t="shared" si="384"/>
        <v>5255432</v>
      </c>
      <c r="N182" s="35">
        <f t="shared" si="384"/>
        <v>0</v>
      </c>
      <c r="O182" s="35">
        <f t="shared" si="384"/>
        <v>922969</v>
      </c>
      <c r="P182" s="35">
        <f t="shared" si="384"/>
        <v>2325763</v>
      </c>
      <c r="Q182" s="35">
        <f t="shared" si="384"/>
        <v>0</v>
      </c>
      <c r="R182" s="35">
        <f t="shared" si="384"/>
        <v>0</v>
      </c>
      <c r="S182" s="35">
        <f t="shared" si="384"/>
        <v>0</v>
      </c>
      <c r="T182" s="35">
        <f t="shared" si="384"/>
        <v>0</v>
      </c>
      <c r="U182" s="35">
        <f t="shared" si="384"/>
        <v>168195</v>
      </c>
      <c r="V182" s="35">
        <f t="shared" si="384"/>
        <v>152992901</v>
      </c>
      <c r="W182" s="35">
        <f t="shared" si="384"/>
        <v>66525</v>
      </c>
      <c r="X182" s="35">
        <f t="shared" si="384"/>
        <v>893164</v>
      </c>
      <c r="Y182" s="35">
        <f t="shared" si="384"/>
        <v>371369</v>
      </c>
      <c r="Z182" s="35">
        <f t="shared" si="384"/>
        <v>802618</v>
      </c>
      <c r="AA182" s="35">
        <f t="shared" si="384"/>
        <v>68943</v>
      </c>
      <c r="AB182" s="35">
        <f t="shared" si="384"/>
        <v>0</v>
      </c>
      <c r="AC182" s="35">
        <f t="shared" si="384"/>
        <v>150758578</v>
      </c>
      <c r="AD182" s="35">
        <f t="shared" si="384"/>
        <v>31704</v>
      </c>
      <c r="AE182" s="35">
        <f t="shared" si="384"/>
        <v>0</v>
      </c>
      <c r="AF182" s="35">
        <f t="shared" si="384"/>
        <v>11602690</v>
      </c>
      <c r="AG182" s="35">
        <f t="shared" si="384"/>
        <v>0</v>
      </c>
      <c r="AH182" s="35">
        <f t="shared" si="384"/>
        <v>0</v>
      </c>
      <c r="AI182" s="35">
        <f t="shared" si="384"/>
        <v>0</v>
      </c>
      <c r="AJ182" s="35">
        <f t="shared" si="384"/>
        <v>302562</v>
      </c>
      <c r="AK182" s="35">
        <f t="shared" si="384"/>
        <v>0</v>
      </c>
      <c r="AL182" s="35">
        <f t="shared" si="384"/>
        <v>6364</v>
      </c>
      <c r="AM182" s="35">
        <f t="shared" si="384"/>
        <v>0</v>
      </c>
      <c r="AN182" s="35">
        <f t="shared" si="384"/>
        <v>93425</v>
      </c>
      <c r="AO182" s="35">
        <f t="shared" si="384"/>
        <v>0</v>
      </c>
      <c r="AP182" s="35">
        <f t="shared" si="384"/>
        <v>0</v>
      </c>
      <c r="AQ182" s="35">
        <f t="shared" si="384"/>
        <v>0</v>
      </c>
      <c r="AR182" s="35"/>
      <c r="AS182" s="35">
        <f t="shared" si="384"/>
        <v>0</v>
      </c>
      <c r="AT182" s="35">
        <f t="shared" si="384"/>
        <v>81563</v>
      </c>
      <c r="AU182" s="35">
        <f t="shared" si="384"/>
        <v>145000</v>
      </c>
      <c r="AV182" s="35"/>
      <c r="AW182" s="35"/>
      <c r="AX182" s="35">
        <f>SUM(AX183+AX184+AX185+AX189+AX191+AX193+AX195+AX197+AX205)</f>
        <v>10272365</v>
      </c>
      <c r="AY182" s="35">
        <f>SUM(AY183+AY184+AY185+AY189+AY191+AY193+AY195+AY197+AY205)</f>
        <v>22367</v>
      </c>
      <c r="AZ182" s="35">
        <f>SUM(AZ183+AZ184+AZ185+AZ189+AZ191+AZ193+AZ195+AZ197+AZ205)</f>
        <v>0</v>
      </c>
      <c r="BA182" s="35">
        <f>SUM(BA183+BA184+BA185+BA189+BA191+BA193+BA195+BA197+BA205)</f>
        <v>0</v>
      </c>
      <c r="BB182" s="35"/>
      <c r="BC182" s="35">
        <f t="shared" ref="BC182:CQ182" si="385">SUM(BC183+BC184+BC185+BC189+BC191+BC193+BC195+BC197+BC205)</f>
        <v>679044</v>
      </c>
      <c r="BD182" s="35">
        <f t="shared" si="385"/>
        <v>471362058</v>
      </c>
      <c r="BE182" s="35">
        <f t="shared" si="385"/>
        <v>0</v>
      </c>
      <c r="BF182" s="35">
        <f t="shared" si="385"/>
        <v>0</v>
      </c>
      <c r="BG182" s="35">
        <f t="shared" si="385"/>
        <v>0</v>
      </c>
      <c r="BH182" s="35">
        <f t="shared" si="385"/>
        <v>0</v>
      </c>
      <c r="BI182" s="35">
        <f t="shared" si="385"/>
        <v>0</v>
      </c>
      <c r="BJ182" s="35">
        <f t="shared" si="385"/>
        <v>0</v>
      </c>
      <c r="BK182" s="35">
        <f t="shared" ref="BK182" si="386">SUM(BK183+BK184+BK185+BK189+BK191+BK193+BK195+BK197+BK205)</f>
        <v>0</v>
      </c>
      <c r="BL182" s="35">
        <f t="shared" si="385"/>
        <v>0</v>
      </c>
      <c r="BM182" s="35">
        <f t="shared" si="385"/>
        <v>0</v>
      </c>
      <c r="BN182" s="35">
        <f t="shared" si="385"/>
        <v>0</v>
      </c>
      <c r="BO182" s="35">
        <f t="shared" si="385"/>
        <v>0</v>
      </c>
      <c r="BP182" s="35">
        <f t="shared" si="385"/>
        <v>0</v>
      </c>
      <c r="BQ182" s="35">
        <f t="shared" si="385"/>
        <v>0</v>
      </c>
      <c r="BR182" s="35">
        <f t="shared" si="385"/>
        <v>471362058</v>
      </c>
      <c r="BS182" s="35">
        <f t="shared" si="385"/>
        <v>58592417</v>
      </c>
      <c r="BT182" s="35">
        <f t="shared" si="385"/>
        <v>4556520</v>
      </c>
      <c r="BU182" s="35">
        <f t="shared" si="385"/>
        <v>0</v>
      </c>
      <c r="BV182" s="35">
        <f t="shared" si="385"/>
        <v>21743941</v>
      </c>
      <c r="BW182" s="35">
        <f t="shared" si="385"/>
        <v>100000</v>
      </c>
      <c r="BX182" s="35">
        <f t="shared" si="385"/>
        <v>0</v>
      </c>
      <c r="BY182" s="35">
        <f t="shared" si="385"/>
        <v>158605121</v>
      </c>
      <c r="BZ182" s="35">
        <f t="shared" si="385"/>
        <v>1673500</v>
      </c>
      <c r="CA182" s="35">
        <f t="shared" si="385"/>
        <v>321180</v>
      </c>
      <c r="CB182" s="35">
        <f t="shared" si="385"/>
        <v>152011609</v>
      </c>
      <c r="CC182" s="35">
        <f t="shared" si="385"/>
        <v>73757770</v>
      </c>
      <c r="CD182" s="35">
        <f t="shared" si="385"/>
        <v>685234</v>
      </c>
      <c r="CE182" s="35">
        <f t="shared" si="385"/>
        <v>685234</v>
      </c>
      <c r="CF182" s="35">
        <f t="shared" si="385"/>
        <v>685234</v>
      </c>
      <c r="CG182" s="35">
        <f t="shared" si="385"/>
        <v>0</v>
      </c>
      <c r="CH182" s="35">
        <f t="shared" si="385"/>
        <v>685234</v>
      </c>
      <c r="CI182" s="35">
        <f t="shared" si="385"/>
        <v>0</v>
      </c>
      <c r="CJ182" s="35">
        <f t="shared" si="385"/>
        <v>0</v>
      </c>
      <c r="CK182" s="35">
        <f t="shared" si="385"/>
        <v>0</v>
      </c>
      <c r="CL182" s="35">
        <f t="shared" si="385"/>
        <v>0</v>
      </c>
      <c r="CM182" s="35">
        <f t="shared" si="385"/>
        <v>0</v>
      </c>
      <c r="CN182" s="35">
        <f t="shared" si="385"/>
        <v>0</v>
      </c>
      <c r="CO182" s="35">
        <f t="shared" si="385"/>
        <v>0</v>
      </c>
      <c r="CP182" s="35">
        <f t="shared" si="385"/>
        <v>0</v>
      </c>
      <c r="CQ182" s="35">
        <f t="shared" si="385"/>
        <v>0</v>
      </c>
      <c r="CR182" s="35"/>
      <c r="CS182" s="35"/>
      <c r="CT182" s="35">
        <f t="shared" ref="CT182:CZ182" si="387">SUM(CT183+CT184+CT185+CT189+CT191+CT193+CT195+CT197+CT205)</f>
        <v>0</v>
      </c>
      <c r="CU182" s="35">
        <f t="shared" si="387"/>
        <v>0</v>
      </c>
      <c r="CV182" s="35">
        <f t="shared" si="387"/>
        <v>0</v>
      </c>
      <c r="CW182" s="35">
        <f t="shared" si="387"/>
        <v>0</v>
      </c>
      <c r="CX182" s="35">
        <f t="shared" si="387"/>
        <v>0</v>
      </c>
      <c r="CY182" s="35">
        <f t="shared" si="387"/>
        <v>0</v>
      </c>
      <c r="CZ182" s="36">
        <f t="shared" si="387"/>
        <v>0</v>
      </c>
    </row>
    <row r="183" spans="1:104" ht="15.6" x14ac:dyDescent="0.3">
      <c r="A183" s="20"/>
      <c r="B183" s="21" t="s">
        <v>302</v>
      </c>
      <c r="C183" s="21" t="s">
        <v>1</v>
      </c>
      <c r="D183" s="22" t="s">
        <v>303</v>
      </c>
      <c r="E183" s="23">
        <f>SUM(F183+CD183+CW183)</f>
        <v>95713110</v>
      </c>
      <c r="F183" s="24">
        <f>SUM(G183+BD183)</f>
        <v>95713110</v>
      </c>
      <c r="G183" s="24">
        <f>SUM(H183+I183+J183+Q183+T183+U183+V183+AF183+AE183)</f>
        <v>0</v>
      </c>
      <c r="H183" s="24">
        <v>0</v>
      </c>
      <c r="I183" s="24">
        <v>0</v>
      </c>
      <c r="J183" s="24">
        <f t="shared" si="297"/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f t="shared" si="298"/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f t="shared" ref="V183:V184" si="388">SUM(W183:AD183)</f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f>SUM(AG183:BC183)</f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/>
      <c r="AS183" s="24">
        <v>0</v>
      </c>
      <c r="AT183" s="24">
        <v>0</v>
      </c>
      <c r="AU183" s="24">
        <v>0</v>
      </c>
      <c r="AV183" s="24"/>
      <c r="AW183" s="24"/>
      <c r="AX183" s="24">
        <v>0</v>
      </c>
      <c r="AY183" s="24">
        <v>0</v>
      </c>
      <c r="AZ183" s="24">
        <v>0</v>
      </c>
      <c r="BA183" s="24">
        <v>0</v>
      </c>
      <c r="BB183" s="24"/>
      <c r="BC183" s="24">
        <v>0</v>
      </c>
      <c r="BD183" s="24">
        <f>SUM(BE183+BI183+BM183+BO183+BR183)</f>
        <v>95713110</v>
      </c>
      <c r="BE183" s="24">
        <f>SUM(BF183:BH183)</f>
        <v>0</v>
      </c>
      <c r="BF183" s="24">
        <v>0</v>
      </c>
      <c r="BG183" s="24">
        <v>0</v>
      </c>
      <c r="BH183" s="24">
        <v>0</v>
      </c>
      <c r="BI183" s="24">
        <f>SUM(BL183:BL183)</f>
        <v>0</v>
      </c>
      <c r="BJ183" s="24">
        <v>0</v>
      </c>
      <c r="BK183" s="24">
        <v>0</v>
      </c>
      <c r="BL183" s="24">
        <v>0</v>
      </c>
      <c r="BM183" s="24">
        <v>0</v>
      </c>
      <c r="BN183" s="24">
        <v>0</v>
      </c>
      <c r="BO183" s="24">
        <f t="shared" si="300"/>
        <v>0</v>
      </c>
      <c r="BP183" s="24">
        <v>0</v>
      </c>
      <c r="BQ183" s="24">
        <v>0</v>
      </c>
      <c r="BR183" s="24">
        <f>SUM(BS183:CC183)</f>
        <v>95713110</v>
      </c>
      <c r="BS183" s="29">
        <f>49299169-3435685</f>
        <v>45863484</v>
      </c>
      <c r="BT183" s="29">
        <v>0</v>
      </c>
      <c r="BU183" s="29">
        <v>0</v>
      </c>
      <c r="BV183" s="29">
        <v>0</v>
      </c>
      <c r="BW183" s="29">
        <v>0</v>
      </c>
      <c r="BX183" s="29">
        <v>0</v>
      </c>
      <c r="BY183" s="29">
        <v>0</v>
      </c>
      <c r="BZ183" s="29">
        <v>0</v>
      </c>
      <c r="CA183" s="29">
        <v>0</v>
      </c>
      <c r="CB183" s="29">
        <f>35953241+1748755</f>
        <v>37701996</v>
      </c>
      <c r="CC183" s="29">
        <f>665078+1438540+8306962+1737050</f>
        <v>12147630</v>
      </c>
      <c r="CD183" s="24">
        <f>SUM(CE183+CV183)</f>
        <v>0</v>
      </c>
      <c r="CE183" s="24">
        <f>SUM(CF183+CI183+CN183)</f>
        <v>0</v>
      </c>
      <c r="CF183" s="24">
        <f t="shared" si="301"/>
        <v>0</v>
      </c>
      <c r="CG183" s="24">
        <v>0</v>
      </c>
      <c r="CH183" s="24">
        <v>0</v>
      </c>
      <c r="CI183" s="24">
        <f>SUM(CJ183:CM183)</f>
        <v>0</v>
      </c>
      <c r="CJ183" s="24">
        <v>0</v>
      </c>
      <c r="CK183" s="24">
        <v>0</v>
      </c>
      <c r="CL183" s="24">
        <v>0</v>
      </c>
      <c r="CM183" s="24">
        <v>0</v>
      </c>
      <c r="CN183" s="24">
        <f>SUM(CO183:CS183)</f>
        <v>0</v>
      </c>
      <c r="CO183" s="24">
        <v>0</v>
      </c>
      <c r="CP183" s="24">
        <v>0</v>
      </c>
      <c r="CQ183" s="24">
        <v>0</v>
      </c>
      <c r="CR183" s="24"/>
      <c r="CS183" s="24"/>
      <c r="CT183" s="24">
        <v>0</v>
      </c>
      <c r="CU183" s="24">
        <v>0</v>
      </c>
      <c r="CV183" s="24">
        <v>0</v>
      </c>
      <c r="CW183" s="24">
        <f t="shared" si="302"/>
        <v>0</v>
      </c>
      <c r="CX183" s="24">
        <f t="shared" si="303"/>
        <v>0</v>
      </c>
      <c r="CY183" s="24">
        <v>0</v>
      </c>
      <c r="CZ183" s="25">
        <v>0</v>
      </c>
    </row>
    <row r="184" spans="1:104" ht="31.2" x14ac:dyDescent="0.3">
      <c r="A184" s="20"/>
      <c r="B184" s="21" t="s">
        <v>304</v>
      </c>
      <c r="C184" s="21" t="s">
        <v>1</v>
      </c>
      <c r="D184" s="22" t="s">
        <v>305</v>
      </c>
      <c r="E184" s="23">
        <f>SUM(F184+CD184+CW184)</f>
        <v>16682724</v>
      </c>
      <c r="F184" s="24">
        <f>SUM(G184+BD184)</f>
        <v>16682724</v>
      </c>
      <c r="G184" s="24">
        <f>SUM(H184+I184+J184+Q184+T184+U184+V184+AF184+AE184)</f>
        <v>0</v>
      </c>
      <c r="H184" s="24">
        <v>0</v>
      </c>
      <c r="I184" s="24">
        <v>0</v>
      </c>
      <c r="J184" s="24">
        <f t="shared" si="297"/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f t="shared" si="298"/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f t="shared" si="388"/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f>SUM(AG184:BC184)</f>
        <v>0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0</v>
      </c>
      <c r="AQ184" s="24">
        <v>0</v>
      </c>
      <c r="AR184" s="24"/>
      <c r="AS184" s="24">
        <v>0</v>
      </c>
      <c r="AT184" s="24">
        <v>0</v>
      </c>
      <c r="AU184" s="24">
        <v>0</v>
      </c>
      <c r="AV184" s="24"/>
      <c r="AW184" s="24"/>
      <c r="AX184" s="24">
        <v>0</v>
      </c>
      <c r="AY184" s="24">
        <v>0</v>
      </c>
      <c r="AZ184" s="24">
        <v>0</v>
      </c>
      <c r="BA184" s="24">
        <v>0</v>
      </c>
      <c r="BB184" s="24"/>
      <c r="BC184" s="24">
        <v>0</v>
      </c>
      <c r="BD184" s="24">
        <f>SUM(BE184+BI184+BM184+BO184+BR184)</f>
        <v>16682724</v>
      </c>
      <c r="BE184" s="24">
        <f>SUM(BF184:BH184)</f>
        <v>0</v>
      </c>
      <c r="BF184" s="24">
        <v>0</v>
      </c>
      <c r="BG184" s="24">
        <v>0</v>
      </c>
      <c r="BH184" s="24">
        <v>0</v>
      </c>
      <c r="BI184" s="24">
        <f>SUM(BL184:BL184)</f>
        <v>0</v>
      </c>
      <c r="BJ184" s="24">
        <v>0</v>
      </c>
      <c r="BK184" s="24">
        <v>0</v>
      </c>
      <c r="BL184" s="24">
        <v>0</v>
      </c>
      <c r="BM184" s="24">
        <v>0</v>
      </c>
      <c r="BN184" s="24">
        <v>0</v>
      </c>
      <c r="BO184" s="24">
        <f t="shared" si="300"/>
        <v>0</v>
      </c>
      <c r="BP184" s="24">
        <v>0</v>
      </c>
      <c r="BQ184" s="24">
        <v>0</v>
      </c>
      <c r="BR184" s="24">
        <f>SUM(BS184:CC184)</f>
        <v>16682724</v>
      </c>
      <c r="BS184" s="29">
        <f>13018933-290000</f>
        <v>12728933</v>
      </c>
      <c r="BT184" s="29">
        <v>0</v>
      </c>
      <c r="BU184" s="29">
        <v>0</v>
      </c>
      <c r="BV184" s="29">
        <v>0</v>
      </c>
      <c r="BW184" s="29">
        <v>0</v>
      </c>
      <c r="BX184" s="29">
        <v>0</v>
      </c>
      <c r="BY184" s="29">
        <v>0</v>
      </c>
      <c r="BZ184" s="29">
        <v>0</v>
      </c>
      <c r="CA184" s="29">
        <v>0</v>
      </c>
      <c r="CB184" s="29">
        <v>3404430</v>
      </c>
      <c r="CC184" s="29">
        <f>375191+31620+104350+38200</f>
        <v>549361</v>
      </c>
      <c r="CD184" s="24">
        <f>SUM(CE184+CV184)</f>
        <v>0</v>
      </c>
      <c r="CE184" s="24">
        <f>SUM(CF184+CI184+CN184)</f>
        <v>0</v>
      </c>
      <c r="CF184" s="24">
        <f t="shared" si="301"/>
        <v>0</v>
      </c>
      <c r="CG184" s="24">
        <v>0</v>
      </c>
      <c r="CH184" s="24">
        <v>0</v>
      </c>
      <c r="CI184" s="24">
        <f>SUM(CJ184:CM184)</f>
        <v>0</v>
      </c>
      <c r="CJ184" s="24">
        <v>0</v>
      </c>
      <c r="CK184" s="24">
        <v>0</v>
      </c>
      <c r="CL184" s="24">
        <v>0</v>
      </c>
      <c r="CM184" s="24">
        <v>0</v>
      </c>
      <c r="CN184" s="24">
        <f>SUM(CO184:CS184)</f>
        <v>0</v>
      </c>
      <c r="CO184" s="24">
        <v>0</v>
      </c>
      <c r="CP184" s="24">
        <v>0</v>
      </c>
      <c r="CQ184" s="24">
        <v>0</v>
      </c>
      <c r="CR184" s="24"/>
      <c r="CS184" s="24"/>
      <c r="CT184" s="24">
        <v>0</v>
      </c>
      <c r="CU184" s="24">
        <v>0</v>
      </c>
      <c r="CV184" s="24">
        <v>0</v>
      </c>
      <c r="CW184" s="24">
        <f t="shared" si="302"/>
        <v>0</v>
      </c>
      <c r="CX184" s="24">
        <f t="shared" si="303"/>
        <v>0</v>
      </c>
      <c r="CY184" s="24">
        <v>0</v>
      </c>
      <c r="CZ184" s="25">
        <v>0</v>
      </c>
    </row>
    <row r="185" spans="1:104" ht="15.6" x14ac:dyDescent="0.3">
      <c r="A185" s="20"/>
      <c r="B185" s="21" t="s">
        <v>306</v>
      </c>
      <c r="C185" s="21" t="s">
        <v>1</v>
      </c>
      <c r="D185" s="22" t="s">
        <v>307</v>
      </c>
      <c r="E185" s="23">
        <f>SUM(E186:E188)</f>
        <v>29945603</v>
      </c>
      <c r="F185" s="24">
        <f t="shared" ref="F185:BX185" si="389">SUM(F186:F188)</f>
        <v>29302691</v>
      </c>
      <c r="G185" s="24">
        <f t="shared" si="389"/>
        <v>29302691</v>
      </c>
      <c r="H185" s="24">
        <f t="shared" si="389"/>
        <v>15514455</v>
      </c>
      <c r="I185" s="24">
        <f t="shared" si="389"/>
        <v>3511709</v>
      </c>
      <c r="J185" s="24">
        <f t="shared" si="389"/>
        <v>7252469</v>
      </c>
      <c r="K185" s="24">
        <f t="shared" si="389"/>
        <v>976431</v>
      </c>
      <c r="L185" s="24">
        <f t="shared" si="389"/>
        <v>249900</v>
      </c>
      <c r="M185" s="24">
        <f t="shared" si="389"/>
        <v>5255432</v>
      </c>
      <c r="N185" s="24">
        <f t="shared" si="389"/>
        <v>0</v>
      </c>
      <c r="O185" s="24">
        <f t="shared" si="389"/>
        <v>606823</v>
      </c>
      <c r="P185" s="24">
        <f t="shared" si="389"/>
        <v>163883</v>
      </c>
      <c r="Q185" s="24">
        <f t="shared" si="389"/>
        <v>0</v>
      </c>
      <c r="R185" s="24">
        <f t="shared" si="389"/>
        <v>0</v>
      </c>
      <c r="S185" s="24">
        <f t="shared" si="389"/>
        <v>0</v>
      </c>
      <c r="T185" s="24">
        <f t="shared" si="389"/>
        <v>0</v>
      </c>
      <c r="U185" s="24">
        <f t="shared" si="389"/>
        <v>105722</v>
      </c>
      <c r="V185" s="24">
        <f t="shared" si="389"/>
        <v>2234323</v>
      </c>
      <c r="W185" s="24">
        <f t="shared" si="389"/>
        <v>66525</v>
      </c>
      <c r="X185" s="24">
        <f t="shared" si="389"/>
        <v>893164</v>
      </c>
      <c r="Y185" s="24">
        <f t="shared" si="389"/>
        <v>371369</v>
      </c>
      <c r="Z185" s="24">
        <f t="shared" si="389"/>
        <v>802618</v>
      </c>
      <c r="AA185" s="24">
        <f t="shared" si="389"/>
        <v>68943</v>
      </c>
      <c r="AB185" s="24">
        <f t="shared" si="389"/>
        <v>0</v>
      </c>
      <c r="AC185" s="24">
        <f t="shared" si="389"/>
        <v>0</v>
      </c>
      <c r="AD185" s="24">
        <f t="shared" si="389"/>
        <v>31704</v>
      </c>
      <c r="AE185" s="24">
        <f t="shared" si="389"/>
        <v>0</v>
      </c>
      <c r="AF185" s="24">
        <f t="shared" si="389"/>
        <v>684013</v>
      </c>
      <c r="AG185" s="24">
        <f t="shared" si="389"/>
        <v>0</v>
      </c>
      <c r="AH185" s="24">
        <f t="shared" si="389"/>
        <v>0</v>
      </c>
      <c r="AI185" s="24">
        <f t="shared" si="389"/>
        <v>0</v>
      </c>
      <c r="AJ185" s="24">
        <f t="shared" si="389"/>
        <v>302562</v>
      </c>
      <c r="AK185" s="24">
        <f t="shared" si="389"/>
        <v>0</v>
      </c>
      <c r="AL185" s="24">
        <f t="shared" si="389"/>
        <v>6364</v>
      </c>
      <c r="AM185" s="24">
        <f t="shared" si="389"/>
        <v>0</v>
      </c>
      <c r="AN185" s="24">
        <f t="shared" si="389"/>
        <v>93425</v>
      </c>
      <c r="AO185" s="24">
        <f t="shared" si="389"/>
        <v>0</v>
      </c>
      <c r="AP185" s="24">
        <f t="shared" si="389"/>
        <v>0</v>
      </c>
      <c r="AQ185" s="24">
        <f t="shared" si="389"/>
        <v>0</v>
      </c>
      <c r="AR185" s="24"/>
      <c r="AS185" s="24">
        <f t="shared" si="389"/>
        <v>0</v>
      </c>
      <c r="AT185" s="24">
        <f t="shared" si="389"/>
        <v>81563</v>
      </c>
      <c r="AU185" s="24">
        <f t="shared" si="389"/>
        <v>145000</v>
      </c>
      <c r="AV185" s="24"/>
      <c r="AW185" s="24"/>
      <c r="AX185" s="24">
        <f t="shared" si="389"/>
        <v>47595</v>
      </c>
      <c r="AY185" s="24">
        <f t="shared" si="389"/>
        <v>0</v>
      </c>
      <c r="AZ185" s="24">
        <f t="shared" si="389"/>
        <v>0</v>
      </c>
      <c r="BA185" s="24">
        <f t="shared" si="389"/>
        <v>0</v>
      </c>
      <c r="BB185" s="24"/>
      <c r="BC185" s="24">
        <f t="shared" si="389"/>
        <v>7504</v>
      </c>
      <c r="BD185" s="24">
        <f t="shared" si="389"/>
        <v>0</v>
      </c>
      <c r="BE185" s="24">
        <f t="shared" si="389"/>
        <v>0</v>
      </c>
      <c r="BF185" s="24">
        <f t="shared" si="389"/>
        <v>0</v>
      </c>
      <c r="BG185" s="24">
        <f t="shared" si="389"/>
        <v>0</v>
      </c>
      <c r="BH185" s="24">
        <f t="shared" si="389"/>
        <v>0</v>
      </c>
      <c r="BI185" s="24">
        <f t="shared" si="389"/>
        <v>0</v>
      </c>
      <c r="BJ185" s="24">
        <f t="shared" si="389"/>
        <v>0</v>
      </c>
      <c r="BK185" s="24">
        <f t="shared" ref="BK185" si="390">SUM(BK186:BK188)</f>
        <v>0</v>
      </c>
      <c r="BL185" s="24">
        <f t="shared" si="389"/>
        <v>0</v>
      </c>
      <c r="BM185" s="24">
        <f t="shared" si="389"/>
        <v>0</v>
      </c>
      <c r="BN185" s="24">
        <f t="shared" si="389"/>
        <v>0</v>
      </c>
      <c r="BO185" s="24">
        <f t="shared" si="389"/>
        <v>0</v>
      </c>
      <c r="BP185" s="24">
        <f t="shared" si="389"/>
        <v>0</v>
      </c>
      <c r="BQ185" s="24">
        <f t="shared" ref="BQ185" si="391">SUM(BQ186:BQ188)</f>
        <v>0</v>
      </c>
      <c r="BR185" s="24">
        <f t="shared" si="389"/>
        <v>0</v>
      </c>
      <c r="BS185" s="24">
        <f t="shared" si="389"/>
        <v>0</v>
      </c>
      <c r="BT185" s="24">
        <f t="shared" si="389"/>
        <v>0</v>
      </c>
      <c r="BU185" s="24">
        <f t="shared" si="389"/>
        <v>0</v>
      </c>
      <c r="BV185" s="24">
        <f t="shared" si="389"/>
        <v>0</v>
      </c>
      <c r="BW185" s="24">
        <f t="shared" si="389"/>
        <v>0</v>
      </c>
      <c r="BX185" s="24">
        <f t="shared" si="389"/>
        <v>0</v>
      </c>
      <c r="BY185" s="24">
        <f t="shared" ref="BY185:CZ185" si="392">SUM(BY186:BY188)</f>
        <v>0</v>
      </c>
      <c r="BZ185" s="24">
        <f t="shared" si="392"/>
        <v>0</v>
      </c>
      <c r="CA185" s="24">
        <f t="shared" si="392"/>
        <v>0</v>
      </c>
      <c r="CB185" s="24">
        <f t="shared" si="392"/>
        <v>0</v>
      </c>
      <c r="CC185" s="24">
        <f t="shared" si="392"/>
        <v>0</v>
      </c>
      <c r="CD185" s="24">
        <f t="shared" si="392"/>
        <v>642912</v>
      </c>
      <c r="CE185" s="24">
        <f t="shared" si="392"/>
        <v>642912</v>
      </c>
      <c r="CF185" s="24">
        <f t="shared" si="392"/>
        <v>642912</v>
      </c>
      <c r="CG185" s="24">
        <f t="shared" si="392"/>
        <v>0</v>
      </c>
      <c r="CH185" s="24">
        <f t="shared" si="392"/>
        <v>642912</v>
      </c>
      <c r="CI185" s="24">
        <f t="shared" si="392"/>
        <v>0</v>
      </c>
      <c r="CJ185" s="24">
        <f t="shared" si="392"/>
        <v>0</v>
      </c>
      <c r="CK185" s="24">
        <f t="shared" ref="CK185:CL185" si="393">SUM(CK186:CK188)</f>
        <v>0</v>
      </c>
      <c r="CL185" s="24">
        <f t="shared" si="393"/>
        <v>0</v>
      </c>
      <c r="CM185" s="24">
        <f t="shared" si="392"/>
        <v>0</v>
      </c>
      <c r="CN185" s="24">
        <f t="shared" si="392"/>
        <v>0</v>
      </c>
      <c r="CO185" s="24">
        <f t="shared" si="392"/>
        <v>0</v>
      </c>
      <c r="CP185" s="24">
        <f t="shared" ref="CP185" si="394">SUM(CP186:CP188)</f>
        <v>0</v>
      </c>
      <c r="CQ185" s="24">
        <f t="shared" si="392"/>
        <v>0</v>
      </c>
      <c r="CR185" s="24"/>
      <c r="CS185" s="24"/>
      <c r="CT185" s="24">
        <f t="shared" si="392"/>
        <v>0</v>
      </c>
      <c r="CU185" s="24">
        <f t="shared" si="392"/>
        <v>0</v>
      </c>
      <c r="CV185" s="24">
        <f t="shared" si="392"/>
        <v>0</v>
      </c>
      <c r="CW185" s="24">
        <f t="shared" si="392"/>
        <v>0</v>
      </c>
      <c r="CX185" s="24">
        <f t="shared" si="392"/>
        <v>0</v>
      </c>
      <c r="CY185" s="24">
        <f t="shared" si="392"/>
        <v>0</v>
      </c>
      <c r="CZ185" s="25">
        <f t="shared" si="392"/>
        <v>0</v>
      </c>
    </row>
    <row r="186" spans="1:104" ht="15.6" x14ac:dyDescent="0.3">
      <c r="A186" s="26"/>
      <c r="B186" s="27" t="s">
        <v>1</v>
      </c>
      <c r="C186" s="27" t="s">
        <v>84</v>
      </c>
      <c r="D186" s="28" t="s">
        <v>308</v>
      </c>
      <c r="E186" s="23">
        <f>SUM(F186+CD186+CW186)</f>
        <v>5175839</v>
      </c>
      <c r="F186" s="24">
        <f>SUM(G186+BD186)</f>
        <v>5042874</v>
      </c>
      <c r="G186" s="24">
        <f>SUM(H186+I186+J186+Q186+T186+U186+V186+AF186+AE186)</f>
        <v>5042874</v>
      </c>
      <c r="H186" s="29">
        <v>2998581</v>
      </c>
      <c r="I186" s="29">
        <v>697770</v>
      </c>
      <c r="J186" s="24">
        <f t="shared" si="297"/>
        <v>1071849</v>
      </c>
      <c r="K186" s="29">
        <v>227449</v>
      </c>
      <c r="L186" s="29">
        <f>87580-58679</f>
        <v>28901</v>
      </c>
      <c r="M186" s="29">
        <f>537936+29077</f>
        <v>567013</v>
      </c>
      <c r="N186" s="29">
        <v>0</v>
      </c>
      <c r="O186" s="29">
        <v>130196</v>
      </c>
      <c r="P186" s="29">
        <f>40190+78100</f>
        <v>118290</v>
      </c>
      <c r="Q186" s="24">
        <f t="shared" si="298"/>
        <v>0</v>
      </c>
      <c r="R186" s="24">
        <v>0</v>
      </c>
      <c r="S186" s="24">
        <v>0</v>
      </c>
      <c r="T186" s="24">
        <v>0</v>
      </c>
      <c r="U186" s="29">
        <v>19242</v>
      </c>
      <c r="V186" s="24">
        <f t="shared" ref="V186:V188" si="395">SUM(W186:AD186)</f>
        <v>142717</v>
      </c>
      <c r="W186" s="29">
        <v>5364</v>
      </c>
      <c r="X186" s="29">
        <f>31407+137</f>
        <v>31544</v>
      </c>
      <c r="Y186" s="29">
        <v>44068</v>
      </c>
      <c r="Z186" s="29">
        <v>40142</v>
      </c>
      <c r="AA186" s="29">
        <v>6018</v>
      </c>
      <c r="AB186" s="29">
        <v>0</v>
      </c>
      <c r="AC186" s="29">
        <v>0</v>
      </c>
      <c r="AD186" s="29">
        <f>10661+4+4916</f>
        <v>15581</v>
      </c>
      <c r="AE186" s="29">
        <v>0</v>
      </c>
      <c r="AF186" s="24">
        <f>SUM(AG186:BC186)</f>
        <v>112715</v>
      </c>
      <c r="AG186" s="24">
        <v>0</v>
      </c>
      <c r="AH186" s="24">
        <v>0</v>
      </c>
      <c r="AI186" s="24">
        <v>0</v>
      </c>
      <c r="AJ186" s="29">
        <v>7391</v>
      </c>
      <c r="AK186" s="29">
        <v>0</v>
      </c>
      <c r="AL186" s="29">
        <v>1591</v>
      </c>
      <c r="AM186" s="29">
        <v>0</v>
      </c>
      <c r="AN186" s="29">
        <f>30290-3757</f>
        <v>26533</v>
      </c>
      <c r="AO186" s="29">
        <v>0</v>
      </c>
      <c r="AP186" s="29">
        <v>0</v>
      </c>
      <c r="AQ186" s="29">
        <v>0</v>
      </c>
      <c r="AR186" s="29">
        <v>0</v>
      </c>
      <c r="AS186" s="29">
        <v>0</v>
      </c>
      <c r="AT186" s="29">
        <v>19200</v>
      </c>
      <c r="AU186" s="29">
        <v>58000</v>
      </c>
      <c r="AV186" s="29">
        <v>0</v>
      </c>
      <c r="AW186" s="29">
        <v>0</v>
      </c>
      <c r="AX186" s="29">
        <v>0</v>
      </c>
      <c r="AY186" s="29">
        <v>0</v>
      </c>
      <c r="AZ186" s="29">
        <v>0</v>
      </c>
      <c r="BA186" s="29">
        <v>0</v>
      </c>
      <c r="BB186" s="29">
        <v>0</v>
      </c>
      <c r="BC186" s="29">
        <v>0</v>
      </c>
      <c r="BD186" s="24">
        <f>SUM(BE186+BI186+BM186+BO186+BR186)</f>
        <v>0</v>
      </c>
      <c r="BE186" s="24">
        <f>SUM(BF186:BH186)</f>
        <v>0</v>
      </c>
      <c r="BF186" s="24">
        <v>0</v>
      </c>
      <c r="BG186" s="24">
        <v>0</v>
      </c>
      <c r="BH186" s="24">
        <v>0</v>
      </c>
      <c r="BI186" s="24">
        <f>SUM(BL186:BL186)</f>
        <v>0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f t="shared" si="300"/>
        <v>0</v>
      </c>
      <c r="BP186" s="24">
        <v>0</v>
      </c>
      <c r="BQ186" s="24">
        <v>0</v>
      </c>
      <c r="BR186" s="24">
        <f>SUM(BS186:CC186)</f>
        <v>0</v>
      </c>
      <c r="BS186" s="24">
        <v>0</v>
      </c>
      <c r="BT186" s="24">
        <v>0</v>
      </c>
      <c r="BU186" s="24">
        <v>0</v>
      </c>
      <c r="BV186" s="24">
        <v>0</v>
      </c>
      <c r="BW186" s="24">
        <v>0</v>
      </c>
      <c r="BX186" s="24">
        <v>0</v>
      </c>
      <c r="BY186" s="24">
        <v>0</v>
      </c>
      <c r="BZ186" s="24">
        <v>0</v>
      </c>
      <c r="CA186" s="24">
        <v>0</v>
      </c>
      <c r="CB186" s="24">
        <v>0</v>
      </c>
      <c r="CC186" s="24">
        <v>0</v>
      </c>
      <c r="CD186" s="24">
        <f>SUM(CE186+CV186)</f>
        <v>132965</v>
      </c>
      <c r="CE186" s="24">
        <f>SUM(CF186+CI186+CN186)</f>
        <v>132965</v>
      </c>
      <c r="CF186" s="24">
        <f t="shared" si="301"/>
        <v>132965</v>
      </c>
      <c r="CG186" s="24">
        <v>0</v>
      </c>
      <c r="CH186" s="29">
        <f>51265+81700</f>
        <v>132965</v>
      </c>
      <c r="CI186" s="24">
        <f>SUM(CJ186:CM186)</f>
        <v>0</v>
      </c>
      <c r="CJ186" s="24">
        <v>0</v>
      </c>
      <c r="CK186" s="24">
        <v>0</v>
      </c>
      <c r="CL186" s="24">
        <v>0</v>
      </c>
      <c r="CM186" s="24">
        <v>0</v>
      </c>
      <c r="CN186" s="24">
        <f>SUM(CO186:CS186)</f>
        <v>0</v>
      </c>
      <c r="CO186" s="24">
        <v>0</v>
      </c>
      <c r="CP186" s="24">
        <v>0</v>
      </c>
      <c r="CQ186" s="24">
        <v>0</v>
      </c>
      <c r="CR186" s="24"/>
      <c r="CS186" s="24"/>
      <c r="CT186" s="24">
        <v>0</v>
      </c>
      <c r="CU186" s="24">
        <v>0</v>
      </c>
      <c r="CV186" s="24">
        <v>0</v>
      </c>
      <c r="CW186" s="24">
        <f t="shared" si="302"/>
        <v>0</v>
      </c>
      <c r="CX186" s="24">
        <f t="shared" si="303"/>
        <v>0</v>
      </c>
      <c r="CY186" s="24">
        <v>0</v>
      </c>
      <c r="CZ186" s="25">
        <v>0</v>
      </c>
    </row>
    <row r="187" spans="1:104" ht="31.2" x14ac:dyDescent="0.3">
      <c r="A187" s="26"/>
      <c r="B187" s="27" t="s">
        <v>1</v>
      </c>
      <c r="C187" s="27" t="s">
        <v>84</v>
      </c>
      <c r="D187" s="28" t="s">
        <v>309</v>
      </c>
      <c r="E187" s="23">
        <f>SUM(F187+CD187+CW187)</f>
        <v>24009050</v>
      </c>
      <c r="F187" s="24">
        <f>SUM(G187+BD187)</f>
        <v>23514803</v>
      </c>
      <c r="G187" s="24">
        <f>SUM(H187+I187+J187+Q187+T187+U187+V187+AF187+AE187)</f>
        <v>23514803</v>
      </c>
      <c r="H187" s="29">
        <v>11945064</v>
      </c>
      <c r="I187" s="29">
        <v>2693612</v>
      </c>
      <c r="J187" s="24">
        <f t="shared" si="297"/>
        <v>6140741</v>
      </c>
      <c r="K187" s="29">
        <v>748982</v>
      </c>
      <c r="L187" s="29">
        <f>1403334-1182335</f>
        <v>220999</v>
      </c>
      <c r="M187" s="29">
        <f>3975270+713149</f>
        <v>4688419</v>
      </c>
      <c r="N187" s="29">
        <v>0</v>
      </c>
      <c r="O187" s="29">
        <v>441677</v>
      </c>
      <c r="P187" s="29">
        <v>40664</v>
      </c>
      <c r="Q187" s="24">
        <f t="shared" si="298"/>
        <v>0</v>
      </c>
      <c r="R187" s="24">
        <v>0</v>
      </c>
      <c r="S187" s="24">
        <v>0</v>
      </c>
      <c r="T187" s="24">
        <v>0</v>
      </c>
      <c r="U187" s="29">
        <v>75661</v>
      </c>
      <c r="V187" s="24">
        <f t="shared" si="395"/>
        <v>2088427</v>
      </c>
      <c r="W187" s="29">
        <v>61161</v>
      </c>
      <c r="X187" s="29">
        <f>798699+3773+57000</f>
        <v>859472</v>
      </c>
      <c r="Y187" s="29">
        <f>328547-2000</f>
        <v>326547</v>
      </c>
      <c r="Z187" s="29">
        <f>761515+684</f>
        <v>762199</v>
      </c>
      <c r="AA187" s="29">
        <v>62925</v>
      </c>
      <c r="AB187" s="29">
        <v>0</v>
      </c>
      <c r="AC187" s="29">
        <v>0</v>
      </c>
      <c r="AD187" s="29">
        <f>16467+6-350</f>
        <v>16123</v>
      </c>
      <c r="AE187" s="29">
        <v>0</v>
      </c>
      <c r="AF187" s="24">
        <f>SUM(AG187:BC187)</f>
        <v>571298</v>
      </c>
      <c r="AG187" s="24">
        <v>0</v>
      </c>
      <c r="AH187" s="24">
        <v>0</v>
      </c>
      <c r="AI187" s="24">
        <v>0</v>
      </c>
      <c r="AJ187" s="29">
        <f>86793+208378</f>
        <v>295171</v>
      </c>
      <c r="AK187" s="29">
        <v>0</v>
      </c>
      <c r="AL187" s="29">
        <v>4773</v>
      </c>
      <c r="AM187" s="29">
        <v>0</v>
      </c>
      <c r="AN187" s="29">
        <f>122028-55136</f>
        <v>66892</v>
      </c>
      <c r="AO187" s="29">
        <v>0</v>
      </c>
      <c r="AP187" s="29">
        <v>0</v>
      </c>
      <c r="AQ187" s="29">
        <v>0</v>
      </c>
      <c r="AR187" s="29">
        <v>0</v>
      </c>
      <c r="AS187" s="29">
        <v>0</v>
      </c>
      <c r="AT187" s="29">
        <f>70656-8293</f>
        <v>62363</v>
      </c>
      <c r="AU187" s="29">
        <v>87000</v>
      </c>
      <c r="AV187" s="29">
        <v>0</v>
      </c>
      <c r="AW187" s="29">
        <v>0</v>
      </c>
      <c r="AX187" s="29">
        <v>47595</v>
      </c>
      <c r="AY187" s="29">
        <v>0</v>
      </c>
      <c r="AZ187" s="29">
        <v>0</v>
      </c>
      <c r="BA187" s="29">
        <v>0</v>
      </c>
      <c r="BB187" s="29">
        <v>0</v>
      </c>
      <c r="BC187" s="29">
        <v>7504</v>
      </c>
      <c r="BD187" s="24">
        <f>SUM(BE187+BI187+BM187+BO187+BR187)</f>
        <v>0</v>
      </c>
      <c r="BE187" s="24">
        <f>SUM(BF187:BH187)</f>
        <v>0</v>
      </c>
      <c r="BF187" s="24">
        <v>0</v>
      </c>
      <c r="BG187" s="24">
        <v>0</v>
      </c>
      <c r="BH187" s="24">
        <v>0</v>
      </c>
      <c r="BI187" s="24">
        <f>SUM(BL187:BL187)</f>
        <v>0</v>
      </c>
      <c r="BJ187" s="24">
        <v>0</v>
      </c>
      <c r="BK187" s="24">
        <v>0</v>
      </c>
      <c r="BL187" s="24">
        <v>0</v>
      </c>
      <c r="BM187" s="24">
        <v>0</v>
      </c>
      <c r="BN187" s="24">
        <v>0</v>
      </c>
      <c r="BO187" s="24">
        <f t="shared" si="300"/>
        <v>0</v>
      </c>
      <c r="BP187" s="24">
        <v>0</v>
      </c>
      <c r="BQ187" s="24">
        <v>0</v>
      </c>
      <c r="BR187" s="24">
        <f>SUM(BS187:CC187)</f>
        <v>0</v>
      </c>
      <c r="BS187" s="24">
        <v>0</v>
      </c>
      <c r="BT187" s="24">
        <v>0</v>
      </c>
      <c r="BU187" s="24">
        <v>0</v>
      </c>
      <c r="BV187" s="24">
        <v>0</v>
      </c>
      <c r="BW187" s="24">
        <v>0</v>
      </c>
      <c r="BX187" s="24">
        <v>0</v>
      </c>
      <c r="BY187" s="24">
        <v>0</v>
      </c>
      <c r="BZ187" s="24">
        <v>0</v>
      </c>
      <c r="CA187" s="24">
        <v>0</v>
      </c>
      <c r="CB187" s="24">
        <v>0</v>
      </c>
      <c r="CC187" s="24">
        <v>0</v>
      </c>
      <c r="CD187" s="24">
        <f>SUM(CE187+CV187)</f>
        <v>494247</v>
      </c>
      <c r="CE187" s="24">
        <f>SUM(CF187+CI187+CN187)</f>
        <v>494247</v>
      </c>
      <c r="CF187" s="24">
        <f t="shared" si="301"/>
        <v>494247</v>
      </c>
      <c r="CG187" s="24">
        <v>0</v>
      </c>
      <c r="CH187" s="29">
        <f>206527+287720</f>
        <v>494247</v>
      </c>
      <c r="CI187" s="24">
        <f>SUM(CJ187:CM187)</f>
        <v>0</v>
      </c>
      <c r="CJ187" s="24">
        <v>0</v>
      </c>
      <c r="CK187" s="24">
        <v>0</v>
      </c>
      <c r="CL187" s="24">
        <v>0</v>
      </c>
      <c r="CM187" s="24">
        <v>0</v>
      </c>
      <c r="CN187" s="24">
        <f>SUM(CO187:CS187)</f>
        <v>0</v>
      </c>
      <c r="CO187" s="24">
        <v>0</v>
      </c>
      <c r="CP187" s="24">
        <v>0</v>
      </c>
      <c r="CQ187" s="24">
        <v>0</v>
      </c>
      <c r="CR187" s="24"/>
      <c r="CS187" s="24"/>
      <c r="CT187" s="24">
        <v>0</v>
      </c>
      <c r="CU187" s="24">
        <v>0</v>
      </c>
      <c r="CV187" s="24">
        <v>0</v>
      </c>
      <c r="CW187" s="24">
        <f t="shared" si="302"/>
        <v>0</v>
      </c>
      <c r="CX187" s="24">
        <f t="shared" si="303"/>
        <v>0</v>
      </c>
      <c r="CY187" s="24">
        <v>0</v>
      </c>
      <c r="CZ187" s="25">
        <v>0</v>
      </c>
    </row>
    <row r="188" spans="1:104" ht="31.2" x14ac:dyDescent="0.3">
      <c r="A188" s="26"/>
      <c r="B188" s="27" t="s">
        <v>1</v>
      </c>
      <c r="C188" s="27" t="s">
        <v>84</v>
      </c>
      <c r="D188" s="28" t="s">
        <v>310</v>
      </c>
      <c r="E188" s="23">
        <f>SUM(F188+CD188+CW188)</f>
        <v>760714</v>
      </c>
      <c r="F188" s="24">
        <f>SUM(G188+BD188)</f>
        <v>745014</v>
      </c>
      <c r="G188" s="24">
        <f>SUM(H188+I188+J188+Q188+T188+U188+V188+AF188+AE188)</f>
        <v>745014</v>
      </c>
      <c r="H188" s="29">
        <v>570810</v>
      </c>
      <c r="I188" s="29">
        <v>120327</v>
      </c>
      <c r="J188" s="24">
        <f t="shared" si="297"/>
        <v>39879</v>
      </c>
      <c r="K188" s="29">
        <v>0</v>
      </c>
      <c r="L188" s="29">
        <v>0</v>
      </c>
      <c r="M188" s="29">
        <v>0</v>
      </c>
      <c r="N188" s="29">
        <v>0</v>
      </c>
      <c r="O188" s="29">
        <v>34950</v>
      </c>
      <c r="P188" s="29">
        <v>4929</v>
      </c>
      <c r="Q188" s="24">
        <f t="shared" si="298"/>
        <v>0</v>
      </c>
      <c r="R188" s="24">
        <v>0</v>
      </c>
      <c r="S188" s="24">
        <v>0</v>
      </c>
      <c r="T188" s="24">
        <v>0</v>
      </c>
      <c r="U188" s="29">
        <v>10819</v>
      </c>
      <c r="V188" s="24">
        <f t="shared" si="395"/>
        <v>3179</v>
      </c>
      <c r="W188" s="29">
        <v>0</v>
      </c>
      <c r="X188" s="29">
        <f>2137+11</f>
        <v>2148</v>
      </c>
      <c r="Y188" s="29">
        <f>601+153</f>
        <v>754</v>
      </c>
      <c r="Z188" s="29">
        <v>277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4">
        <f>SUM(AG188:BC188)</f>
        <v>0</v>
      </c>
      <c r="AG188" s="24">
        <v>0</v>
      </c>
      <c r="AH188" s="24">
        <v>0</v>
      </c>
      <c r="AI188" s="24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4">
        <f>SUM(BE188+BI188+BM188+BO188+BR188)</f>
        <v>0</v>
      </c>
      <c r="BE188" s="24">
        <f>SUM(BF188:BH188)</f>
        <v>0</v>
      </c>
      <c r="BF188" s="24">
        <v>0</v>
      </c>
      <c r="BG188" s="24">
        <v>0</v>
      </c>
      <c r="BH188" s="24">
        <v>0</v>
      </c>
      <c r="BI188" s="24">
        <f>SUM(BL188:BL188)</f>
        <v>0</v>
      </c>
      <c r="BJ188" s="24">
        <v>0</v>
      </c>
      <c r="BK188" s="24">
        <v>0</v>
      </c>
      <c r="BL188" s="24">
        <v>0</v>
      </c>
      <c r="BM188" s="24">
        <v>0</v>
      </c>
      <c r="BN188" s="24">
        <v>0</v>
      </c>
      <c r="BO188" s="24">
        <f t="shared" si="300"/>
        <v>0</v>
      </c>
      <c r="BP188" s="24">
        <v>0</v>
      </c>
      <c r="BQ188" s="24">
        <v>0</v>
      </c>
      <c r="BR188" s="24">
        <f>SUM(BS188:CC188)</f>
        <v>0</v>
      </c>
      <c r="BS188" s="24">
        <v>0</v>
      </c>
      <c r="BT188" s="24">
        <v>0</v>
      </c>
      <c r="BU188" s="24">
        <v>0</v>
      </c>
      <c r="BV188" s="24">
        <v>0</v>
      </c>
      <c r="BW188" s="24">
        <v>0</v>
      </c>
      <c r="BX188" s="24">
        <v>0</v>
      </c>
      <c r="BY188" s="24">
        <v>0</v>
      </c>
      <c r="BZ188" s="24">
        <v>0</v>
      </c>
      <c r="CA188" s="24">
        <v>0</v>
      </c>
      <c r="CB188" s="24">
        <v>0</v>
      </c>
      <c r="CC188" s="24">
        <v>0</v>
      </c>
      <c r="CD188" s="24">
        <f>SUM(CE188+CV188)</f>
        <v>15700</v>
      </c>
      <c r="CE188" s="24">
        <f>SUM(CF188+CI188+CN188)</f>
        <v>15700</v>
      </c>
      <c r="CF188" s="24">
        <f t="shared" si="301"/>
        <v>15700</v>
      </c>
      <c r="CG188" s="24">
        <v>0</v>
      </c>
      <c r="CH188" s="29">
        <v>15700</v>
      </c>
      <c r="CI188" s="24">
        <f>SUM(CJ188:CM188)</f>
        <v>0</v>
      </c>
      <c r="CJ188" s="24">
        <v>0</v>
      </c>
      <c r="CK188" s="24">
        <v>0</v>
      </c>
      <c r="CL188" s="24">
        <v>0</v>
      </c>
      <c r="CM188" s="24">
        <v>0</v>
      </c>
      <c r="CN188" s="24">
        <f>SUM(CO188:CS188)</f>
        <v>0</v>
      </c>
      <c r="CO188" s="24">
        <v>0</v>
      </c>
      <c r="CP188" s="24">
        <v>0</v>
      </c>
      <c r="CQ188" s="24">
        <v>0</v>
      </c>
      <c r="CR188" s="24"/>
      <c r="CS188" s="24"/>
      <c r="CT188" s="24">
        <v>0</v>
      </c>
      <c r="CU188" s="24">
        <v>0</v>
      </c>
      <c r="CV188" s="24">
        <v>0</v>
      </c>
      <c r="CW188" s="24">
        <f t="shared" si="302"/>
        <v>0</v>
      </c>
      <c r="CX188" s="24">
        <f t="shared" si="303"/>
        <v>0</v>
      </c>
      <c r="CY188" s="24">
        <v>0</v>
      </c>
      <c r="CZ188" s="25">
        <v>0</v>
      </c>
    </row>
    <row r="189" spans="1:104" ht="31.2" x14ac:dyDescent="0.3">
      <c r="A189" s="20"/>
      <c r="B189" s="21" t="s">
        <v>311</v>
      </c>
      <c r="C189" s="21" t="s">
        <v>1</v>
      </c>
      <c r="D189" s="22" t="s">
        <v>15</v>
      </c>
      <c r="E189" s="23">
        <f>SUM(E190)</f>
        <v>193682876</v>
      </c>
      <c r="F189" s="24">
        <f t="shared" ref="F189:BX189" si="396">SUM(F190)</f>
        <v>193682876</v>
      </c>
      <c r="G189" s="24">
        <f t="shared" si="396"/>
        <v>0</v>
      </c>
      <c r="H189" s="24">
        <f t="shared" si="396"/>
        <v>0</v>
      </c>
      <c r="I189" s="24">
        <f t="shared" si="396"/>
        <v>0</v>
      </c>
      <c r="J189" s="24">
        <f t="shared" si="396"/>
        <v>0</v>
      </c>
      <c r="K189" s="24">
        <f t="shared" si="396"/>
        <v>0</v>
      </c>
      <c r="L189" s="24">
        <f t="shared" si="396"/>
        <v>0</v>
      </c>
      <c r="M189" s="24">
        <f t="shared" si="396"/>
        <v>0</v>
      </c>
      <c r="N189" s="24">
        <f t="shared" si="396"/>
        <v>0</v>
      </c>
      <c r="O189" s="24">
        <f t="shared" si="396"/>
        <v>0</v>
      </c>
      <c r="P189" s="24">
        <f t="shared" si="396"/>
        <v>0</v>
      </c>
      <c r="Q189" s="24">
        <f t="shared" si="396"/>
        <v>0</v>
      </c>
      <c r="R189" s="24">
        <f t="shared" si="396"/>
        <v>0</v>
      </c>
      <c r="S189" s="24">
        <f t="shared" si="396"/>
        <v>0</v>
      </c>
      <c r="T189" s="24">
        <f t="shared" si="396"/>
        <v>0</v>
      </c>
      <c r="U189" s="24">
        <f t="shared" si="396"/>
        <v>0</v>
      </c>
      <c r="V189" s="24">
        <f t="shared" si="396"/>
        <v>0</v>
      </c>
      <c r="W189" s="24">
        <f t="shared" si="396"/>
        <v>0</v>
      </c>
      <c r="X189" s="24">
        <f t="shared" si="396"/>
        <v>0</v>
      </c>
      <c r="Y189" s="24">
        <f t="shared" si="396"/>
        <v>0</v>
      </c>
      <c r="Z189" s="24">
        <f t="shared" si="396"/>
        <v>0</v>
      </c>
      <c r="AA189" s="24">
        <f t="shared" si="396"/>
        <v>0</v>
      </c>
      <c r="AB189" s="24">
        <f t="shared" si="396"/>
        <v>0</v>
      </c>
      <c r="AC189" s="24">
        <f t="shared" si="396"/>
        <v>0</v>
      </c>
      <c r="AD189" s="24">
        <f t="shared" si="396"/>
        <v>0</v>
      </c>
      <c r="AE189" s="24">
        <f t="shared" si="396"/>
        <v>0</v>
      </c>
      <c r="AF189" s="24">
        <f t="shared" si="396"/>
        <v>0</v>
      </c>
      <c r="AG189" s="24">
        <f t="shared" si="396"/>
        <v>0</v>
      </c>
      <c r="AH189" s="24">
        <f t="shared" si="396"/>
        <v>0</v>
      </c>
      <c r="AI189" s="24">
        <f t="shared" si="396"/>
        <v>0</v>
      </c>
      <c r="AJ189" s="24">
        <f t="shared" si="396"/>
        <v>0</v>
      </c>
      <c r="AK189" s="24">
        <f t="shared" si="396"/>
        <v>0</v>
      </c>
      <c r="AL189" s="24">
        <f t="shared" si="396"/>
        <v>0</v>
      </c>
      <c r="AM189" s="24">
        <f t="shared" si="396"/>
        <v>0</v>
      </c>
      <c r="AN189" s="24">
        <f t="shared" si="396"/>
        <v>0</v>
      </c>
      <c r="AO189" s="24">
        <f t="shared" si="396"/>
        <v>0</v>
      </c>
      <c r="AP189" s="24">
        <f t="shared" si="396"/>
        <v>0</v>
      </c>
      <c r="AQ189" s="24">
        <f t="shared" si="396"/>
        <v>0</v>
      </c>
      <c r="AR189" s="24"/>
      <c r="AS189" s="24">
        <f t="shared" si="396"/>
        <v>0</v>
      </c>
      <c r="AT189" s="24">
        <f t="shared" si="396"/>
        <v>0</v>
      </c>
      <c r="AU189" s="24">
        <f t="shared" si="396"/>
        <v>0</v>
      </c>
      <c r="AV189" s="24"/>
      <c r="AW189" s="24"/>
      <c r="AX189" s="24">
        <f t="shared" si="396"/>
        <v>0</v>
      </c>
      <c r="AY189" s="24">
        <f t="shared" si="396"/>
        <v>0</v>
      </c>
      <c r="AZ189" s="24">
        <f t="shared" si="396"/>
        <v>0</v>
      </c>
      <c r="BA189" s="24">
        <f t="shared" si="396"/>
        <v>0</v>
      </c>
      <c r="BB189" s="24"/>
      <c r="BC189" s="24">
        <f t="shared" si="396"/>
        <v>0</v>
      </c>
      <c r="BD189" s="24">
        <f t="shared" si="396"/>
        <v>193682876</v>
      </c>
      <c r="BE189" s="24">
        <f t="shared" si="396"/>
        <v>0</v>
      </c>
      <c r="BF189" s="24">
        <f t="shared" si="396"/>
        <v>0</v>
      </c>
      <c r="BG189" s="24">
        <f t="shared" si="396"/>
        <v>0</v>
      </c>
      <c r="BH189" s="24">
        <f t="shared" si="396"/>
        <v>0</v>
      </c>
      <c r="BI189" s="24">
        <f t="shared" si="396"/>
        <v>0</v>
      </c>
      <c r="BJ189" s="24">
        <f t="shared" si="396"/>
        <v>0</v>
      </c>
      <c r="BK189" s="24">
        <f t="shared" si="396"/>
        <v>0</v>
      </c>
      <c r="BL189" s="24">
        <f t="shared" si="396"/>
        <v>0</v>
      </c>
      <c r="BM189" s="24">
        <f t="shared" si="396"/>
        <v>0</v>
      </c>
      <c r="BN189" s="24">
        <f t="shared" si="396"/>
        <v>0</v>
      </c>
      <c r="BO189" s="24">
        <f t="shared" si="396"/>
        <v>0</v>
      </c>
      <c r="BP189" s="24">
        <f t="shared" si="396"/>
        <v>0</v>
      </c>
      <c r="BQ189" s="24">
        <f t="shared" si="396"/>
        <v>0</v>
      </c>
      <c r="BR189" s="24">
        <f t="shared" si="396"/>
        <v>193682876</v>
      </c>
      <c r="BS189" s="24">
        <f t="shared" si="396"/>
        <v>0</v>
      </c>
      <c r="BT189" s="24">
        <f t="shared" si="396"/>
        <v>0</v>
      </c>
      <c r="BU189" s="24">
        <f t="shared" si="396"/>
        <v>0</v>
      </c>
      <c r="BV189" s="24">
        <f t="shared" si="396"/>
        <v>0</v>
      </c>
      <c r="BW189" s="24">
        <f t="shared" si="396"/>
        <v>0</v>
      </c>
      <c r="BX189" s="24">
        <f t="shared" si="396"/>
        <v>0</v>
      </c>
      <c r="BY189" s="24">
        <f t="shared" ref="BY189:CZ189" si="397">SUM(BY190)</f>
        <v>158605121</v>
      </c>
      <c r="BZ189" s="24">
        <f t="shared" si="397"/>
        <v>0</v>
      </c>
      <c r="CA189" s="24">
        <f t="shared" si="397"/>
        <v>0</v>
      </c>
      <c r="CB189" s="24">
        <f t="shared" si="397"/>
        <v>35077755</v>
      </c>
      <c r="CC189" s="24">
        <f t="shared" si="397"/>
        <v>0</v>
      </c>
      <c r="CD189" s="24">
        <f t="shared" si="397"/>
        <v>0</v>
      </c>
      <c r="CE189" s="24">
        <f t="shared" si="397"/>
        <v>0</v>
      </c>
      <c r="CF189" s="24">
        <f t="shared" si="397"/>
        <v>0</v>
      </c>
      <c r="CG189" s="24">
        <f t="shared" si="397"/>
        <v>0</v>
      </c>
      <c r="CH189" s="24">
        <f t="shared" si="397"/>
        <v>0</v>
      </c>
      <c r="CI189" s="24">
        <f t="shared" si="397"/>
        <v>0</v>
      </c>
      <c r="CJ189" s="24">
        <f t="shared" si="397"/>
        <v>0</v>
      </c>
      <c r="CK189" s="24">
        <f t="shared" si="397"/>
        <v>0</v>
      </c>
      <c r="CL189" s="24">
        <f t="shared" si="397"/>
        <v>0</v>
      </c>
      <c r="CM189" s="24">
        <f t="shared" si="397"/>
        <v>0</v>
      </c>
      <c r="CN189" s="24">
        <f t="shared" si="397"/>
        <v>0</v>
      </c>
      <c r="CO189" s="24">
        <f t="shared" si="397"/>
        <v>0</v>
      </c>
      <c r="CP189" s="24">
        <f t="shared" si="397"/>
        <v>0</v>
      </c>
      <c r="CQ189" s="24">
        <f t="shared" si="397"/>
        <v>0</v>
      </c>
      <c r="CR189" s="24"/>
      <c r="CS189" s="24"/>
      <c r="CT189" s="24">
        <f t="shared" si="397"/>
        <v>0</v>
      </c>
      <c r="CU189" s="24">
        <f t="shared" si="397"/>
        <v>0</v>
      </c>
      <c r="CV189" s="24">
        <f t="shared" si="397"/>
        <v>0</v>
      </c>
      <c r="CW189" s="24">
        <f t="shared" si="397"/>
        <v>0</v>
      </c>
      <c r="CX189" s="24">
        <f t="shared" si="397"/>
        <v>0</v>
      </c>
      <c r="CY189" s="24">
        <f t="shared" si="397"/>
        <v>0</v>
      </c>
      <c r="CZ189" s="25">
        <f t="shared" si="397"/>
        <v>0</v>
      </c>
    </row>
    <row r="190" spans="1:104" ht="31.2" x14ac:dyDescent="0.3">
      <c r="A190" s="26"/>
      <c r="B190" s="27" t="s">
        <v>1</v>
      </c>
      <c r="C190" s="27" t="s">
        <v>84</v>
      </c>
      <c r="D190" s="28" t="s">
        <v>312</v>
      </c>
      <c r="E190" s="23">
        <f>SUM(F190+CD190+CW190)</f>
        <v>193682876</v>
      </c>
      <c r="F190" s="24">
        <f>SUM(G190+BD190)</f>
        <v>193682876</v>
      </c>
      <c r="G190" s="24">
        <f>SUM(H190+I190+J190+Q190+T190+U190+V190+AF190+AE190)</f>
        <v>0</v>
      </c>
      <c r="H190" s="24">
        <v>0</v>
      </c>
      <c r="I190" s="24">
        <v>0</v>
      </c>
      <c r="J190" s="24">
        <f t="shared" si="297"/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f t="shared" si="298"/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f t="shared" ref="V190" si="398">SUM(W190:AD190)</f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f>SUM(AG190:BC190)</f>
        <v>0</v>
      </c>
      <c r="AG190" s="24">
        <v>0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4"/>
      <c r="AS190" s="24">
        <v>0</v>
      </c>
      <c r="AT190" s="24">
        <v>0</v>
      </c>
      <c r="AU190" s="24">
        <v>0</v>
      </c>
      <c r="AV190" s="24"/>
      <c r="AW190" s="24"/>
      <c r="AX190" s="24">
        <v>0</v>
      </c>
      <c r="AY190" s="24">
        <v>0</v>
      </c>
      <c r="AZ190" s="24">
        <v>0</v>
      </c>
      <c r="BA190" s="24">
        <v>0</v>
      </c>
      <c r="BB190" s="24"/>
      <c r="BC190" s="24">
        <v>0</v>
      </c>
      <c r="BD190" s="24">
        <f>SUM(BE190+BI190+BM190+BO190+BR190)</f>
        <v>193682876</v>
      </c>
      <c r="BE190" s="24">
        <f>SUM(BF190:BH190)</f>
        <v>0</v>
      </c>
      <c r="BF190" s="24">
        <v>0</v>
      </c>
      <c r="BG190" s="24">
        <v>0</v>
      </c>
      <c r="BH190" s="24">
        <v>0</v>
      </c>
      <c r="BI190" s="24">
        <f>SUM(BL190:BL190)</f>
        <v>0</v>
      </c>
      <c r="BJ190" s="24">
        <v>0</v>
      </c>
      <c r="BK190" s="24">
        <v>0</v>
      </c>
      <c r="BL190" s="24">
        <v>0</v>
      </c>
      <c r="BM190" s="24">
        <v>0</v>
      </c>
      <c r="BN190" s="24">
        <v>0</v>
      </c>
      <c r="BO190" s="24">
        <f t="shared" si="300"/>
        <v>0</v>
      </c>
      <c r="BP190" s="24">
        <v>0</v>
      </c>
      <c r="BQ190" s="24">
        <v>0</v>
      </c>
      <c r="BR190" s="24">
        <f>SUM(BS190:CC190)</f>
        <v>193682876</v>
      </c>
      <c r="BS190" s="24">
        <v>0</v>
      </c>
      <c r="BT190" s="24">
        <v>0</v>
      </c>
      <c r="BU190" s="24">
        <v>0</v>
      </c>
      <c r="BV190" s="24">
        <v>0</v>
      </c>
      <c r="BW190" s="24">
        <v>0</v>
      </c>
      <c r="BX190" s="24">
        <v>0</v>
      </c>
      <c r="BY190" s="29">
        <f>166371961-272924-7493916</f>
        <v>158605121</v>
      </c>
      <c r="BZ190" s="24">
        <v>0</v>
      </c>
      <c r="CA190" s="24">
        <v>0</v>
      </c>
      <c r="CB190" s="29">
        <f>32234465+10859610-6817152-1199168</f>
        <v>35077755</v>
      </c>
      <c r="CC190" s="24">
        <v>0</v>
      </c>
      <c r="CD190" s="24">
        <f>SUM(CE190+CV190)</f>
        <v>0</v>
      </c>
      <c r="CE190" s="24">
        <f>SUM(CF190+CI190+CN190)</f>
        <v>0</v>
      </c>
      <c r="CF190" s="24">
        <f t="shared" si="301"/>
        <v>0</v>
      </c>
      <c r="CG190" s="24">
        <v>0</v>
      </c>
      <c r="CH190" s="24">
        <v>0</v>
      </c>
      <c r="CI190" s="24">
        <f>SUM(CJ190:CM190)</f>
        <v>0</v>
      </c>
      <c r="CJ190" s="24">
        <v>0</v>
      </c>
      <c r="CK190" s="24">
        <v>0</v>
      </c>
      <c r="CL190" s="24">
        <v>0</v>
      </c>
      <c r="CM190" s="24">
        <v>0</v>
      </c>
      <c r="CN190" s="24">
        <f>SUM(CO190:CS190)</f>
        <v>0</v>
      </c>
      <c r="CO190" s="24">
        <v>0</v>
      </c>
      <c r="CP190" s="24">
        <v>0</v>
      </c>
      <c r="CQ190" s="24">
        <v>0</v>
      </c>
      <c r="CR190" s="24"/>
      <c r="CS190" s="24"/>
      <c r="CT190" s="24">
        <v>0</v>
      </c>
      <c r="CU190" s="24">
        <v>0</v>
      </c>
      <c r="CV190" s="24">
        <v>0</v>
      </c>
      <c r="CW190" s="24">
        <f t="shared" si="302"/>
        <v>0</v>
      </c>
      <c r="CX190" s="24">
        <f t="shared" si="303"/>
        <v>0</v>
      </c>
      <c r="CY190" s="24">
        <v>0</v>
      </c>
      <c r="CZ190" s="25">
        <v>0</v>
      </c>
    </row>
    <row r="191" spans="1:104" ht="31.2" x14ac:dyDescent="0.3">
      <c r="A191" s="20"/>
      <c r="B191" s="21" t="s">
        <v>313</v>
      </c>
      <c r="C191" s="21" t="s">
        <v>1</v>
      </c>
      <c r="D191" s="22" t="s">
        <v>314</v>
      </c>
      <c r="E191" s="23">
        <f t="shared" ref="E191:AL191" si="399">SUM(E192)</f>
        <v>21743941</v>
      </c>
      <c r="F191" s="24">
        <f t="shared" si="399"/>
        <v>21743941</v>
      </c>
      <c r="G191" s="24">
        <f t="shared" si="399"/>
        <v>0</v>
      </c>
      <c r="H191" s="24">
        <f t="shared" si="399"/>
        <v>0</v>
      </c>
      <c r="I191" s="24">
        <f t="shared" si="399"/>
        <v>0</v>
      </c>
      <c r="J191" s="24">
        <f t="shared" si="399"/>
        <v>0</v>
      </c>
      <c r="K191" s="24">
        <f t="shared" si="399"/>
        <v>0</v>
      </c>
      <c r="L191" s="24">
        <f t="shared" si="399"/>
        <v>0</v>
      </c>
      <c r="M191" s="24">
        <f t="shared" si="399"/>
        <v>0</v>
      </c>
      <c r="N191" s="24">
        <f t="shared" si="399"/>
        <v>0</v>
      </c>
      <c r="O191" s="24">
        <f t="shared" si="399"/>
        <v>0</v>
      </c>
      <c r="P191" s="24">
        <f t="shared" si="399"/>
        <v>0</v>
      </c>
      <c r="Q191" s="24">
        <f t="shared" si="399"/>
        <v>0</v>
      </c>
      <c r="R191" s="24">
        <f t="shared" si="399"/>
        <v>0</v>
      </c>
      <c r="S191" s="24">
        <f t="shared" si="399"/>
        <v>0</v>
      </c>
      <c r="T191" s="24">
        <f t="shared" si="399"/>
        <v>0</v>
      </c>
      <c r="U191" s="24">
        <f t="shared" si="399"/>
        <v>0</v>
      </c>
      <c r="V191" s="24">
        <f t="shared" si="399"/>
        <v>0</v>
      </c>
      <c r="W191" s="24">
        <f t="shared" si="399"/>
        <v>0</v>
      </c>
      <c r="X191" s="24">
        <f t="shared" si="399"/>
        <v>0</v>
      </c>
      <c r="Y191" s="24">
        <f t="shared" si="399"/>
        <v>0</v>
      </c>
      <c r="Z191" s="24">
        <f t="shared" si="399"/>
        <v>0</v>
      </c>
      <c r="AA191" s="24">
        <f t="shared" si="399"/>
        <v>0</v>
      </c>
      <c r="AB191" s="24">
        <f t="shared" si="399"/>
        <v>0</v>
      </c>
      <c r="AC191" s="24">
        <f t="shared" si="399"/>
        <v>0</v>
      </c>
      <c r="AD191" s="24">
        <f t="shared" si="399"/>
        <v>0</v>
      </c>
      <c r="AE191" s="24">
        <f t="shared" si="399"/>
        <v>0</v>
      </c>
      <c r="AF191" s="24">
        <f t="shared" si="399"/>
        <v>0</v>
      </c>
      <c r="AG191" s="24">
        <f t="shared" si="399"/>
        <v>0</v>
      </c>
      <c r="AH191" s="24">
        <f t="shared" si="399"/>
        <v>0</v>
      </c>
      <c r="AI191" s="24">
        <f t="shared" si="399"/>
        <v>0</v>
      </c>
      <c r="AJ191" s="24">
        <f t="shared" si="399"/>
        <v>0</v>
      </c>
      <c r="AK191" s="24">
        <f t="shared" si="399"/>
        <v>0</v>
      </c>
      <c r="AL191" s="24">
        <f t="shared" si="399"/>
        <v>0</v>
      </c>
      <c r="AM191" s="24">
        <f t="shared" ref="AM191:CZ191" si="400">SUM(AM192)</f>
        <v>0</v>
      </c>
      <c r="AN191" s="24">
        <f t="shared" si="400"/>
        <v>0</v>
      </c>
      <c r="AO191" s="24">
        <f t="shared" si="400"/>
        <v>0</v>
      </c>
      <c r="AP191" s="24">
        <f t="shared" si="400"/>
        <v>0</v>
      </c>
      <c r="AQ191" s="24">
        <f t="shared" si="400"/>
        <v>0</v>
      </c>
      <c r="AR191" s="24"/>
      <c r="AS191" s="24">
        <f t="shared" si="400"/>
        <v>0</v>
      </c>
      <c r="AT191" s="24">
        <f t="shared" si="400"/>
        <v>0</v>
      </c>
      <c r="AU191" s="24">
        <f t="shared" si="400"/>
        <v>0</v>
      </c>
      <c r="AV191" s="24"/>
      <c r="AW191" s="24"/>
      <c r="AX191" s="24">
        <f t="shared" si="400"/>
        <v>0</v>
      </c>
      <c r="AY191" s="24">
        <f t="shared" si="400"/>
        <v>0</v>
      </c>
      <c r="AZ191" s="24">
        <f t="shared" si="400"/>
        <v>0</v>
      </c>
      <c r="BA191" s="24">
        <f t="shared" si="400"/>
        <v>0</v>
      </c>
      <c r="BB191" s="24"/>
      <c r="BC191" s="24">
        <f t="shared" si="400"/>
        <v>0</v>
      </c>
      <c r="BD191" s="24">
        <f t="shared" si="400"/>
        <v>21743941</v>
      </c>
      <c r="BE191" s="24">
        <f t="shared" si="400"/>
        <v>0</v>
      </c>
      <c r="BF191" s="24">
        <f t="shared" si="400"/>
        <v>0</v>
      </c>
      <c r="BG191" s="24">
        <f t="shared" si="400"/>
        <v>0</v>
      </c>
      <c r="BH191" s="24">
        <f t="shared" si="400"/>
        <v>0</v>
      </c>
      <c r="BI191" s="24">
        <f t="shared" si="400"/>
        <v>0</v>
      </c>
      <c r="BJ191" s="24">
        <f t="shared" si="400"/>
        <v>0</v>
      </c>
      <c r="BK191" s="24">
        <f t="shared" si="400"/>
        <v>0</v>
      </c>
      <c r="BL191" s="24">
        <f t="shared" si="400"/>
        <v>0</v>
      </c>
      <c r="BM191" s="24">
        <f t="shared" si="400"/>
        <v>0</v>
      </c>
      <c r="BN191" s="24">
        <f t="shared" si="400"/>
        <v>0</v>
      </c>
      <c r="BO191" s="24">
        <f t="shared" si="400"/>
        <v>0</v>
      </c>
      <c r="BP191" s="24">
        <f t="shared" si="400"/>
        <v>0</v>
      </c>
      <c r="BQ191" s="24">
        <f t="shared" si="400"/>
        <v>0</v>
      </c>
      <c r="BR191" s="24">
        <f t="shared" si="400"/>
        <v>21743941</v>
      </c>
      <c r="BS191" s="24">
        <f t="shared" si="400"/>
        <v>0</v>
      </c>
      <c r="BT191" s="24">
        <f t="shared" si="400"/>
        <v>0</v>
      </c>
      <c r="BU191" s="24">
        <f t="shared" si="400"/>
        <v>0</v>
      </c>
      <c r="BV191" s="24">
        <f t="shared" si="400"/>
        <v>21743941</v>
      </c>
      <c r="BW191" s="24">
        <f t="shared" si="400"/>
        <v>0</v>
      </c>
      <c r="BX191" s="24">
        <f t="shared" si="400"/>
        <v>0</v>
      </c>
      <c r="BY191" s="24">
        <f t="shared" si="400"/>
        <v>0</v>
      </c>
      <c r="BZ191" s="24">
        <f t="shared" si="400"/>
        <v>0</v>
      </c>
      <c r="CA191" s="24">
        <f t="shared" si="400"/>
        <v>0</v>
      </c>
      <c r="CB191" s="24">
        <f t="shared" si="400"/>
        <v>0</v>
      </c>
      <c r="CC191" s="24">
        <f t="shared" si="400"/>
        <v>0</v>
      </c>
      <c r="CD191" s="24">
        <f t="shared" si="400"/>
        <v>0</v>
      </c>
      <c r="CE191" s="24">
        <f t="shared" si="400"/>
        <v>0</v>
      </c>
      <c r="CF191" s="24">
        <f t="shared" si="400"/>
        <v>0</v>
      </c>
      <c r="CG191" s="24">
        <f t="shared" si="400"/>
        <v>0</v>
      </c>
      <c r="CH191" s="24">
        <f t="shared" si="400"/>
        <v>0</v>
      </c>
      <c r="CI191" s="24">
        <f t="shared" si="400"/>
        <v>0</v>
      </c>
      <c r="CJ191" s="24">
        <f t="shared" si="400"/>
        <v>0</v>
      </c>
      <c r="CK191" s="24">
        <f t="shared" si="400"/>
        <v>0</v>
      </c>
      <c r="CL191" s="24">
        <f t="shared" si="400"/>
        <v>0</v>
      </c>
      <c r="CM191" s="24">
        <f t="shared" si="400"/>
        <v>0</v>
      </c>
      <c r="CN191" s="24">
        <f t="shared" si="400"/>
        <v>0</v>
      </c>
      <c r="CO191" s="24">
        <f t="shared" si="400"/>
        <v>0</v>
      </c>
      <c r="CP191" s="24">
        <f t="shared" si="400"/>
        <v>0</v>
      </c>
      <c r="CQ191" s="24">
        <f t="shared" si="400"/>
        <v>0</v>
      </c>
      <c r="CR191" s="24"/>
      <c r="CS191" s="24"/>
      <c r="CT191" s="24">
        <f t="shared" si="400"/>
        <v>0</v>
      </c>
      <c r="CU191" s="24">
        <f t="shared" si="400"/>
        <v>0</v>
      </c>
      <c r="CV191" s="24">
        <f t="shared" si="400"/>
        <v>0</v>
      </c>
      <c r="CW191" s="24">
        <f t="shared" si="400"/>
        <v>0</v>
      </c>
      <c r="CX191" s="24">
        <f t="shared" si="400"/>
        <v>0</v>
      </c>
      <c r="CY191" s="24">
        <f t="shared" si="400"/>
        <v>0</v>
      </c>
      <c r="CZ191" s="25">
        <f t="shared" si="400"/>
        <v>0</v>
      </c>
    </row>
    <row r="192" spans="1:104" ht="15.6" x14ac:dyDescent="0.3">
      <c r="A192" s="26"/>
      <c r="B192" s="27" t="s">
        <v>1</v>
      </c>
      <c r="C192" s="27" t="s">
        <v>105</v>
      </c>
      <c r="D192" s="28" t="s">
        <v>54</v>
      </c>
      <c r="E192" s="23">
        <f>SUM(F192+CD192+CW192)</f>
        <v>21743941</v>
      </c>
      <c r="F192" s="24">
        <f>SUM(G192+BD192)</f>
        <v>21743941</v>
      </c>
      <c r="G192" s="24">
        <f>SUM(H192+I192+J192+Q192+T192+U192+V192+AF192+AE192)</f>
        <v>0</v>
      </c>
      <c r="H192" s="24">
        <v>0</v>
      </c>
      <c r="I192" s="24">
        <v>0</v>
      </c>
      <c r="J192" s="24">
        <f t="shared" si="297"/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f t="shared" si="298"/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f t="shared" ref="V192" si="401">SUM(W192:AD192)</f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f>SUM(AG192:BC192)</f>
        <v>0</v>
      </c>
      <c r="AG192" s="24">
        <v>0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4"/>
      <c r="AS192" s="24">
        <v>0</v>
      </c>
      <c r="AT192" s="24">
        <v>0</v>
      </c>
      <c r="AU192" s="24">
        <v>0</v>
      </c>
      <c r="AV192" s="24"/>
      <c r="AW192" s="24"/>
      <c r="AX192" s="24">
        <v>0</v>
      </c>
      <c r="AY192" s="24">
        <v>0</v>
      </c>
      <c r="AZ192" s="24">
        <v>0</v>
      </c>
      <c r="BA192" s="24">
        <v>0</v>
      </c>
      <c r="BB192" s="24"/>
      <c r="BC192" s="24">
        <v>0</v>
      </c>
      <c r="BD192" s="24">
        <f>SUM(BE192+BI192+BM192+BO192+BR192)</f>
        <v>21743941</v>
      </c>
      <c r="BE192" s="24">
        <f>SUM(BF192:BH192)</f>
        <v>0</v>
      </c>
      <c r="BF192" s="24">
        <v>0</v>
      </c>
      <c r="BG192" s="24">
        <v>0</v>
      </c>
      <c r="BH192" s="24">
        <v>0</v>
      </c>
      <c r="BI192" s="24">
        <f>SUM(BL192:BL192)</f>
        <v>0</v>
      </c>
      <c r="BJ192" s="24">
        <v>0</v>
      </c>
      <c r="BK192" s="24">
        <v>0</v>
      </c>
      <c r="BL192" s="24">
        <v>0</v>
      </c>
      <c r="BM192" s="24">
        <v>0</v>
      </c>
      <c r="BN192" s="24">
        <v>0</v>
      </c>
      <c r="BO192" s="24">
        <f t="shared" si="300"/>
        <v>0</v>
      </c>
      <c r="BP192" s="24">
        <v>0</v>
      </c>
      <c r="BQ192" s="24">
        <v>0</v>
      </c>
      <c r="BR192" s="24">
        <f>SUM(BS192:CC192)</f>
        <v>21743941</v>
      </c>
      <c r="BS192" s="24">
        <v>0</v>
      </c>
      <c r="BT192" s="24">
        <v>0</v>
      </c>
      <c r="BU192" s="24">
        <v>0</v>
      </c>
      <c r="BV192" s="29">
        <v>21743941</v>
      </c>
      <c r="BW192" s="24">
        <v>0</v>
      </c>
      <c r="BX192" s="24">
        <v>0</v>
      </c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D192" s="24">
        <f>SUM(CE192+CV192)</f>
        <v>0</v>
      </c>
      <c r="CE192" s="24">
        <f>SUM(CF192+CI192+CN192)</f>
        <v>0</v>
      </c>
      <c r="CF192" s="24">
        <f t="shared" si="301"/>
        <v>0</v>
      </c>
      <c r="CG192" s="24">
        <v>0</v>
      </c>
      <c r="CH192" s="24">
        <v>0</v>
      </c>
      <c r="CI192" s="24">
        <f>SUM(CJ192:CM192)</f>
        <v>0</v>
      </c>
      <c r="CJ192" s="24">
        <v>0</v>
      </c>
      <c r="CK192" s="24">
        <v>0</v>
      </c>
      <c r="CL192" s="24">
        <v>0</v>
      </c>
      <c r="CM192" s="24">
        <v>0</v>
      </c>
      <c r="CN192" s="24">
        <f>SUM(CO192:CS192)</f>
        <v>0</v>
      </c>
      <c r="CO192" s="24">
        <v>0</v>
      </c>
      <c r="CP192" s="24">
        <v>0</v>
      </c>
      <c r="CQ192" s="24">
        <v>0</v>
      </c>
      <c r="CR192" s="24"/>
      <c r="CS192" s="24"/>
      <c r="CT192" s="24">
        <v>0</v>
      </c>
      <c r="CU192" s="24">
        <v>0</v>
      </c>
      <c r="CV192" s="24">
        <v>0</v>
      </c>
      <c r="CW192" s="24">
        <f t="shared" si="302"/>
        <v>0</v>
      </c>
      <c r="CX192" s="24">
        <f t="shared" si="303"/>
        <v>0</v>
      </c>
      <c r="CY192" s="24">
        <v>0</v>
      </c>
      <c r="CZ192" s="25">
        <v>0</v>
      </c>
    </row>
    <row r="193" spans="1:104" ht="31.2" x14ac:dyDescent="0.3">
      <c r="A193" s="20"/>
      <c r="B193" s="21" t="s">
        <v>315</v>
      </c>
      <c r="C193" s="21" t="s">
        <v>1</v>
      </c>
      <c r="D193" s="22" t="s">
        <v>316</v>
      </c>
      <c r="E193" s="23">
        <f t="shared" ref="E193:AL193" si="402">SUM(E194)</f>
        <v>100000</v>
      </c>
      <c r="F193" s="24">
        <f t="shared" si="402"/>
        <v>100000</v>
      </c>
      <c r="G193" s="24">
        <f t="shared" si="402"/>
        <v>0</v>
      </c>
      <c r="H193" s="24">
        <f t="shared" si="402"/>
        <v>0</v>
      </c>
      <c r="I193" s="24">
        <f t="shared" si="402"/>
        <v>0</v>
      </c>
      <c r="J193" s="24">
        <f t="shared" si="402"/>
        <v>0</v>
      </c>
      <c r="K193" s="24">
        <f t="shared" si="402"/>
        <v>0</v>
      </c>
      <c r="L193" s="24">
        <f t="shared" si="402"/>
        <v>0</v>
      </c>
      <c r="M193" s="24">
        <f t="shared" si="402"/>
        <v>0</v>
      </c>
      <c r="N193" s="24">
        <f t="shared" si="402"/>
        <v>0</v>
      </c>
      <c r="O193" s="24">
        <f t="shared" si="402"/>
        <v>0</v>
      </c>
      <c r="P193" s="24">
        <f t="shared" si="402"/>
        <v>0</v>
      </c>
      <c r="Q193" s="24">
        <f t="shared" si="402"/>
        <v>0</v>
      </c>
      <c r="R193" s="24">
        <f t="shared" si="402"/>
        <v>0</v>
      </c>
      <c r="S193" s="24">
        <f t="shared" si="402"/>
        <v>0</v>
      </c>
      <c r="T193" s="24">
        <f t="shared" si="402"/>
        <v>0</v>
      </c>
      <c r="U193" s="24">
        <f t="shared" si="402"/>
        <v>0</v>
      </c>
      <c r="V193" s="24">
        <f t="shared" si="402"/>
        <v>0</v>
      </c>
      <c r="W193" s="24">
        <f t="shared" si="402"/>
        <v>0</v>
      </c>
      <c r="X193" s="24">
        <f t="shared" si="402"/>
        <v>0</v>
      </c>
      <c r="Y193" s="24">
        <f t="shared" si="402"/>
        <v>0</v>
      </c>
      <c r="Z193" s="24">
        <f t="shared" si="402"/>
        <v>0</v>
      </c>
      <c r="AA193" s="24">
        <f t="shared" si="402"/>
        <v>0</v>
      </c>
      <c r="AB193" s="24">
        <f t="shared" si="402"/>
        <v>0</v>
      </c>
      <c r="AC193" s="24">
        <f t="shared" si="402"/>
        <v>0</v>
      </c>
      <c r="AD193" s="24">
        <f t="shared" si="402"/>
        <v>0</v>
      </c>
      <c r="AE193" s="24">
        <f t="shared" si="402"/>
        <v>0</v>
      </c>
      <c r="AF193" s="24">
        <f t="shared" si="402"/>
        <v>0</v>
      </c>
      <c r="AG193" s="24">
        <f t="shared" si="402"/>
        <v>0</v>
      </c>
      <c r="AH193" s="24">
        <f t="shared" si="402"/>
        <v>0</v>
      </c>
      <c r="AI193" s="24">
        <f t="shared" si="402"/>
        <v>0</v>
      </c>
      <c r="AJ193" s="24">
        <f t="shared" si="402"/>
        <v>0</v>
      </c>
      <c r="AK193" s="24">
        <f t="shared" si="402"/>
        <v>0</v>
      </c>
      <c r="AL193" s="24">
        <f t="shared" si="402"/>
        <v>0</v>
      </c>
      <c r="AM193" s="24">
        <f t="shared" ref="AM193:CZ193" si="403">SUM(AM194)</f>
        <v>0</v>
      </c>
      <c r="AN193" s="24">
        <f t="shared" si="403"/>
        <v>0</v>
      </c>
      <c r="AO193" s="24">
        <f t="shared" si="403"/>
        <v>0</v>
      </c>
      <c r="AP193" s="24">
        <f t="shared" si="403"/>
        <v>0</v>
      </c>
      <c r="AQ193" s="24">
        <f t="shared" si="403"/>
        <v>0</v>
      </c>
      <c r="AR193" s="24"/>
      <c r="AS193" s="24">
        <f t="shared" si="403"/>
        <v>0</v>
      </c>
      <c r="AT193" s="24">
        <f t="shared" si="403"/>
        <v>0</v>
      </c>
      <c r="AU193" s="24">
        <f t="shared" si="403"/>
        <v>0</v>
      </c>
      <c r="AV193" s="24"/>
      <c r="AW193" s="24"/>
      <c r="AX193" s="24">
        <f t="shared" si="403"/>
        <v>0</v>
      </c>
      <c r="AY193" s="24">
        <f t="shared" si="403"/>
        <v>0</v>
      </c>
      <c r="AZ193" s="24">
        <f t="shared" si="403"/>
        <v>0</v>
      </c>
      <c r="BA193" s="24">
        <f t="shared" si="403"/>
        <v>0</v>
      </c>
      <c r="BB193" s="24"/>
      <c r="BC193" s="24">
        <f t="shared" si="403"/>
        <v>0</v>
      </c>
      <c r="BD193" s="24">
        <f t="shared" si="403"/>
        <v>100000</v>
      </c>
      <c r="BE193" s="24">
        <f t="shared" si="403"/>
        <v>0</v>
      </c>
      <c r="BF193" s="24">
        <f t="shared" si="403"/>
        <v>0</v>
      </c>
      <c r="BG193" s="24">
        <f t="shared" si="403"/>
        <v>0</v>
      </c>
      <c r="BH193" s="24">
        <f t="shared" si="403"/>
        <v>0</v>
      </c>
      <c r="BI193" s="24">
        <f t="shared" si="403"/>
        <v>0</v>
      </c>
      <c r="BJ193" s="24">
        <f t="shared" si="403"/>
        <v>0</v>
      </c>
      <c r="BK193" s="24">
        <f t="shared" si="403"/>
        <v>0</v>
      </c>
      <c r="BL193" s="24">
        <f t="shared" si="403"/>
        <v>0</v>
      </c>
      <c r="BM193" s="24">
        <f t="shared" si="403"/>
        <v>0</v>
      </c>
      <c r="BN193" s="24">
        <f t="shared" si="403"/>
        <v>0</v>
      </c>
      <c r="BO193" s="24">
        <f t="shared" si="403"/>
        <v>0</v>
      </c>
      <c r="BP193" s="24">
        <f t="shared" si="403"/>
        <v>0</v>
      </c>
      <c r="BQ193" s="24">
        <f t="shared" si="403"/>
        <v>0</v>
      </c>
      <c r="BR193" s="24">
        <f t="shared" si="403"/>
        <v>100000</v>
      </c>
      <c r="BS193" s="24">
        <f t="shared" si="403"/>
        <v>0</v>
      </c>
      <c r="BT193" s="24">
        <f t="shared" si="403"/>
        <v>0</v>
      </c>
      <c r="BU193" s="24">
        <f t="shared" si="403"/>
        <v>0</v>
      </c>
      <c r="BV193" s="24">
        <f t="shared" si="403"/>
        <v>0</v>
      </c>
      <c r="BW193" s="24">
        <f t="shared" si="403"/>
        <v>100000</v>
      </c>
      <c r="BX193" s="24">
        <f t="shared" si="403"/>
        <v>0</v>
      </c>
      <c r="BY193" s="24">
        <f t="shared" si="403"/>
        <v>0</v>
      </c>
      <c r="BZ193" s="24">
        <f t="shared" si="403"/>
        <v>0</v>
      </c>
      <c r="CA193" s="24">
        <f t="shared" si="403"/>
        <v>0</v>
      </c>
      <c r="CB193" s="24">
        <f t="shared" si="403"/>
        <v>0</v>
      </c>
      <c r="CC193" s="24">
        <f t="shared" si="403"/>
        <v>0</v>
      </c>
      <c r="CD193" s="24">
        <f t="shared" si="403"/>
        <v>0</v>
      </c>
      <c r="CE193" s="24">
        <f t="shared" si="403"/>
        <v>0</v>
      </c>
      <c r="CF193" s="24">
        <f t="shared" si="403"/>
        <v>0</v>
      </c>
      <c r="CG193" s="24">
        <f t="shared" si="403"/>
        <v>0</v>
      </c>
      <c r="CH193" s="24">
        <f t="shared" si="403"/>
        <v>0</v>
      </c>
      <c r="CI193" s="24">
        <f t="shared" si="403"/>
        <v>0</v>
      </c>
      <c r="CJ193" s="24">
        <f t="shared" si="403"/>
        <v>0</v>
      </c>
      <c r="CK193" s="24">
        <f t="shared" si="403"/>
        <v>0</v>
      </c>
      <c r="CL193" s="24">
        <f t="shared" si="403"/>
        <v>0</v>
      </c>
      <c r="CM193" s="24">
        <f t="shared" si="403"/>
        <v>0</v>
      </c>
      <c r="CN193" s="24">
        <f t="shared" si="403"/>
        <v>0</v>
      </c>
      <c r="CO193" s="24">
        <f t="shared" si="403"/>
        <v>0</v>
      </c>
      <c r="CP193" s="24">
        <f t="shared" si="403"/>
        <v>0</v>
      </c>
      <c r="CQ193" s="24">
        <f t="shared" si="403"/>
        <v>0</v>
      </c>
      <c r="CR193" s="24"/>
      <c r="CS193" s="24"/>
      <c r="CT193" s="24">
        <f t="shared" si="403"/>
        <v>0</v>
      </c>
      <c r="CU193" s="24">
        <f t="shared" si="403"/>
        <v>0</v>
      </c>
      <c r="CV193" s="24">
        <f t="shared" si="403"/>
        <v>0</v>
      </c>
      <c r="CW193" s="24">
        <f t="shared" si="403"/>
        <v>0</v>
      </c>
      <c r="CX193" s="24">
        <f t="shared" si="403"/>
        <v>0</v>
      </c>
      <c r="CY193" s="24">
        <f t="shared" si="403"/>
        <v>0</v>
      </c>
      <c r="CZ193" s="25">
        <f t="shared" si="403"/>
        <v>0</v>
      </c>
    </row>
    <row r="194" spans="1:104" ht="15.6" x14ac:dyDescent="0.3">
      <c r="A194" s="26"/>
      <c r="B194" s="27" t="s">
        <v>1</v>
      </c>
      <c r="C194" s="27" t="s">
        <v>105</v>
      </c>
      <c r="D194" s="28" t="s">
        <v>317</v>
      </c>
      <c r="E194" s="23">
        <f>SUM(F194+CD194+CW194)</f>
        <v>100000</v>
      </c>
      <c r="F194" s="24">
        <f>SUM(G194+BD194)</f>
        <v>100000</v>
      </c>
      <c r="G194" s="24">
        <f>SUM(H194+I194+J194+Q194+T194+U194+V194+AF194+AE194)</f>
        <v>0</v>
      </c>
      <c r="H194" s="24">
        <v>0</v>
      </c>
      <c r="I194" s="24">
        <v>0</v>
      </c>
      <c r="J194" s="24">
        <f t="shared" si="297"/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f t="shared" si="298"/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f t="shared" ref="V194" si="404">SUM(W194:AD194)</f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f>SUM(AG194:BC194)</f>
        <v>0</v>
      </c>
      <c r="AG194" s="24">
        <v>0</v>
      </c>
      <c r="AH194" s="24">
        <v>0</v>
      </c>
      <c r="AI194" s="24">
        <v>0</v>
      </c>
      <c r="AJ194" s="24">
        <v>0</v>
      </c>
      <c r="AK194" s="24">
        <v>0</v>
      </c>
      <c r="AL194" s="24">
        <v>0</v>
      </c>
      <c r="AM194" s="24">
        <v>0</v>
      </c>
      <c r="AN194" s="24">
        <v>0</v>
      </c>
      <c r="AO194" s="24">
        <v>0</v>
      </c>
      <c r="AP194" s="24">
        <v>0</v>
      </c>
      <c r="AQ194" s="24">
        <v>0</v>
      </c>
      <c r="AR194" s="24"/>
      <c r="AS194" s="24">
        <v>0</v>
      </c>
      <c r="AT194" s="24">
        <v>0</v>
      </c>
      <c r="AU194" s="24">
        <v>0</v>
      </c>
      <c r="AV194" s="24"/>
      <c r="AW194" s="24"/>
      <c r="AX194" s="24">
        <v>0</v>
      </c>
      <c r="AY194" s="24">
        <v>0</v>
      </c>
      <c r="AZ194" s="24">
        <v>0</v>
      </c>
      <c r="BA194" s="24">
        <v>0</v>
      </c>
      <c r="BB194" s="24"/>
      <c r="BC194" s="24">
        <v>0</v>
      </c>
      <c r="BD194" s="24">
        <f>SUM(BE194+BI194+BM194+BO194+BR194)</f>
        <v>100000</v>
      </c>
      <c r="BE194" s="24">
        <f>SUM(BF194:BH194)</f>
        <v>0</v>
      </c>
      <c r="BF194" s="24">
        <v>0</v>
      </c>
      <c r="BG194" s="24">
        <v>0</v>
      </c>
      <c r="BH194" s="24">
        <v>0</v>
      </c>
      <c r="BI194" s="24">
        <f>SUM(BL194:BL194)</f>
        <v>0</v>
      </c>
      <c r="BJ194" s="24">
        <v>0</v>
      </c>
      <c r="BK194" s="24">
        <v>0</v>
      </c>
      <c r="BL194" s="24">
        <v>0</v>
      </c>
      <c r="BM194" s="24">
        <v>0</v>
      </c>
      <c r="BN194" s="24">
        <v>0</v>
      </c>
      <c r="BO194" s="24">
        <f t="shared" si="300"/>
        <v>0</v>
      </c>
      <c r="BP194" s="24">
        <v>0</v>
      </c>
      <c r="BQ194" s="24">
        <v>0</v>
      </c>
      <c r="BR194" s="24">
        <f>SUM(BS194:CC194)</f>
        <v>100000</v>
      </c>
      <c r="BS194" s="24">
        <v>0</v>
      </c>
      <c r="BT194" s="24">
        <v>0</v>
      </c>
      <c r="BU194" s="24">
        <v>0</v>
      </c>
      <c r="BV194" s="24">
        <v>0</v>
      </c>
      <c r="BW194" s="24">
        <v>100000</v>
      </c>
      <c r="BX194" s="24">
        <v>0</v>
      </c>
      <c r="BY194" s="24">
        <v>0</v>
      </c>
      <c r="BZ194" s="24">
        <v>0</v>
      </c>
      <c r="CA194" s="24">
        <v>0</v>
      </c>
      <c r="CB194" s="24">
        <v>0</v>
      </c>
      <c r="CC194" s="24">
        <v>0</v>
      </c>
      <c r="CD194" s="24">
        <f>SUM(CE194+CV194)</f>
        <v>0</v>
      </c>
      <c r="CE194" s="24">
        <f>SUM(CF194+CI194+CN194)</f>
        <v>0</v>
      </c>
      <c r="CF194" s="24">
        <f t="shared" si="301"/>
        <v>0</v>
      </c>
      <c r="CG194" s="24">
        <v>0</v>
      </c>
      <c r="CH194" s="24">
        <v>0</v>
      </c>
      <c r="CI194" s="24">
        <f>SUM(CJ194:CM194)</f>
        <v>0</v>
      </c>
      <c r="CJ194" s="24">
        <v>0</v>
      </c>
      <c r="CK194" s="24">
        <v>0</v>
      </c>
      <c r="CL194" s="24">
        <v>0</v>
      </c>
      <c r="CM194" s="24">
        <v>0</v>
      </c>
      <c r="CN194" s="24">
        <f>SUM(CO194:CS194)</f>
        <v>0</v>
      </c>
      <c r="CO194" s="24">
        <v>0</v>
      </c>
      <c r="CP194" s="24">
        <v>0</v>
      </c>
      <c r="CQ194" s="24">
        <v>0</v>
      </c>
      <c r="CR194" s="24"/>
      <c r="CS194" s="24"/>
      <c r="CT194" s="24">
        <v>0</v>
      </c>
      <c r="CU194" s="24">
        <v>0</v>
      </c>
      <c r="CV194" s="24">
        <v>0</v>
      </c>
      <c r="CW194" s="24">
        <f t="shared" si="302"/>
        <v>0</v>
      </c>
      <c r="CX194" s="24">
        <f t="shared" si="303"/>
        <v>0</v>
      </c>
      <c r="CY194" s="24">
        <v>0</v>
      </c>
      <c r="CZ194" s="25">
        <v>0</v>
      </c>
    </row>
    <row r="195" spans="1:104" ht="31.2" x14ac:dyDescent="0.3">
      <c r="A195" s="20"/>
      <c r="B195" s="21" t="s">
        <v>318</v>
      </c>
      <c r="C195" s="21" t="s">
        <v>1</v>
      </c>
      <c r="D195" s="22" t="s">
        <v>319</v>
      </c>
      <c r="E195" s="23">
        <f t="shared" ref="E195:AL195" si="405">SUM(E196)</f>
        <v>4556520</v>
      </c>
      <c r="F195" s="24">
        <f t="shared" si="405"/>
        <v>4556520</v>
      </c>
      <c r="G195" s="24">
        <f t="shared" si="405"/>
        <v>0</v>
      </c>
      <c r="H195" s="24">
        <f t="shared" si="405"/>
        <v>0</v>
      </c>
      <c r="I195" s="24">
        <f t="shared" si="405"/>
        <v>0</v>
      </c>
      <c r="J195" s="24">
        <f t="shared" si="405"/>
        <v>0</v>
      </c>
      <c r="K195" s="24">
        <f t="shared" si="405"/>
        <v>0</v>
      </c>
      <c r="L195" s="24">
        <f t="shared" si="405"/>
        <v>0</v>
      </c>
      <c r="M195" s="24">
        <f t="shared" si="405"/>
        <v>0</v>
      </c>
      <c r="N195" s="24">
        <f t="shared" si="405"/>
        <v>0</v>
      </c>
      <c r="O195" s="24">
        <f t="shared" si="405"/>
        <v>0</v>
      </c>
      <c r="P195" s="24">
        <f t="shared" si="405"/>
        <v>0</v>
      </c>
      <c r="Q195" s="24">
        <f t="shared" si="405"/>
        <v>0</v>
      </c>
      <c r="R195" s="24">
        <f t="shared" si="405"/>
        <v>0</v>
      </c>
      <c r="S195" s="24">
        <f t="shared" si="405"/>
        <v>0</v>
      </c>
      <c r="T195" s="24">
        <f t="shared" si="405"/>
        <v>0</v>
      </c>
      <c r="U195" s="24">
        <f t="shared" si="405"/>
        <v>0</v>
      </c>
      <c r="V195" s="24">
        <f t="shared" si="405"/>
        <v>0</v>
      </c>
      <c r="W195" s="24">
        <f t="shared" si="405"/>
        <v>0</v>
      </c>
      <c r="X195" s="24">
        <f t="shared" si="405"/>
        <v>0</v>
      </c>
      <c r="Y195" s="24">
        <f t="shared" si="405"/>
        <v>0</v>
      </c>
      <c r="Z195" s="24">
        <f t="shared" si="405"/>
        <v>0</v>
      </c>
      <c r="AA195" s="24">
        <f t="shared" si="405"/>
        <v>0</v>
      </c>
      <c r="AB195" s="24">
        <f t="shared" si="405"/>
        <v>0</v>
      </c>
      <c r="AC195" s="24">
        <f t="shared" si="405"/>
        <v>0</v>
      </c>
      <c r="AD195" s="24">
        <f t="shared" si="405"/>
        <v>0</v>
      </c>
      <c r="AE195" s="24">
        <f t="shared" si="405"/>
        <v>0</v>
      </c>
      <c r="AF195" s="24">
        <f t="shared" si="405"/>
        <v>0</v>
      </c>
      <c r="AG195" s="24">
        <f t="shared" si="405"/>
        <v>0</v>
      </c>
      <c r="AH195" s="24">
        <f t="shared" si="405"/>
        <v>0</v>
      </c>
      <c r="AI195" s="24">
        <f t="shared" si="405"/>
        <v>0</v>
      </c>
      <c r="AJ195" s="24">
        <f t="shared" si="405"/>
        <v>0</v>
      </c>
      <c r="AK195" s="24">
        <f t="shared" si="405"/>
        <v>0</v>
      </c>
      <c r="AL195" s="24">
        <f t="shared" si="405"/>
        <v>0</v>
      </c>
      <c r="AM195" s="24">
        <f t="shared" ref="AM195:CZ195" si="406">SUM(AM196)</f>
        <v>0</v>
      </c>
      <c r="AN195" s="24">
        <f t="shared" si="406"/>
        <v>0</v>
      </c>
      <c r="AO195" s="24">
        <f t="shared" si="406"/>
        <v>0</v>
      </c>
      <c r="AP195" s="24">
        <f t="shared" si="406"/>
        <v>0</v>
      </c>
      <c r="AQ195" s="24">
        <f t="shared" si="406"/>
        <v>0</v>
      </c>
      <c r="AR195" s="24"/>
      <c r="AS195" s="24">
        <f t="shared" si="406"/>
        <v>0</v>
      </c>
      <c r="AT195" s="24">
        <f t="shared" si="406"/>
        <v>0</v>
      </c>
      <c r="AU195" s="24">
        <f t="shared" si="406"/>
        <v>0</v>
      </c>
      <c r="AV195" s="24"/>
      <c r="AW195" s="24"/>
      <c r="AX195" s="24">
        <f t="shared" si="406"/>
        <v>0</v>
      </c>
      <c r="AY195" s="24">
        <f t="shared" si="406"/>
        <v>0</v>
      </c>
      <c r="AZ195" s="24">
        <f t="shared" si="406"/>
        <v>0</v>
      </c>
      <c r="BA195" s="24">
        <f t="shared" si="406"/>
        <v>0</v>
      </c>
      <c r="BB195" s="24"/>
      <c r="BC195" s="24">
        <f t="shared" si="406"/>
        <v>0</v>
      </c>
      <c r="BD195" s="24">
        <f t="shared" si="406"/>
        <v>4556520</v>
      </c>
      <c r="BE195" s="24">
        <f t="shared" si="406"/>
        <v>0</v>
      </c>
      <c r="BF195" s="24">
        <f t="shared" si="406"/>
        <v>0</v>
      </c>
      <c r="BG195" s="24">
        <f t="shared" si="406"/>
        <v>0</v>
      </c>
      <c r="BH195" s="24">
        <f t="shared" si="406"/>
        <v>0</v>
      </c>
      <c r="BI195" s="24">
        <f t="shared" si="406"/>
        <v>0</v>
      </c>
      <c r="BJ195" s="24">
        <f t="shared" si="406"/>
        <v>0</v>
      </c>
      <c r="BK195" s="24">
        <f t="shared" si="406"/>
        <v>0</v>
      </c>
      <c r="BL195" s="24">
        <f t="shared" si="406"/>
        <v>0</v>
      </c>
      <c r="BM195" s="24">
        <f t="shared" si="406"/>
        <v>0</v>
      </c>
      <c r="BN195" s="24">
        <f t="shared" si="406"/>
        <v>0</v>
      </c>
      <c r="BO195" s="24">
        <f t="shared" si="406"/>
        <v>0</v>
      </c>
      <c r="BP195" s="24">
        <f t="shared" si="406"/>
        <v>0</v>
      </c>
      <c r="BQ195" s="24">
        <f t="shared" si="406"/>
        <v>0</v>
      </c>
      <c r="BR195" s="24">
        <f t="shared" si="406"/>
        <v>4556520</v>
      </c>
      <c r="BS195" s="24">
        <f t="shared" si="406"/>
        <v>0</v>
      </c>
      <c r="BT195" s="24">
        <f t="shared" si="406"/>
        <v>4556520</v>
      </c>
      <c r="BU195" s="24">
        <f t="shared" si="406"/>
        <v>0</v>
      </c>
      <c r="BV195" s="24">
        <f t="shared" si="406"/>
        <v>0</v>
      </c>
      <c r="BW195" s="24">
        <f t="shared" si="406"/>
        <v>0</v>
      </c>
      <c r="BX195" s="24">
        <f t="shared" si="406"/>
        <v>0</v>
      </c>
      <c r="BY195" s="24">
        <f t="shared" si="406"/>
        <v>0</v>
      </c>
      <c r="BZ195" s="24">
        <f t="shared" si="406"/>
        <v>0</v>
      </c>
      <c r="CA195" s="24">
        <f t="shared" si="406"/>
        <v>0</v>
      </c>
      <c r="CB195" s="24">
        <f t="shared" si="406"/>
        <v>0</v>
      </c>
      <c r="CC195" s="24">
        <f t="shared" si="406"/>
        <v>0</v>
      </c>
      <c r="CD195" s="24">
        <f t="shared" si="406"/>
        <v>0</v>
      </c>
      <c r="CE195" s="24">
        <f t="shared" si="406"/>
        <v>0</v>
      </c>
      <c r="CF195" s="24">
        <f t="shared" si="406"/>
        <v>0</v>
      </c>
      <c r="CG195" s="24">
        <f t="shared" si="406"/>
        <v>0</v>
      </c>
      <c r="CH195" s="24">
        <f t="shared" si="406"/>
        <v>0</v>
      </c>
      <c r="CI195" s="24">
        <f t="shared" si="406"/>
        <v>0</v>
      </c>
      <c r="CJ195" s="24">
        <f t="shared" si="406"/>
        <v>0</v>
      </c>
      <c r="CK195" s="24">
        <f t="shared" si="406"/>
        <v>0</v>
      </c>
      <c r="CL195" s="24">
        <f t="shared" si="406"/>
        <v>0</v>
      </c>
      <c r="CM195" s="24">
        <f t="shared" si="406"/>
        <v>0</v>
      </c>
      <c r="CN195" s="24">
        <f t="shared" si="406"/>
        <v>0</v>
      </c>
      <c r="CO195" s="24">
        <f t="shared" si="406"/>
        <v>0</v>
      </c>
      <c r="CP195" s="24">
        <f t="shared" si="406"/>
        <v>0</v>
      </c>
      <c r="CQ195" s="24">
        <f t="shared" si="406"/>
        <v>0</v>
      </c>
      <c r="CR195" s="24"/>
      <c r="CS195" s="24"/>
      <c r="CT195" s="24">
        <f t="shared" si="406"/>
        <v>0</v>
      </c>
      <c r="CU195" s="24">
        <f t="shared" si="406"/>
        <v>0</v>
      </c>
      <c r="CV195" s="24">
        <f t="shared" si="406"/>
        <v>0</v>
      </c>
      <c r="CW195" s="24">
        <f t="shared" si="406"/>
        <v>0</v>
      </c>
      <c r="CX195" s="24">
        <f t="shared" si="406"/>
        <v>0</v>
      </c>
      <c r="CY195" s="24">
        <f t="shared" si="406"/>
        <v>0</v>
      </c>
      <c r="CZ195" s="25">
        <f t="shared" si="406"/>
        <v>0</v>
      </c>
    </row>
    <row r="196" spans="1:104" ht="15.6" x14ac:dyDescent="0.3">
      <c r="A196" s="26"/>
      <c r="B196" s="27" t="s">
        <v>1</v>
      </c>
      <c r="C196" s="27" t="s">
        <v>84</v>
      </c>
      <c r="D196" s="28" t="s">
        <v>320</v>
      </c>
      <c r="E196" s="23">
        <f>SUM(F196+CD196+CW196)</f>
        <v>4556520</v>
      </c>
      <c r="F196" s="24">
        <f>SUM(G196+BD196)</f>
        <v>4556520</v>
      </c>
      <c r="G196" s="24">
        <f>SUM(H196+I196+J196+Q196+T196+U196+V196+AF196+AE196)</f>
        <v>0</v>
      </c>
      <c r="H196" s="24">
        <v>0</v>
      </c>
      <c r="I196" s="24">
        <v>0</v>
      </c>
      <c r="J196" s="24">
        <f t="shared" si="297"/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f t="shared" si="298"/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f t="shared" ref="V196" si="407">SUM(W196:AD196)</f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f>SUM(AG196:BC196)</f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4"/>
      <c r="AS196" s="24">
        <v>0</v>
      </c>
      <c r="AT196" s="24">
        <v>0</v>
      </c>
      <c r="AU196" s="24">
        <v>0</v>
      </c>
      <c r="AV196" s="24"/>
      <c r="AW196" s="24"/>
      <c r="AX196" s="24">
        <v>0</v>
      </c>
      <c r="AY196" s="24">
        <v>0</v>
      </c>
      <c r="AZ196" s="24">
        <v>0</v>
      </c>
      <c r="BA196" s="24">
        <v>0</v>
      </c>
      <c r="BB196" s="24"/>
      <c r="BC196" s="24">
        <v>0</v>
      </c>
      <c r="BD196" s="24">
        <f>SUM(BE196+BI196+BM196+BO196+BR196)</f>
        <v>4556520</v>
      </c>
      <c r="BE196" s="24">
        <f>SUM(BF196:BH196)</f>
        <v>0</v>
      </c>
      <c r="BF196" s="24">
        <v>0</v>
      </c>
      <c r="BG196" s="24">
        <v>0</v>
      </c>
      <c r="BH196" s="24">
        <v>0</v>
      </c>
      <c r="BI196" s="24">
        <f>SUM(BL196:BL196)</f>
        <v>0</v>
      </c>
      <c r="BJ196" s="24">
        <v>0</v>
      </c>
      <c r="BK196" s="24">
        <v>0</v>
      </c>
      <c r="BL196" s="24">
        <v>0</v>
      </c>
      <c r="BM196" s="24">
        <v>0</v>
      </c>
      <c r="BN196" s="24">
        <v>0</v>
      </c>
      <c r="BO196" s="24">
        <f t="shared" si="300"/>
        <v>0</v>
      </c>
      <c r="BP196" s="24">
        <v>0</v>
      </c>
      <c r="BQ196" s="24">
        <v>0</v>
      </c>
      <c r="BR196" s="24">
        <f>SUM(BS196:CC196)</f>
        <v>4556520</v>
      </c>
      <c r="BS196" s="24">
        <v>0</v>
      </c>
      <c r="BT196" s="29">
        <v>4556520</v>
      </c>
      <c r="BU196" s="24">
        <v>0</v>
      </c>
      <c r="BV196" s="24">
        <v>0</v>
      </c>
      <c r="BW196" s="24">
        <v>0</v>
      </c>
      <c r="BX196" s="24">
        <v>0</v>
      </c>
      <c r="BY196" s="24">
        <v>0</v>
      </c>
      <c r="BZ196" s="24">
        <v>0</v>
      </c>
      <c r="CA196" s="24">
        <v>0</v>
      </c>
      <c r="CB196" s="24">
        <v>0</v>
      </c>
      <c r="CC196" s="24">
        <v>0</v>
      </c>
      <c r="CD196" s="24">
        <f>SUM(CE196+CV196)</f>
        <v>0</v>
      </c>
      <c r="CE196" s="24">
        <f>SUM(CF196+CI196+CN196)</f>
        <v>0</v>
      </c>
      <c r="CF196" s="24">
        <f t="shared" si="301"/>
        <v>0</v>
      </c>
      <c r="CG196" s="24">
        <v>0</v>
      </c>
      <c r="CH196" s="24">
        <v>0</v>
      </c>
      <c r="CI196" s="24">
        <f>SUM(CJ196:CM196)</f>
        <v>0</v>
      </c>
      <c r="CJ196" s="24">
        <v>0</v>
      </c>
      <c r="CK196" s="24">
        <v>0</v>
      </c>
      <c r="CL196" s="24">
        <v>0</v>
      </c>
      <c r="CM196" s="24">
        <v>0</v>
      </c>
      <c r="CN196" s="24">
        <f>SUM(CO196:CS196)</f>
        <v>0</v>
      </c>
      <c r="CO196" s="24">
        <v>0</v>
      </c>
      <c r="CP196" s="24">
        <v>0</v>
      </c>
      <c r="CQ196" s="24">
        <v>0</v>
      </c>
      <c r="CR196" s="24"/>
      <c r="CS196" s="24"/>
      <c r="CT196" s="24">
        <v>0</v>
      </c>
      <c r="CU196" s="24">
        <v>0</v>
      </c>
      <c r="CV196" s="24">
        <v>0</v>
      </c>
      <c r="CW196" s="24">
        <f t="shared" si="302"/>
        <v>0</v>
      </c>
      <c r="CX196" s="24">
        <f t="shared" si="303"/>
        <v>0</v>
      </c>
      <c r="CY196" s="24">
        <v>0</v>
      </c>
      <c r="CZ196" s="25">
        <v>0</v>
      </c>
    </row>
    <row r="197" spans="1:104" ht="31.2" x14ac:dyDescent="0.3">
      <c r="A197" s="20"/>
      <c r="B197" s="21" t="s">
        <v>321</v>
      </c>
      <c r="C197" s="21" t="s">
        <v>1</v>
      </c>
      <c r="D197" s="22" t="s">
        <v>322</v>
      </c>
      <c r="E197" s="23">
        <f t="shared" ref="E197:AU197" si="408">SUM(E198:E204)</f>
        <v>154222598</v>
      </c>
      <c r="F197" s="24">
        <f t="shared" si="408"/>
        <v>154180276</v>
      </c>
      <c r="G197" s="24">
        <f t="shared" si="408"/>
        <v>15297389</v>
      </c>
      <c r="H197" s="24">
        <f t="shared" si="408"/>
        <v>1642500</v>
      </c>
      <c r="I197" s="24">
        <f t="shared" si="408"/>
        <v>195713</v>
      </c>
      <c r="J197" s="24">
        <f t="shared" si="408"/>
        <v>2478026</v>
      </c>
      <c r="K197" s="24">
        <f t="shared" si="408"/>
        <v>0</v>
      </c>
      <c r="L197" s="24">
        <f t="shared" si="408"/>
        <v>0</v>
      </c>
      <c r="M197" s="24">
        <f t="shared" si="408"/>
        <v>0</v>
      </c>
      <c r="N197" s="24">
        <f t="shared" si="408"/>
        <v>0</v>
      </c>
      <c r="O197" s="24">
        <f t="shared" si="408"/>
        <v>316146</v>
      </c>
      <c r="P197" s="24">
        <f t="shared" si="408"/>
        <v>2161880</v>
      </c>
      <c r="Q197" s="24">
        <f t="shared" si="408"/>
        <v>0</v>
      </c>
      <c r="R197" s="24">
        <f t="shared" si="408"/>
        <v>0</v>
      </c>
      <c r="S197" s="24">
        <f t="shared" si="408"/>
        <v>0</v>
      </c>
      <c r="T197" s="24">
        <f t="shared" si="408"/>
        <v>0</v>
      </c>
      <c r="U197" s="24">
        <f t="shared" si="408"/>
        <v>62473</v>
      </c>
      <c r="V197" s="24">
        <f t="shared" si="408"/>
        <v>0</v>
      </c>
      <c r="W197" s="24">
        <f t="shared" si="408"/>
        <v>0</v>
      </c>
      <c r="X197" s="24">
        <f t="shared" si="408"/>
        <v>0</v>
      </c>
      <c r="Y197" s="24">
        <f t="shared" si="408"/>
        <v>0</v>
      </c>
      <c r="Z197" s="24">
        <f t="shared" si="408"/>
        <v>0</v>
      </c>
      <c r="AA197" s="24">
        <f t="shared" si="408"/>
        <v>0</v>
      </c>
      <c r="AB197" s="24">
        <f t="shared" si="408"/>
        <v>0</v>
      </c>
      <c r="AC197" s="24">
        <f t="shared" si="408"/>
        <v>0</v>
      </c>
      <c r="AD197" s="24">
        <f t="shared" si="408"/>
        <v>0</v>
      </c>
      <c r="AE197" s="24">
        <f t="shared" si="408"/>
        <v>0</v>
      </c>
      <c r="AF197" s="24">
        <f t="shared" si="408"/>
        <v>10918677</v>
      </c>
      <c r="AG197" s="24">
        <f t="shared" si="408"/>
        <v>0</v>
      </c>
      <c r="AH197" s="24">
        <f t="shared" si="408"/>
        <v>0</v>
      </c>
      <c r="AI197" s="24">
        <f t="shared" si="408"/>
        <v>0</v>
      </c>
      <c r="AJ197" s="24">
        <f t="shared" si="408"/>
        <v>0</v>
      </c>
      <c r="AK197" s="24">
        <f t="shared" si="408"/>
        <v>0</v>
      </c>
      <c r="AL197" s="24">
        <f t="shared" si="408"/>
        <v>0</v>
      </c>
      <c r="AM197" s="24">
        <f t="shared" si="408"/>
        <v>0</v>
      </c>
      <c r="AN197" s="24">
        <f t="shared" si="408"/>
        <v>0</v>
      </c>
      <c r="AO197" s="24">
        <f t="shared" si="408"/>
        <v>0</v>
      </c>
      <c r="AP197" s="24">
        <f t="shared" si="408"/>
        <v>0</v>
      </c>
      <c r="AQ197" s="24">
        <f t="shared" si="408"/>
        <v>0</v>
      </c>
      <c r="AR197" s="24"/>
      <c r="AS197" s="24">
        <f t="shared" si="408"/>
        <v>0</v>
      </c>
      <c r="AT197" s="24">
        <f t="shared" si="408"/>
        <v>0</v>
      </c>
      <c r="AU197" s="24">
        <f t="shared" si="408"/>
        <v>0</v>
      </c>
      <c r="AV197" s="24"/>
      <c r="AW197" s="24"/>
      <c r="AX197" s="24">
        <f>SUM(AX198:AX204)</f>
        <v>10224770</v>
      </c>
      <c r="AY197" s="24">
        <f>SUM(AY198:AY204)</f>
        <v>22367</v>
      </c>
      <c r="AZ197" s="24">
        <f>SUM(AZ198:AZ204)</f>
        <v>0</v>
      </c>
      <c r="BA197" s="24">
        <f>SUM(BA198:BA204)</f>
        <v>0</v>
      </c>
      <c r="BB197" s="24"/>
      <c r="BC197" s="24">
        <f t="shared" ref="BC197:CQ197" si="409">SUM(BC198:BC204)</f>
        <v>671540</v>
      </c>
      <c r="BD197" s="24">
        <f t="shared" si="409"/>
        <v>138882887</v>
      </c>
      <c r="BE197" s="24">
        <f t="shared" si="409"/>
        <v>0</v>
      </c>
      <c r="BF197" s="24">
        <f t="shared" si="409"/>
        <v>0</v>
      </c>
      <c r="BG197" s="24">
        <f t="shared" si="409"/>
        <v>0</v>
      </c>
      <c r="BH197" s="24">
        <f t="shared" si="409"/>
        <v>0</v>
      </c>
      <c r="BI197" s="24">
        <f t="shared" si="409"/>
        <v>0</v>
      </c>
      <c r="BJ197" s="24">
        <f t="shared" si="409"/>
        <v>0</v>
      </c>
      <c r="BK197" s="24">
        <f t="shared" ref="BK197" si="410">SUM(BK198:BK204)</f>
        <v>0</v>
      </c>
      <c r="BL197" s="24">
        <f t="shared" si="409"/>
        <v>0</v>
      </c>
      <c r="BM197" s="24">
        <f t="shared" si="409"/>
        <v>0</v>
      </c>
      <c r="BN197" s="24">
        <f t="shared" si="409"/>
        <v>0</v>
      </c>
      <c r="BO197" s="24">
        <f t="shared" si="409"/>
        <v>0</v>
      </c>
      <c r="BP197" s="24">
        <f t="shared" si="409"/>
        <v>0</v>
      </c>
      <c r="BQ197" s="24">
        <f t="shared" si="409"/>
        <v>0</v>
      </c>
      <c r="BR197" s="24">
        <f t="shared" si="409"/>
        <v>138882887</v>
      </c>
      <c r="BS197" s="24">
        <f t="shared" si="409"/>
        <v>0</v>
      </c>
      <c r="BT197" s="24">
        <f t="shared" si="409"/>
        <v>0</v>
      </c>
      <c r="BU197" s="24">
        <f t="shared" si="409"/>
        <v>0</v>
      </c>
      <c r="BV197" s="24">
        <f t="shared" si="409"/>
        <v>0</v>
      </c>
      <c r="BW197" s="24">
        <f t="shared" si="409"/>
        <v>0</v>
      </c>
      <c r="BX197" s="24">
        <f t="shared" si="409"/>
        <v>0</v>
      </c>
      <c r="BY197" s="24">
        <f t="shared" si="409"/>
        <v>0</v>
      </c>
      <c r="BZ197" s="24">
        <f t="shared" si="409"/>
        <v>1673500</v>
      </c>
      <c r="CA197" s="24">
        <f t="shared" si="409"/>
        <v>321180</v>
      </c>
      <c r="CB197" s="24">
        <f t="shared" si="409"/>
        <v>75827428</v>
      </c>
      <c r="CC197" s="24">
        <f t="shared" si="409"/>
        <v>61060779</v>
      </c>
      <c r="CD197" s="24">
        <f t="shared" si="409"/>
        <v>42322</v>
      </c>
      <c r="CE197" s="24">
        <f t="shared" si="409"/>
        <v>42322</v>
      </c>
      <c r="CF197" s="24">
        <f t="shared" si="409"/>
        <v>42322</v>
      </c>
      <c r="CG197" s="24">
        <f t="shared" si="409"/>
        <v>0</v>
      </c>
      <c r="CH197" s="24">
        <f t="shared" si="409"/>
        <v>42322</v>
      </c>
      <c r="CI197" s="24">
        <f t="shared" si="409"/>
        <v>0</v>
      </c>
      <c r="CJ197" s="24">
        <f t="shared" si="409"/>
        <v>0</v>
      </c>
      <c r="CK197" s="24">
        <f t="shared" si="409"/>
        <v>0</v>
      </c>
      <c r="CL197" s="24">
        <f t="shared" si="409"/>
        <v>0</v>
      </c>
      <c r="CM197" s="24">
        <f t="shared" si="409"/>
        <v>0</v>
      </c>
      <c r="CN197" s="24">
        <f t="shared" si="409"/>
        <v>0</v>
      </c>
      <c r="CO197" s="24">
        <f t="shared" si="409"/>
        <v>0</v>
      </c>
      <c r="CP197" s="24">
        <f t="shared" si="409"/>
        <v>0</v>
      </c>
      <c r="CQ197" s="24">
        <f t="shared" si="409"/>
        <v>0</v>
      </c>
      <c r="CR197" s="24"/>
      <c r="CS197" s="24"/>
      <c r="CT197" s="24">
        <f t="shared" ref="CT197:CZ197" si="411">SUM(CT198:CT204)</f>
        <v>0</v>
      </c>
      <c r="CU197" s="24">
        <f t="shared" si="411"/>
        <v>0</v>
      </c>
      <c r="CV197" s="24">
        <f t="shared" si="411"/>
        <v>0</v>
      </c>
      <c r="CW197" s="24">
        <f t="shared" si="411"/>
        <v>0</v>
      </c>
      <c r="CX197" s="24">
        <f t="shared" si="411"/>
        <v>0</v>
      </c>
      <c r="CY197" s="24">
        <f t="shared" si="411"/>
        <v>0</v>
      </c>
      <c r="CZ197" s="25">
        <f t="shared" si="411"/>
        <v>0</v>
      </c>
    </row>
    <row r="198" spans="1:104" ht="31.2" x14ac:dyDescent="0.3">
      <c r="A198" s="26" t="s">
        <v>1</v>
      </c>
      <c r="B198" s="27" t="s">
        <v>1</v>
      </c>
      <c r="C198" s="27" t="s">
        <v>75</v>
      </c>
      <c r="D198" s="28" t="s">
        <v>323</v>
      </c>
      <c r="E198" s="23">
        <f t="shared" ref="E198:E204" si="412">SUM(F198+CD198+CW198)</f>
        <v>1147194</v>
      </c>
      <c r="F198" s="24">
        <f t="shared" ref="F198:F204" si="413">SUM(G198+BD198)</f>
        <v>1147194</v>
      </c>
      <c r="G198" s="24">
        <f t="shared" ref="G198:G204" si="414">SUM(H198+I198+J198+Q198+T198+U198+V198+AF198+AE198)</f>
        <v>774783</v>
      </c>
      <c r="H198" s="29">
        <v>532230</v>
      </c>
      <c r="I198" s="29">
        <v>129208</v>
      </c>
      <c r="J198" s="24">
        <f t="shared" si="297"/>
        <v>113345</v>
      </c>
      <c r="K198" s="29">
        <v>0</v>
      </c>
      <c r="L198" s="29">
        <v>0</v>
      </c>
      <c r="M198" s="29">
        <v>0</v>
      </c>
      <c r="N198" s="29">
        <v>0</v>
      </c>
      <c r="O198" s="29">
        <v>113345</v>
      </c>
      <c r="P198" s="29">
        <v>0</v>
      </c>
      <c r="Q198" s="24">
        <f t="shared" si="298"/>
        <v>0</v>
      </c>
      <c r="R198" s="29">
        <v>0</v>
      </c>
      <c r="S198" s="29">
        <v>0</v>
      </c>
      <c r="T198" s="29">
        <v>0</v>
      </c>
      <c r="U198" s="29">
        <v>0</v>
      </c>
      <c r="V198" s="24">
        <f t="shared" ref="V198:V204" si="415">SUM(W198:AD198)</f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f t="shared" ref="AF198:AF204" si="416">SUM(AG198:BC198)</f>
        <v>0</v>
      </c>
      <c r="AG198" s="24">
        <v>0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0</v>
      </c>
      <c r="AQ198" s="24">
        <v>0</v>
      </c>
      <c r="AR198" s="24"/>
      <c r="AS198" s="24">
        <v>0</v>
      </c>
      <c r="AT198" s="24">
        <v>0</v>
      </c>
      <c r="AU198" s="24">
        <v>0</v>
      </c>
      <c r="AV198" s="24"/>
      <c r="AW198" s="24"/>
      <c r="AX198" s="24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4">
        <f t="shared" ref="BD198:BD204" si="417">SUM(BE198+BI198+BM198+BO198+BR198)</f>
        <v>372411</v>
      </c>
      <c r="BE198" s="24">
        <f t="shared" ref="BE198:BE204" si="418">SUM(BF198:BH198)</f>
        <v>0</v>
      </c>
      <c r="BF198" s="24">
        <v>0</v>
      </c>
      <c r="BG198" s="24">
        <v>0</v>
      </c>
      <c r="BH198" s="24">
        <v>0</v>
      </c>
      <c r="BI198" s="24">
        <f t="shared" ref="BI198:BI204" si="419">SUM(BL198:BL198)</f>
        <v>0</v>
      </c>
      <c r="BJ198" s="24">
        <v>0</v>
      </c>
      <c r="BK198" s="24">
        <v>0</v>
      </c>
      <c r="BL198" s="24">
        <v>0</v>
      </c>
      <c r="BM198" s="24">
        <v>0</v>
      </c>
      <c r="BN198" s="24">
        <v>0</v>
      </c>
      <c r="BO198" s="24">
        <f t="shared" si="300"/>
        <v>0</v>
      </c>
      <c r="BP198" s="24">
        <v>0</v>
      </c>
      <c r="BQ198" s="24">
        <v>0</v>
      </c>
      <c r="BR198" s="24">
        <f t="shared" ref="BR198:BR204" si="420">SUM(BS198:CC198)</f>
        <v>372411</v>
      </c>
      <c r="BS198" s="24">
        <v>0</v>
      </c>
      <c r="BT198" s="24">
        <v>0</v>
      </c>
      <c r="BU198" s="24">
        <v>0</v>
      </c>
      <c r="BV198" s="24">
        <v>0</v>
      </c>
      <c r="BW198" s="24">
        <v>0</v>
      </c>
      <c r="BX198" s="24">
        <v>0</v>
      </c>
      <c r="BY198" s="24">
        <v>0</v>
      </c>
      <c r="BZ198" s="24">
        <v>0</v>
      </c>
      <c r="CA198" s="29">
        <v>0</v>
      </c>
      <c r="CB198" s="29">
        <v>372411</v>
      </c>
      <c r="CC198" s="29">
        <v>0</v>
      </c>
      <c r="CD198" s="24">
        <f t="shared" ref="CD198:CD204" si="421">SUM(CE198+CV198)</f>
        <v>0</v>
      </c>
      <c r="CE198" s="24">
        <f t="shared" ref="CE198:CE204" si="422">SUM(CF198+CI198+CN198)</f>
        <v>0</v>
      </c>
      <c r="CF198" s="24">
        <f t="shared" si="301"/>
        <v>0</v>
      </c>
      <c r="CG198" s="24">
        <v>0</v>
      </c>
      <c r="CH198" s="24">
        <v>0</v>
      </c>
      <c r="CI198" s="24">
        <f t="shared" ref="CI198:CI204" si="423">SUM(CJ198:CM198)</f>
        <v>0</v>
      </c>
      <c r="CJ198" s="24">
        <v>0</v>
      </c>
      <c r="CK198" s="24">
        <v>0</v>
      </c>
      <c r="CL198" s="24">
        <v>0</v>
      </c>
      <c r="CM198" s="24">
        <v>0</v>
      </c>
      <c r="CN198" s="24">
        <f t="shared" ref="CN198:CN204" si="424">SUM(CO198:CS198)</f>
        <v>0</v>
      </c>
      <c r="CO198" s="24">
        <v>0</v>
      </c>
      <c r="CP198" s="24">
        <v>0</v>
      </c>
      <c r="CQ198" s="24">
        <v>0</v>
      </c>
      <c r="CR198" s="24"/>
      <c r="CS198" s="24"/>
      <c r="CT198" s="24">
        <v>0</v>
      </c>
      <c r="CU198" s="24">
        <v>0</v>
      </c>
      <c r="CV198" s="24">
        <v>0</v>
      </c>
      <c r="CW198" s="24">
        <f t="shared" si="302"/>
        <v>0</v>
      </c>
      <c r="CX198" s="24">
        <f t="shared" si="303"/>
        <v>0</v>
      </c>
      <c r="CY198" s="24">
        <v>0</v>
      </c>
      <c r="CZ198" s="25">
        <v>0</v>
      </c>
    </row>
    <row r="199" spans="1:104" ht="31.2" x14ac:dyDescent="0.3">
      <c r="A199" s="26" t="s">
        <v>1</v>
      </c>
      <c r="B199" s="27" t="s">
        <v>1</v>
      </c>
      <c r="C199" s="27" t="s">
        <v>71</v>
      </c>
      <c r="D199" s="28" t="s">
        <v>324</v>
      </c>
      <c r="E199" s="23">
        <f t="shared" si="412"/>
        <v>1638686</v>
      </c>
      <c r="F199" s="24">
        <f t="shared" si="413"/>
        <v>1596364</v>
      </c>
      <c r="G199" s="24">
        <f t="shared" si="414"/>
        <v>852802</v>
      </c>
      <c r="H199" s="29">
        <v>521023</v>
      </c>
      <c r="I199" s="29">
        <v>66505</v>
      </c>
      <c r="J199" s="24">
        <f t="shared" si="297"/>
        <v>202801</v>
      </c>
      <c r="K199" s="29">
        <v>0</v>
      </c>
      <c r="L199" s="29">
        <v>0</v>
      </c>
      <c r="M199" s="29">
        <v>0</v>
      </c>
      <c r="N199" s="29">
        <v>0</v>
      </c>
      <c r="O199" s="29">
        <v>202801</v>
      </c>
      <c r="P199" s="29">
        <v>0</v>
      </c>
      <c r="Q199" s="24">
        <f t="shared" si="298"/>
        <v>0</v>
      </c>
      <c r="R199" s="29">
        <v>0</v>
      </c>
      <c r="S199" s="29">
        <v>0</v>
      </c>
      <c r="T199" s="29">
        <v>0</v>
      </c>
      <c r="U199" s="29">
        <v>62473</v>
      </c>
      <c r="V199" s="24">
        <f t="shared" si="415"/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f t="shared" si="416"/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0</v>
      </c>
      <c r="AN199" s="24">
        <v>0</v>
      </c>
      <c r="AO199" s="24">
        <v>0</v>
      </c>
      <c r="AP199" s="24">
        <v>0</v>
      </c>
      <c r="AQ199" s="24">
        <v>0</v>
      </c>
      <c r="AR199" s="24"/>
      <c r="AS199" s="24">
        <v>0</v>
      </c>
      <c r="AT199" s="24">
        <v>0</v>
      </c>
      <c r="AU199" s="24">
        <v>0</v>
      </c>
      <c r="AV199" s="24"/>
      <c r="AW199" s="24"/>
      <c r="AX199" s="24">
        <v>0</v>
      </c>
      <c r="AY199" s="29">
        <v>0</v>
      </c>
      <c r="AZ199" s="29">
        <v>0</v>
      </c>
      <c r="BA199" s="29">
        <v>0</v>
      </c>
      <c r="BB199" s="29">
        <v>0</v>
      </c>
      <c r="BC199" s="29">
        <v>0</v>
      </c>
      <c r="BD199" s="24">
        <f t="shared" si="417"/>
        <v>743562</v>
      </c>
      <c r="BE199" s="24">
        <f t="shared" si="418"/>
        <v>0</v>
      </c>
      <c r="BF199" s="24">
        <v>0</v>
      </c>
      <c r="BG199" s="24">
        <v>0</v>
      </c>
      <c r="BH199" s="24">
        <v>0</v>
      </c>
      <c r="BI199" s="24">
        <f t="shared" si="419"/>
        <v>0</v>
      </c>
      <c r="BJ199" s="24">
        <v>0</v>
      </c>
      <c r="BK199" s="24">
        <v>0</v>
      </c>
      <c r="BL199" s="24">
        <v>0</v>
      </c>
      <c r="BM199" s="24">
        <v>0</v>
      </c>
      <c r="BN199" s="24">
        <v>0</v>
      </c>
      <c r="BO199" s="24">
        <f t="shared" si="300"/>
        <v>0</v>
      </c>
      <c r="BP199" s="24">
        <v>0</v>
      </c>
      <c r="BQ199" s="24">
        <v>0</v>
      </c>
      <c r="BR199" s="24">
        <f t="shared" si="420"/>
        <v>743562</v>
      </c>
      <c r="BS199" s="24">
        <v>0</v>
      </c>
      <c r="BT199" s="24">
        <v>0</v>
      </c>
      <c r="BU199" s="24">
        <v>0</v>
      </c>
      <c r="BV199" s="24">
        <v>0</v>
      </c>
      <c r="BW199" s="24">
        <v>0</v>
      </c>
      <c r="BX199" s="24">
        <v>0</v>
      </c>
      <c r="BY199" s="24">
        <v>0</v>
      </c>
      <c r="BZ199" s="24">
        <v>0</v>
      </c>
      <c r="CA199" s="29">
        <v>0</v>
      </c>
      <c r="CB199" s="29">
        <v>743562</v>
      </c>
      <c r="CC199" s="29">
        <v>0</v>
      </c>
      <c r="CD199" s="24">
        <f t="shared" si="421"/>
        <v>42322</v>
      </c>
      <c r="CE199" s="24">
        <f t="shared" si="422"/>
        <v>42322</v>
      </c>
      <c r="CF199" s="24">
        <f t="shared" si="301"/>
        <v>42322</v>
      </c>
      <c r="CG199" s="24">
        <v>0</v>
      </c>
      <c r="CH199" s="29">
        <v>42322</v>
      </c>
      <c r="CI199" s="24">
        <f t="shared" si="423"/>
        <v>0</v>
      </c>
      <c r="CJ199" s="24">
        <v>0</v>
      </c>
      <c r="CK199" s="24">
        <v>0</v>
      </c>
      <c r="CL199" s="24">
        <v>0</v>
      </c>
      <c r="CM199" s="24">
        <v>0</v>
      </c>
      <c r="CN199" s="24">
        <f t="shared" si="424"/>
        <v>0</v>
      </c>
      <c r="CO199" s="24">
        <v>0</v>
      </c>
      <c r="CP199" s="24">
        <v>0</v>
      </c>
      <c r="CQ199" s="24">
        <v>0</v>
      </c>
      <c r="CR199" s="24"/>
      <c r="CS199" s="24"/>
      <c r="CT199" s="24">
        <v>0</v>
      </c>
      <c r="CU199" s="24">
        <v>0</v>
      </c>
      <c r="CV199" s="24">
        <v>0</v>
      </c>
      <c r="CW199" s="24">
        <f t="shared" si="302"/>
        <v>0</v>
      </c>
      <c r="CX199" s="24">
        <f t="shared" si="303"/>
        <v>0</v>
      </c>
      <c r="CY199" s="24">
        <v>0</v>
      </c>
      <c r="CZ199" s="25">
        <v>0</v>
      </c>
    </row>
    <row r="200" spans="1:104" ht="31.2" x14ac:dyDescent="0.3">
      <c r="A200" s="26" t="s">
        <v>1</v>
      </c>
      <c r="B200" s="27" t="s">
        <v>1</v>
      </c>
      <c r="C200" s="27" t="s">
        <v>84</v>
      </c>
      <c r="D200" s="28" t="s">
        <v>325</v>
      </c>
      <c r="E200" s="23">
        <f t="shared" si="412"/>
        <v>84813440</v>
      </c>
      <c r="F200" s="24">
        <f t="shared" si="413"/>
        <v>84813440</v>
      </c>
      <c r="G200" s="24">
        <f t="shared" si="414"/>
        <v>13058190</v>
      </c>
      <c r="H200" s="29">
        <v>0</v>
      </c>
      <c r="I200" s="29">
        <v>0</v>
      </c>
      <c r="J200" s="24">
        <f>SUM(K200:P200)</f>
        <v>2161880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2161880</v>
      </c>
      <c r="Q200" s="24">
        <f>SUM(R200:S200)</f>
        <v>0</v>
      </c>
      <c r="R200" s="29">
        <v>0</v>
      </c>
      <c r="S200" s="29">
        <v>0</v>
      </c>
      <c r="T200" s="29">
        <v>0</v>
      </c>
      <c r="U200" s="29">
        <v>0</v>
      </c>
      <c r="V200" s="24">
        <f t="shared" si="415"/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f t="shared" si="416"/>
        <v>10896310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0</v>
      </c>
      <c r="AQ200" s="24">
        <v>0</v>
      </c>
      <c r="AR200" s="24"/>
      <c r="AS200" s="24">
        <v>0</v>
      </c>
      <c r="AT200" s="24">
        <v>0</v>
      </c>
      <c r="AU200" s="24">
        <v>0</v>
      </c>
      <c r="AV200" s="24"/>
      <c r="AW200" s="24"/>
      <c r="AX200" s="24">
        <v>10224770</v>
      </c>
      <c r="AY200" s="29">
        <v>0</v>
      </c>
      <c r="AZ200" s="29">
        <v>0</v>
      </c>
      <c r="BA200" s="29">
        <v>0</v>
      </c>
      <c r="BB200" s="29">
        <v>0</v>
      </c>
      <c r="BC200" s="29">
        <f>889997-218457</f>
        <v>671540</v>
      </c>
      <c r="BD200" s="24">
        <f t="shared" si="417"/>
        <v>71755250</v>
      </c>
      <c r="BE200" s="24">
        <f t="shared" si="418"/>
        <v>0</v>
      </c>
      <c r="BF200" s="24">
        <v>0</v>
      </c>
      <c r="BG200" s="24">
        <v>0</v>
      </c>
      <c r="BH200" s="24">
        <v>0</v>
      </c>
      <c r="BI200" s="24">
        <f t="shared" si="419"/>
        <v>0</v>
      </c>
      <c r="BJ200" s="24">
        <v>0</v>
      </c>
      <c r="BK200" s="24">
        <v>0</v>
      </c>
      <c r="BL200" s="24">
        <v>0</v>
      </c>
      <c r="BM200" s="24">
        <v>0</v>
      </c>
      <c r="BN200" s="24">
        <v>0</v>
      </c>
      <c r="BO200" s="24">
        <f>SUM(BP200)</f>
        <v>0</v>
      </c>
      <c r="BP200" s="24">
        <v>0</v>
      </c>
      <c r="BQ200" s="24">
        <v>0</v>
      </c>
      <c r="BR200" s="24">
        <f t="shared" si="420"/>
        <v>71755250</v>
      </c>
      <c r="BS200" s="24">
        <v>0</v>
      </c>
      <c r="BT200" s="24">
        <v>0</v>
      </c>
      <c r="BU200" s="24">
        <v>0</v>
      </c>
      <c r="BV200" s="24">
        <v>0</v>
      </c>
      <c r="BW200" s="24">
        <v>0</v>
      </c>
      <c r="BX200" s="24">
        <v>0</v>
      </c>
      <c r="BY200" s="24">
        <v>0</v>
      </c>
      <c r="BZ200" s="24">
        <v>1673500</v>
      </c>
      <c r="CA200" s="29">
        <f>228360+92820</f>
        <v>321180</v>
      </c>
      <c r="CB200" s="29">
        <f>10231172-6359-1156121</f>
        <v>9068692</v>
      </c>
      <c r="CC200" s="29">
        <f>8212778+781200+24476600-1578700+28800000</f>
        <v>60691878</v>
      </c>
      <c r="CD200" s="24">
        <f t="shared" si="421"/>
        <v>0</v>
      </c>
      <c r="CE200" s="24">
        <f t="shared" si="422"/>
        <v>0</v>
      </c>
      <c r="CF200" s="24">
        <f>SUM(CG200:CH200)</f>
        <v>0</v>
      </c>
      <c r="CG200" s="24">
        <v>0</v>
      </c>
      <c r="CH200" s="24">
        <v>0</v>
      </c>
      <c r="CI200" s="24">
        <f t="shared" si="423"/>
        <v>0</v>
      </c>
      <c r="CJ200" s="24">
        <v>0</v>
      </c>
      <c r="CK200" s="24">
        <v>0</v>
      </c>
      <c r="CL200" s="24">
        <v>0</v>
      </c>
      <c r="CM200" s="24">
        <v>0</v>
      </c>
      <c r="CN200" s="24">
        <f t="shared" si="424"/>
        <v>0</v>
      </c>
      <c r="CO200" s="24">
        <v>0</v>
      </c>
      <c r="CP200" s="24">
        <v>0</v>
      </c>
      <c r="CQ200" s="24">
        <v>0</v>
      </c>
      <c r="CR200" s="24"/>
      <c r="CS200" s="24"/>
      <c r="CT200" s="24">
        <v>0</v>
      </c>
      <c r="CU200" s="24">
        <v>0</v>
      </c>
      <c r="CV200" s="24">
        <v>0</v>
      </c>
      <c r="CW200" s="24">
        <f>SUM(CX200)</f>
        <v>0</v>
      </c>
      <c r="CX200" s="24">
        <f>SUM(CY200:CZ200)</f>
        <v>0</v>
      </c>
      <c r="CY200" s="24">
        <v>0</v>
      </c>
      <c r="CZ200" s="25">
        <v>0</v>
      </c>
    </row>
    <row r="201" spans="1:104" ht="15.6" x14ac:dyDescent="0.3">
      <c r="A201" s="26" t="s">
        <v>1</v>
      </c>
      <c r="B201" s="27" t="s">
        <v>1</v>
      </c>
      <c r="C201" s="27" t="s">
        <v>84</v>
      </c>
      <c r="D201" s="28" t="s">
        <v>326</v>
      </c>
      <c r="E201" s="23">
        <f t="shared" si="412"/>
        <v>60258580</v>
      </c>
      <c r="F201" s="24">
        <f t="shared" si="413"/>
        <v>60258580</v>
      </c>
      <c r="G201" s="24">
        <f t="shared" si="414"/>
        <v>0</v>
      </c>
      <c r="H201" s="29">
        <v>0</v>
      </c>
      <c r="I201" s="29">
        <v>0</v>
      </c>
      <c r="J201" s="24">
        <f t="shared" si="297"/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4">
        <f t="shared" si="298"/>
        <v>0</v>
      </c>
      <c r="R201" s="29">
        <v>0</v>
      </c>
      <c r="S201" s="29">
        <v>0</v>
      </c>
      <c r="T201" s="29">
        <v>0</v>
      </c>
      <c r="U201" s="29">
        <v>0</v>
      </c>
      <c r="V201" s="24">
        <f t="shared" si="415"/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f t="shared" si="416"/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/>
      <c r="AS201" s="24">
        <v>0</v>
      </c>
      <c r="AT201" s="24">
        <v>0</v>
      </c>
      <c r="AU201" s="24">
        <v>0</v>
      </c>
      <c r="AV201" s="24"/>
      <c r="AW201" s="24"/>
      <c r="AX201" s="24">
        <v>0</v>
      </c>
      <c r="AY201" s="29">
        <v>0</v>
      </c>
      <c r="AZ201" s="29">
        <v>0</v>
      </c>
      <c r="BA201" s="29">
        <v>0</v>
      </c>
      <c r="BB201" s="29">
        <v>0</v>
      </c>
      <c r="BC201" s="29">
        <v>0</v>
      </c>
      <c r="BD201" s="24">
        <f t="shared" si="417"/>
        <v>60258580</v>
      </c>
      <c r="BE201" s="24">
        <f t="shared" si="418"/>
        <v>0</v>
      </c>
      <c r="BF201" s="24">
        <v>0</v>
      </c>
      <c r="BG201" s="24">
        <v>0</v>
      </c>
      <c r="BH201" s="24">
        <v>0</v>
      </c>
      <c r="BI201" s="24">
        <f t="shared" si="419"/>
        <v>0</v>
      </c>
      <c r="BJ201" s="24">
        <v>0</v>
      </c>
      <c r="BK201" s="24">
        <v>0</v>
      </c>
      <c r="BL201" s="24">
        <v>0</v>
      </c>
      <c r="BM201" s="24">
        <v>0</v>
      </c>
      <c r="BN201" s="24">
        <v>0</v>
      </c>
      <c r="BO201" s="24">
        <f t="shared" si="300"/>
        <v>0</v>
      </c>
      <c r="BP201" s="24">
        <v>0</v>
      </c>
      <c r="BQ201" s="24">
        <v>0</v>
      </c>
      <c r="BR201" s="24">
        <f t="shared" si="420"/>
        <v>60258580</v>
      </c>
      <c r="BS201" s="24">
        <v>0</v>
      </c>
      <c r="BT201" s="24">
        <v>0</v>
      </c>
      <c r="BU201" s="24">
        <v>0</v>
      </c>
      <c r="BV201" s="24">
        <v>0</v>
      </c>
      <c r="BW201" s="24">
        <v>0</v>
      </c>
      <c r="BX201" s="24">
        <v>0</v>
      </c>
      <c r="BY201" s="24">
        <v>0</v>
      </c>
      <c r="BZ201" s="24">
        <v>0</v>
      </c>
      <c r="CA201" s="29">
        <v>0</v>
      </c>
      <c r="CB201" s="29">
        <f>61354702-35981-1255441</f>
        <v>60063280</v>
      </c>
      <c r="CC201" s="29">
        <v>195300</v>
      </c>
      <c r="CD201" s="24">
        <f t="shared" si="421"/>
        <v>0</v>
      </c>
      <c r="CE201" s="24">
        <f t="shared" si="422"/>
        <v>0</v>
      </c>
      <c r="CF201" s="24">
        <f t="shared" si="301"/>
        <v>0</v>
      </c>
      <c r="CG201" s="24">
        <v>0</v>
      </c>
      <c r="CH201" s="24">
        <v>0</v>
      </c>
      <c r="CI201" s="24">
        <f t="shared" si="423"/>
        <v>0</v>
      </c>
      <c r="CJ201" s="24">
        <v>0</v>
      </c>
      <c r="CK201" s="24">
        <v>0</v>
      </c>
      <c r="CL201" s="24">
        <v>0</v>
      </c>
      <c r="CM201" s="24">
        <v>0</v>
      </c>
      <c r="CN201" s="24">
        <f t="shared" si="424"/>
        <v>0</v>
      </c>
      <c r="CO201" s="24">
        <v>0</v>
      </c>
      <c r="CP201" s="24">
        <v>0</v>
      </c>
      <c r="CQ201" s="24">
        <v>0</v>
      </c>
      <c r="CR201" s="24"/>
      <c r="CS201" s="24"/>
      <c r="CT201" s="24">
        <v>0</v>
      </c>
      <c r="CU201" s="24">
        <v>0</v>
      </c>
      <c r="CV201" s="24">
        <v>0</v>
      </c>
      <c r="CW201" s="24">
        <f t="shared" si="302"/>
        <v>0</v>
      </c>
      <c r="CX201" s="24">
        <f t="shared" si="303"/>
        <v>0</v>
      </c>
      <c r="CY201" s="24">
        <v>0</v>
      </c>
      <c r="CZ201" s="25">
        <v>0</v>
      </c>
    </row>
    <row r="202" spans="1:104" ht="31.2" x14ac:dyDescent="0.3">
      <c r="A202" s="26" t="s">
        <v>1</v>
      </c>
      <c r="B202" s="27" t="s">
        <v>1</v>
      </c>
      <c r="C202" s="27" t="s">
        <v>84</v>
      </c>
      <c r="D202" s="28" t="s">
        <v>327</v>
      </c>
      <c r="E202" s="23">
        <f t="shared" si="412"/>
        <v>5579483</v>
      </c>
      <c r="F202" s="24">
        <f t="shared" si="413"/>
        <v>5579483</v>
      </c>
      <c r="G202" s="24">
        <f t="shared" si="414"/>
        <v>0</v>
      </c>
      <c r="H202" s="29">
        <v>0</v>
      </c>
      <c r="I202" s="29">
        <v>0</v>
      </c>
      <c r="J202" s="24">
        <f>SUM(K202:P202)</f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4">
        <f>SUM(R202:S202)</f>
        <v>0</v>
      </c>
      <c r="R202" s="29">
        <v>0</v>
      </c>
      <c r="S202" s="29">
        <v>0</v>
      </c>
      <c r="T202" s="29">
        <v>0</v>
      </c>
      <c r="U202" s="29">
        <v>0</v>
      </c>
      <c r="V202" s="24">
        <f t="shared" si="415"/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f t="shared" si="416"/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0</v>
      </c>
      <c r="AQ202" s="24">
        <v>0</v>
      </c>
      <c r="AR202" s="24"/>
      <c r="AS202" s="24">
        <v>0</v>
      </c>
      <c r="AT202" s="24">
        <v>0</v>
      </c>
      <c r="AU202" s="24">
        <v>0</v>
      </c>
      <c r="AV202" s="24"/>
      <c r="AW202" s="24"/>
      <c r="AX202" s="24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4">
        <f t="shared" si="417"/>
        <v>5579483</v>
      </c>
      <c r="BE202" s="24">
        <f t="shared" si="418"/>
        <v>0</v>
      </c>
      <c r="BF202" s="24">
        <v>0</v>
      </c>
      <c r="BG202" s="24">
        <v>0</v>
      </c>
      <c r="BH202" s="24">
        <v>0</v>
      </c>
      <c r="BI202" s="24">
        <f t="shared" si="419"/>
        <v>0</v>
      </c>
      <c r="BJ202" s="24">
        <v>0</v>
      </c>
      <c r="BK202" s="24">
        <v>0</v>
      </c>
      <c r="BL202" s="24">
        <v>0</v>
      </c>
      <c r="BM202" s="24">
        <v>0</v>
      </c>
      <c r="BN202" s="24">
        <v>0</v>
      </c>
      <c r="BO202" s="24">
        <f>SUM(BP202)</f>
        <v>0</v>
      </c>
      <c r="BP202" s="24">
        <v>0</v>
      </c>
      <c r="BQ202" s="24">
        <v>0</v>
      </c>
      <c r="BR202" s="24">
        <f t="shared" si="420"/>
        <v>5579483</v>
      </c>
      <c r="BS202" s="24">
        <v>0</v>
      </c>
      <c r="BT202" s="24">
        <v>0</v>
      </c>
      <c r="BU202" s="24">
        <v>0</v>
      </c>
      <c r="BV202" s="24">
        <v>0</v>
      </c>
      <c r="BW202" s="24">
        <v>0</v>
      </c>
      <c r="BX202" s="24">
        <v>0</v>
      </c>
      <c r="BY202" s="24">
        <v>0</v>
      </c>
      <c r="BZ202" s="24">
        <v>0</v>
      </c>
      <c r="CA202" s="29">
        <v>0</v>
      </c>
      <c r="CB202" s="29">
        <f>6087853-113807-394563</f>
        <v>5579483</v>
      </c>
      <c r="CC202" s="29">
        <v>0</v>
      </c>
      <c r="CD202" s="24">
        <f t="shared" si="421"/>
        <v>0</v>
      </c>
      <c r="CE202" s="24">
        <f t="shared" si="422"/>
        <v>0</v>
      </c>
      <c r="CF202" s="24">
        <f>SUM(CG202:CH202)</f>
        <v>0</v>
      </c>
      <c r="CG202" s="24">
        <v>0</v>
      </c>
      <c r="CH202" s="24">
        <v>0</v>
      </c>
      <c r="CI202" s="24">
        <f t="shared" si="423"/>
        <v>0</v>
      </c>
      <c r="CJ202" s="24">
        <v>0</v>
      </c>
      <c r="CK202" s="24">
        <v>0</v>
      </c>
      <c r="CL202" s="24">
        <v>0</v>
      </c>
      <c r="CM202" s="24">
        <v>0</v>
      </c>
      <c r="CN202" s="24">
        <f t="shared" si="424"/>
        <v>0</v>
      </c>
      <c r="CO202" s="24">
        <v>0</v>
      </c>
      <c r="CP202" s="24">
        <v>0</v>
      </c>
      <c r="CQ202" s="24">
        <v>0</v>
      </c>
      <c r="CR202" s="24"/>
      <c r="CS202" s="24"/>
      <c r="CT202" s="24">
        <v>0</v>
      </c>
      <c r="CU202" s="24">
        <v>0</v>
      </c>
      <c r="CV202" s="24">
        <v>0</v>
      </c>
      <c r="CW202" s="24">
        <f>SUM(CX202)</f>
        <v>0</v>
      </c>
      <c r="CX202" s="24">
        <f>SUM(CY202:CZ202)</f>
        <v>0</v>
      </c>
      <c r="CY202" s="24">
        <v>0</v>
      </c>
      <c r="CZ202" s="25">
        <v>0</v>
      </c>
    </row>
    <row r="203" spans="1:104" ht="15.6" x14ac:dyDescent="0.3">
      <c r="A203" s="26" t="s">
        <v>1</v>
      </c>
      <c r="B203" s="27" t="s">
        <v>1</v>
      </c>
      <c r="C203" s="27" t="s">
        <v>84</v>
      </c>
      <c r="D203" s="28" t="s">
        <v>328</v>
      </c>
      <c r="E203" s="23">
        <f t="shared" si="412"/>
        <v>173601</v>
      </c>
      <c r="F203" s="24">
        <f t="shared" si="413"/>
        <v>173601</v>
      </c>
      <c r="G203" s="24">
        <f t="shared" si="414"/>
        <v>0</v>
      </c>
      <c r="H203" s="29">
        <v>0</v>
      </c>
      <c r="I203" s="29">
        <v>0</v>
      </c>
      <c r="J203" s="24">
        <f>SUM(K203:P203)</f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4">
        <f>SUM(R203:S203)</f>
        <v>0</v>
      </c>
      <c r="R203" s="29">
        <v>0</v>
      </c>
      <c r="S203" s="29">
        <v>0</v>
      </c>
      <c r="T203" s="29">
        <v>0</v>
      </c>
      <c r="U203" s="29">
        <v>0</v>
      </c>
      <c r="V203" s="24">
        <f t="shared" si="415"/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f t="shared" si="416"/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/>
      <c r="AS203" s="24">
        <v>0</v>
      </c>
      <c r="AT203" s="24">
        <v>0</v>
      </c>
      <c r="AU203" s="24">
        <v>0</v>
      </c>
      <c r="AV203" s="24"/>
      <c r="AW203" s="24"/>
      <c r="AX203" s="24">
        <v>0</v>
      </c>
      <c r="AY203" s="29">
        <v>0</v>
      </c>
      <c r="AZ203" s="29">
        <v>0</v>
      </c>
      <c r="BA203" s="29">
        <v>0</v>
      </c>
      <c r="BB203" s="29">
        <v>0</v>
      </c>
      <c r="BC203" s="29">
        <v>0</v>
      </c>
      <c r="BD203" s="24">
        <f t="shared" si="417"/>
        <v>173601</v>
      </c>
      <c r="BE203" s="24">
        <f t="shared" si="418"/>
        <v>0</v>
      </c>
      <c r="BF203" s="24">
        <v>0</v>
      </c>
      <c r="BG203" s="24">
        <v>0</v>
      </c>
      <c r="BH203" s="24">
        <v>0</v>
      </c>
      <c r="BI203" s="24">
        <f t="shared" si="419"/>
        <v>0</v>
      </c>
      <c r="BJ203" s="24">
        <v>0</v>
      </c>
      <c r="BK203" s="24">
        <v>0</v>
      </c>
      <c r="BL203" s="24">
        <v>0</v>
      </c>
      <c r="BM203" s="24">
        <v>0</v>
      </c>
      <c r="BN203" s="24">
        <v>0</v>
      </c>
      <c r="BO203" s="24">
        <f>SUM(BP203)</f>
        <v>0</v>
      </c>
      <c r="BP203" s="24">
        <v>0</v>
      </c>
      <c r="BQ203" s="24">
        <v>0</v>
      </c>
      <c r="BR203" s="24">
        <f t="shared" si="420"/>
        <v>173601</v>
      </c>
      <c r="BS203" s="24">
        <v>0</v>
      </c>
      <c r="BT203" s="24">
        <v>0</v>
      </c>
      <c r="BU203" s="24">
        <v>0</v>
      </c>
      <c r="BV203" s="24">
        <v>0</v>
      </c>
      <c r="BW203" s="24">
        <v>0</v>
      </c>
      <c r="BX203" s="24">
        <v>0</v>
      </c>
      <c r="BY203" s="24">
        <v>0</v>
      </c>
      <c r="BZ203" s="24">
        <v>0</v>
      </c>
      <c r="CA203" s="29">
        <v>0</v>
      </c>
      <c r="CB203" s="29">
        <v>0</v>
      </c>
      <c r="CC203" s="29">
        <f>153638+19982-19</f>
        <v>173601</v>
      </c>
      <c r="CD203" s="24">
        <f t="shared" si="421"/>
        <v>0</v>
      </c>
      <c r="CE203" s="24">
        <f t="shared" si="422"/>
        <v>0</v>
      </c>
      <c r="CF203" s="24">
        <f>SUM(CG203:CH203)</f>
        <v>0</v>
      </c>
      <c r="CG203" s="24">
        <v>0</v>
      </c>
      <c r="CH203" s="24">
        <v>0</v>
      </c>
      <c r="CI203" s="24">
        <f t="shared" si="423"/>
        <v>0</v>
      </c>
      <c r="CJ203" s="24">
        <v>0</v>
      </c>
      <c r="CK203" s="24">
        <v>0</v>
      </c>
      <c r="CL203" s="24">
        <v>0</v>
      </c>
      <c r="CM203" s="24">
        <v>0</v>
      </c>
      <c r="CN203" s="24">
        <f t="shared" si="424"/>
        <v>0</v>
      </c>
      <c r="CO203" s="24">
        <v>0</v>
      </c>
      <c r="CP203" s="24">
        <v>0</v>
      </c>
      <c r="CQ203" s="24">
        <v>0</v>
      </c>
      <c r="CR203" s="24"/>
      <c r="CS203" s="24"/>
      <c r="CT203" s="24">
        <v>0</v>
      </c>
      <c r="CU203" s="24">
        <v>0</v>
      </c>
      <c r="CV203" s="24">
        <v>0</v>
      </c>
      <c r="CW203" s="24">
        <f>SUM(CX203)</f>
        <v>0</v>
      </c>
      <c r="CX203" s="24">
        <f>SUM(CY203:CZ203)</f>
        <v>0</v>
      </c>
      <c r="CY203" s="24">
        <v>0</v>
      </c>
      <c r="CZ203" s="25">
        <v>0</v>
      </c>
    </row>
    <row r="204" spans="1:104" ht="15.6" x14ac:dyDescent="0.3">
      <c r="A204" s="26" t="s">
        <v>1</v>
      </c>
      <c r="B204" s="27" t="s">
        <v>1</v>
      </c>
      <c r="C204" s="27" t="s">
        <v>186</v>
      </c>
      <c r="D204" s="28" t="s">
        <v>187</v>
      </c>
      <c r="E204" s="23">
        <f t="shared" si="412"/>
        <v>611614</v>
      </c>
      <c r="F204" s="24">
        <f t="shared" si="413"/>
        <v>611614</v>
      </c>
      <c r="G204" s="24">
        <f t="shared" si="414"/>
        <v>611614</v>
      </c>
      <c r="H204" s="29">
        <f>646247-57000</f>
        <v>589247</v>
      </c>
      <c r="I204" s="29">
        <f>40714-40714</f>
        <v>0</v>
      </c>
      <c r="J204" s="24">
        <f t="shared" ref="J204" si="425">SUM(K204:P204)</f>
        <v>0</v>
      </c>
      <c r="K204" s="29">
        <v>0</v>
      </c>
      <c r="L204" s="29">
        <f>8440-8440</f>
        <v>0</v>
      </c>
      <c r="M204" s="29">
        <v>0</v>
      </c>
      <c r="N204" s="29">
        <v>0</v>
      </c>
      <c r="O204" s="29">
        <v>0</v>
      </c>
      <c r="P204" s="29">
        <v>0</v>
      </c>
      <c r="Q204" s="24">
        <f t="shared" ref="Q204" si="426">SUM(R204:S204)</f>
        <v>0</v>
      </c>
      <c r="R204" s="29">
        <v>0</v>
      </c>
      <c r="S204" s="29">
        <v>0</v>
      </c>
      <c r="T204" s="29">
        <v>0</v>
      </c>
      <c r="U204" s="29">
        <v>0</v>
      </c>
      <c r="V204" s="24">
        <f t="shared" si="415"/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f t="shared" si="416"/>
        <v>22367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/>
      <c r="AO204" s="24">
        <v>0</v>
      </c>
      <c r="AP204" s="24">
        <v>0</v>
      </c>
      <c r="AQ204" s="24">
        <v>0</v>
      </c>
      <c r="AR204" s="24"/>
      <c r="AS204" s="24">
        <v>0</v>
      </c>
      <c r="AT204" s="24">
        <v>0</v>
      </c>
      <c r="AU204" s="24">
        <v>0</v>
      </c>
      <c r="AV204" s="24"/>
      <c r="AW204" s="24"/>
      <c r="AX204" s="24">
        <v>0</v>
      </c>
      <c r="AY204" s="29">
        <f>23367-1000</f>
        <v>22367</v>
      </c>
      <c r="AZ204" s="29">
        <v>0</v>
      </c>
      <c r="BA204" s="29">
        <v>0</v>
      </c>
      <c r="BB204" s="29">
        <v>0</v>
      </c>
      <c r="BC204" s="29">
        <v>0</v>
      </c>
      <c r="BD204" s="24">
        <f t="shared" si="417"/>
        <v>0</v>
      </c>
      <c r="BE204" s="24">
        <f t="shared" si="418"/>
        <v>0</v>
      </c>
      <c r="BF204" s="24">
        <v>0</v>
      </c>
      <c r="BG204" s="24">
        <v>0</v>
      </c>
      <c r="BH204" s="24">
        <v>0</v>
      </c>
      <c r="BI204" s="24">
        <f t="shared" si="419"/>
        <v>0</v>
      </c>
      <c r="BJ204" s="24">
        <v>0</v>
      </c>
      <c r="BK204" s="24">
        <v>0</v>
      </c>
      <c r="BL204" s="24">
        <v>0</v>
      </c>
      <c r="BM204" s="24">
        <v>0</v>
      </c>
      <c r="BN204" s="24">
        <v>0</v>
      </c>
      <c r="BO204" s="24">
        <f t="shared" ref="BO204" si="427">SUM(BP204)</f>
        <v>0</v>
      </c>
      <c r="BP204" s="24">
        <v>0</v>
      </c>
      <c r="BQ204" s="24">
        <v>0</v>
      </c>
      <c r="BR204" s="24">
        <f t="shared" si="420"/>
        <v>0</v>
      </c>
      <c r="BS204" s="24">
        <v>0</v>
      </c>
      <c r="BT204" s="24">
        <v>0</v>
      </c>
      <c r="BU204" s="24">
        <v>0</v>
      </c>
      <c r="BV204" s="24">
        <v>0</v>
      </c>
      <c r="BW204" s="24">
        <v>0</v>
      </c>
      <c r="BX204" s="24">
        <v>0</v>
      </c>
      <c r="BY204" s="24">
        <v>0</v>
      </c>
      <c r="BZ204" s="24">
        <v>0</v>
      </c>
      <c r="CA204" s="29">
        <v>0</v>
      </c>
      <c r="CB204" s="29">
        <v>0</v>
      </c>
      <c r="CC204" s="29">
        <v>0</v>
      </c>
      <c r="CD204" s="24">
        <f t="shared" si="421"/>
        <v>0</v>
      </c>
      <c r="CE204" s="24">
        <f t="shared" si="422"/>
        <v>0</v>
      </c>
      <c r="CF204" s="24">
        <f t="shared" ref="CF204" si="428">SUM(CG204:CH204)</f>
        <v>0</v>
      </c>
      <c r="CG204" s="24">
        <v>0</v>
      </c>
      <c r="CH204" s="24"/>
      <c r="CI204" s="24">
        <f t="shared" si="423"/>
        <v>0</v>
      </c>
      <c r="CJ204" s="24">
        <v>0</v>
      </c>
      <c r="CK204" s="24">
        <v>0</v>
      </c>
      <c r="CL204" s="24">
        <v>0</v>
      </c>
      <c r="CM204" s="24">
        <v>0</v>
      </c>
      <c r="CN204" s="24">
        <f t="shared" si="424"/>
        <v>0</v>
      </c>
      <c r="CO204" s="24">
        <v>0</v>
      </c>
      <c r="CP204" s="24">
        <v>0</v>
      </c>
      <c r="CQ204" s="24">
        <v>0</v>
      </c>
      <c r="CR204" s="24"/>
      <c r="CS204" s="24"/>
      <c r="CT204" s="24">
        <v>0</v>
      </c>
      <c r="CU204" s="24">
        <v>0</v>
      </c>
      <c r="CV204" s="24">
        <v>0</v>
      </c>
      <c r="CW204" s="24">
        <f t="shared" ref="CW204" si="429">SUM(CX204)</f>
        <v>0</v>
      </c>
      <c r="CX204" s="24">
        <f t="shared" ref="CX204" si="430">SUM(CY204:CZ204)</f>
        <v>0</v>
      </c>
      <c r="CY204" s="24">
        <v>0</v>
      </c>
      <c r="CZ204" s="25">
        <v>0</v>
      </c>
    </row>
    <row r="205" spans="1:104" ht="31.2" x14ac:dyDescent="0.3">
      <c r="A205" s="20"/>
      <c r="B205" s="21" t="s">
        <v>330</v>
      </c>
      <c r="C205" s="21" t="s">
        <v>1</v>
      </c>
      <c r="D205" s="22" t="s">
        <v>431</v>
      </c>
      <c r="E205" s="23">
        <f t="shared" ref="E205:AU205" si="431">SUM(E206:E215)</f>
        <v>150758578</v>
      </c>
      <c r="F205" s="24">
        <f t="shared" si="431"/>
        <v>150758578</v>
      </c>
      <c r="G205" s="24">
        <f t="shared" si="431"/>
        <v>150758578</v>
      </c>
      <c r="H205" s="24">
        <f t="shared" si="431"/>
        <v>0</v>
      </c>
      <c r="I205" s="24">
        <f t="shared" si="431"/>
        <v>0</v>
      </c>
      <c r="J205" s="24">
        <f t="shared" si="431"/>
        <v>0</v>
      </c>
      <c r="K205" s="24">
        <f t="shared" si="431"/>
        <v>0</v>
      </c>
      <c r="L205" s="24">
        <f t="shared" si="431"/>
        <v>0</v>
      </c>
      <c r="M205" s="24">
        <f t="shared" si="431"/>
        <v>0</v>
      </c>
      <c r="N205" s="24">
        <f t="shared" si="431"/>
        <v>0</v>
      </c>
      <c r="O205" s="24">
        <f t="shared" si="431"/>
        <v>0</v>
      </c>
      <c r="P205" s="24">
        <f t="shared" si="431"/>
        <v>0</v>
      </c>
      <c r="Q205" s="24">
        <f t="shared" si="431"/>
        <v>0</v>
      </c>
      <c r="R205" s="24">
        <f t="shared" si="431"/>
        <v>0</v>
      </c>
      <c r="S205" s="24">
        <f t="shared" si="431"/>
        <v>0</v>
      </c>
      <c r="T205" s="24">
        <f t="shared" si="431"/>
        <v>0</v>
      </c>
      <c r="U205" s="24">
        <f t="shared" si="431"/>
        <v>0</v>
      </c>
      <c r="V205" s="24">
        <f t="shared" si="431"/>
        <v>150758578</v>
      </c>
      <c r="W205" s="24">
        <f t="shared" si="431"/>
        <v>0</v>
      </c>
      <c r="X205" s="24">
        <f t="shared" si="431"/>
        <v>0</v>
      </c>
      <c r="Y205" s="24">
        <f t="shared" si="431"/>
        <v>0</v>
      </c>
      <c r="Z205" s="24">
        <f t="shared" si="431"/>
        <v>0</v>
      </c>
      <c r="AA205" s="24">
        <f t="shared" si="431"/>
        <v>0</v>
      </c>
      <c r="AB205" s="24">
        <f t="shared" si="431"/>
        <v>0</v>
      </c>
      <c r="AC205" s="24">
        <f t="shared" si="431"/>
        <v>150758578</v>
      </c>
      <c r="AD205" s="24">
        <f t="shared" si="431"/>
        <v>0</v>
      </c>
      <c r="AE205" s="24">
        <f t="shared" si="431"/>
        <v>0</v>
      </c>
      <c r="AF205" s="24">
        <f t="shared" si="431"/>
        <v>0</v>
      </c>
      <c r="AG205" s="24">
        <f t="shared" si="431"/>
        <v>0</v>
      </c>
      <c r="AH205" s="24">
        <f t="shared" si="431"/>
        <v>0</v>
      </c>
      <c r="AI205" s="24">
        <f t="shared" si="431"/>
        <v>0</v>
      </c>
      <c r="AJ205" s="24">
        <f t="shared" si="431"/>
        <v>0</v>
      </c>
      <c r="AK205" s="24">
        <f t="shared" si="431"/>
        <v>0</v>
      </c>
      <c r="AL205" s="24">
        <f t="shared" si="431"/>
        <v>0</v>
      </c>
      <c r="AM205" s="24">
        <f t="shared" si="431"/>
        <v>0</v>
      </c>
      <c r="AN205" s="24">
        <f t="shared" si="431"/>
        <v>0</v>
      </c>
      <c r="AO205" s="24">
        <f t="shared" si="431"/>
        <v>0</v>
      </c>
      <c r="AP205" s="24">
        <f t="shared" si="431"/>
        <v>0</v>
      </c>
      <c r="AQ205" s="24">
        <f t="shared" si="431"/>
        <v>0</v>
      </c>
      <c r="AR205" s="24"/>
      <c r="AS205" s="24">
        <f t="shared" si="431"/>
        <v>0</v>
      </c>
      <c r="AT205" s="24">
        <f t="shared" si="431"/>
        <v>0</v>
      </c>
      <c r="AU205" s="24">
        <f t="shared" si="431"/>
        <v>0</v>
      </c>
      <c r="AV205" s="24"/>
      <c r="AW205" s="24"/>
      <c r="AX205" s="24">
        <f>SUM(AX206:AX215)</f>
        <v>0</v>
      </c>
      <c r="AY205" s="24">
        <f>SUM(AY206:AY215)</f>
        <v>0</v>
      </c>
      <c r="AZ205" s="24">
        <f>SUM(AZ206:AZ215)</f>
        <v>0</v>
      </c>
      <c r="BA205" s="24">
        <f>SUM(BA206:BA215)</f>
        <v>0</v>
      </c>
      <c r="BB205" s="24"/>
      <c r="BC205" s="24">
        <f t="shared" ref="BC205:CQ205" si="432">SUM(BC206:BC215)</f>
        <v>0</v>
      </c>
      <c r="BD205" s="24">
        <f t="shared" si="432"/>
        <v>0</v>
      </c>
      <c r="BE205" s="24">
        <f t="shared" si="432"/>
        <v>0</v>
      </c>
      <c r="BF205" s="24">
        <f t="shared" si="432"/>
        <v>0</v>
      </c>
      <c r="BG205" s="24">
        <f t="shared" si="432"/>
        <v>0</v>
      </c>
      <c r="BH205" s="24">
        <f t="shared" si="432"/>
        <v>0</v>
      </c>
      <c r="BI205" s="24">
        <f t="shared" si="432"/>
        <v>0</v>
      </c>
      <c r="BJ205" s="24">
        <f t="shared" si="432"/>
        <v>0</v>
      </c>
      <c r="BK205" s="24">
        <f t="shared" ref="BK205" si="433">SUM(BK206:BK215)</f>
        <v>0</v>
      </c>
      <c r="BL205" s="24">
        <f t="shared" si="432"/>
        <v>0</v>
      </c>
      <c r="BM205" s="24">
        <f t="shared" si="432"/>
        <v>0</v>
      </c>
      <c r="BN205" s="24">
        <f t="shared" si="432"/>
        <v>0</v>
      </c>
      <c r="BO205" s="24">
        <f t="shared" si="432"/>
        <v>0</v>
      </c>
      <c r="BP205" s="24">
        <f t="shared" si="432"/>
        <v>0</v>
      </c>
      <c r="BQ205" s="24">
        <f t="shared" si="432"/>
        <v>0</v>
      </c>
      <c r="BR205" s="24">
        <f t="shared" si="432"/>
        <v>0</v>
      </c>
      <c r="BS205" s="24">
        <f t="shared" si="432"/>
        <v>0</v>
      </c>
      <c r="BT205" s="24">
        <f t="shared" si="432"/>
        <v>0</v>
      </c>
      <c r="BU205" s="24">
        <f t="shared" si="432"/>
        <v>0</v>
      </c>
      <c r="BV205" s="24">
        <f t="shared" si="432"/>
        <v>0</v>
      </c>
      <c r="BW205" s="24">
        <f t="shared" si="432"/>
        <v>0</v>
      </c>
      <c r="BX205" s="24">
        <f t="shared" si="432"/>
        <v>0</v>
      </c>
      <c r="BY205" s="24">
        <f t="shared" si="432"/>
        <v>0</v>
      </c>
      <c r="BZ205" s="24">
        <f t="shared" si="432"/>
        <v>0</v>
      </c>
      <c r="CA205" s="24">
        <f t="shared" si="432"/>
        <v>0</v>
      </c>
      <c r="CB205" s="24">
        <f t="shared" si="432"/>
        <v>0</v>
      </c>
      <c r="CC205" s="24">
        <f t="shared" si="432"/>
        <v>0</v>
      </c>
      <c r="CD205" s="24">
        <f t="shared" si="432"/>
        <v>0</v>
      </c>
      <c r="CE205" s="24">
        <f t="shared" si="432"/>
        <v>0</v>
      </c>
      <c r="CF205" s="24">
        <f t="shared" si="432"/>
        <v>0</v>
      </c>
      <c r="CG205" s="24">
        <f t="shared" si="432"/>
        <v>0</v>
      </c>
      <c r="CH205" s="24">
        <f t="shared" si="432"/>
        <v>0</v>
      </c>
      <c r="CI205" s="24">
        <f t="shared" si="432"/>
        <v>0</v>
      </c>
      <c r="CJ205" s="24">
        <f t="shared" si="432"/>
        <v>0</v>
      </c>
      <c r="CK205" s="24">
        <f t="shared" si="432"/>
        <v>0</v>
      </c>
      <c r="CL205" s="24">
        <f t="shared" si="432"/>
        <v>0</v>
      </c>
      <c r="CM205" s="24">
        <f t="shared" si="432"/>
        <v>0</v>
      </c>
      <c r="CN205" s="24">
        <f t="shared" si="432"/>
        <v>0</v>
      </c>
      <c r="CO205" s="24">
        <f t="shared" si="432"/>
        <v>0</v>
      </c>
      <c r="CP205" s="24">
        <f t="shared" si="432"/>
        <v>0</v>
      </c>
      <c r="CQ205" s="24">
        <f t="shared" si="432"/>
        <v>0</v>
      </c>
      <c r="CR205" s="24"/>
      <c r="CS205" s="24"/>
      <c r="CT205" s="24">
        <f t="shared" ref="CT205:CZ205" si="434">SUM(CT206:CT215)</f>
        <v>0</v>
      </c>
      <c r="CU205" s="24">
        <f t="shared" si="434"/>
        <v>0</v>
      </c>
      <c r="CV205" s="24">
        <f t="shared" si="434"/>
        <v>0</v>
      </c>
      <c r="CW205" s="24">
        <f t="shared" si="434"/>
        <v>0</v>
      </c>
      <c r="CX205" s="24">
        <f t="shared" si="434"/>
        <v>0</v>
      </c>
      <c r="CY205" s="24">
        <f t="shared" si="434"/>
        <v>0</v>
      </c>
      <c r="CZ205" s="25">
        <f t="shared" si="434"/>
        <v>0</v>
      </c>
    </row>
    <row r="206" spans="1:104" ht="31.2" x14ac:dyDescent="0.3">
      <c r="A206" s="26" t="s">
        <v>1</v>
      </c>
      <c r="B206" s="27" t="s">
        <v>1</v>
      </c>
      <c r="C206" s="41" t="s">
        <v>82</v>
      </c>
      <c r="D206" s="38" t="s">
        <v>432</v>
      </c>
      <c r="E206" s="23">
        <f t="shared" ref="E206:E215" si="435">SUM(F206+CD206+CW206)</f>
        <v>127031024</v>
      </c>
      <c r="F206" s="24">
        <f t="shared" ref="F206:F215" si="436">SUM(G206+BD206)</f>
        <v>127031024</v>
      </c>
      <c r="G206" s="24">
        <f t="shared" ref="G206:G215" si="437">SUM(H206+I206+J206+Q206+T206+U206+V206+AF206+AE206)</f>
        <v>127031024</v>
      </c>
      <c r="H206" s="24">
        <v>0</v>
      </c>
      <c r="I206" s="24">
        <v>0</v>
      </c>
      <c r="J206" s="24">
        <f t="shared" ref="J206:J215" si="438">SUM(K206:P206)</f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f t="shared" ref="Q206:Q215" si="439">SUM(R206:S206)</f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f t="shared" ref="V206:V215" si="440">SUM(W206:AD206)</f>
        <v>127031024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9">
        <v>127031024</v>
      </c>
      <c r="AD206" s="24">
        <v>0</v>
      </c>
      <c r="AE206" s="24">
        <v>0</v>
      </c>
      <c r="AF206" s="24">
        <f t="shared" ref="AF206:AF215" si="441">SUM(AG206:BC206)</f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0</v>
      </c>
      <c r="AQ206" s="24">
        <v>0</v>
      </c>
      <c r="AR206" s="24"/>
      <c r="AS206" s="24">
        <v>0</v>
      </c>
      <c r="AT206" s="24">
        <v>0</v>
      </c>
      <c r="AU206" s="24">
        <v>0</v>
      </c>
      <c r="AV206" s="24"/>
      <c r="AW206" s="24"/>
      <c r="AX206" s="24">
        <v>0</v>
      </c>
      <c r="AY206" s="24">
        <v>0</v>
      </c>
      <c r="AZ206" s="24">
        <v>0</v>
      </c>
      <c r="BA206" s="24">
        <v>0</v>
      </c>
      <c r="BB206" s="24"/>
      <c r="BC206" s="24">
        <v>0</v>
      </c>
      <c r="BD206" s="24">
        <f t="shared" ref="BD206:BD215" si="442">SUM(BE206+BI206+BM206+BO206+BR206)</f>
        <v>0</v>
      </c>
      <c r="BE206" s="24">
        <f t="shared" ref="BE206:BE215" si="443">SUM(BF206:BH206)</f>
        <v>0</v>
      </c>
      <c r="BF206" s="24">
        <v>0</v>
      </c>
      <c r="BG206" s="24">
        <v>0</v>
      </c>
      <c r="BH206" s="24">
        <v>0</v>
      </c>
      <c r="BI206" s="24">
        <f t="shared" ref="BI206:BI215" si="444">SUM(BL206:BL206)</f>
        <v>0</v>
      </c>
      <c r="BJ206" s="24">
        <v>0</v>
      </c>
      <c r="BK206" s="24">
        <v>0</v>
      </c>
      <c r="BL206" s="24">
        <v>0</v>
      </c>
      <c r="BM206" s="24">
        <v>0</v>
      </c>
      <c r="BN206" s="24">
        <v>0</v>
      </c>
      <c r="BO206" s="24">
        <f t="shared" ref="BO206:BO215" si="445">SUM(BP206)</f>
        <v>0</v>
      </c>
      <c r="BP206" s="24">
        <v>0</v>
      </c>
      <c r="BQ206" s="24">
        <v>0</v>
      </c>
      <c r="BR206" s="24">
        <f t="shared" ref="BR206:BR215" si="446">SUM(BS206:CC206)</f>
        <v>0</v>
      </c>
      <c r="BS206" s="24">
        <v>0</v>
      </c>
      <c r="BT206" s="24">
        <v>0</v>
      </c>
      <c r="BU206" s="24">
        <v>0</v>
      </c>
      <c r="BV206" s="24">
        <v>0</v>
      </c>
      <c r="BW206" s="24">
        <v>0</v>
      </c>
      <c r="BX206" s="24">
        <v>0</v>
      </c>
      <c r="BY206" s="24">
        <v>0</v>
      </c>
      <c r="BZ206" s="24">
        <v>0</v>
      </c>
      <c r="CA206" s="24">
        <v>0</v>
      </c>
      <c r="CB206" s="24">
        <v>0</v>
      </c>
      <c r="CC206" s="24">
        <v>0</v>
      </c>
      <c r="CD206" s="24">
        <f t="shared" ref="CD206:CD215" si="447">SUM(CE206+CV206)</f>
        <v>0</v>
      </c>
      <c r="CE206" s="24">
        <f t="shared" ref="CE206:CE215" si="448">SUM(CF206+CI206+CN206)</f>
        <v>0</v>
      </c>
      <c r="CF206" s="24">
        <f t="shared" ref="CF206:CF215" si="449">SUM(CG206:CH206)</f>
        <v>0</v>
      </c>
      <c r="CG206" s="24">
        <v>0</v>
      </c>
      <c r="CH206" s="24">
        <v>0</v>
      </c>
      <c r="CI206" s="24">
        <f t="shared" ref="CI206:CI215" si="450">SUM(CJ206:CM206)</f>
        <v>0</v>
      </c>
      <c r="CJ206" s="24">
        <v>0</v>
      </c>
      <c r="CK206" s="24">
        <v>0</v>
      </c>
      <c r="CL206" s="24">
        <v>0</v>
      </c>
      <c r="CM206" s="24">
        <v>0</v>
      </c>
      <c r="CN206" s="24">
        <f t="shared" ref="CN206:CN215" si="451">SUM(CO206:CS206)</f>
        <v>0</v>
      </c>
      <c r="CO206" s="24">
        <v>0</v>
      </c>
      <c r="CP206" s="24">
        <v>0</v>
      </c>
      <c r="CQ206" s="24">
        <v>0</v>
      </c>
      <c r="CR206" s="24"/>
      <c r="CS206" s="24"/>
      <c r="CT206" s="24">
        <v>0</v>
      </c>
      <c r="CU206" s="24">
        <v>0</v>
      </c>
      <c r="CV206" s="24">
        <v>0</v>
      </c>
      <c r="CW206" s="24">
        <f t="shared" ref="CW206:CW215" si="452">SUM(CX206)</f>
        <v>0</v>
      </c>
      <c r="CX206" s="24">
        <f t="shared" ref="CX206:CX215" si="453">SUM(CY206:CZ206)</f>
        <v>0</v>
      </c>
      <c r="CY206" s="24">
        <v>0</v>
      </c>
      <c r="CZ206" s="25">
        <v>0</v>
      </c>
    </row>
    <row r="207" spans="1:104" ht="15.6" x14ac:dyDescent="0.3">
      <c r="A207" s="26" t="s">
        <v>1</v>
      </c>
      <c r="B207" s="27" t="s">
        <v>1</v>
      </c>
      <c r="C207" s="41" t="s">
        <v>331</v>
      </c>
      <c r="D207" s="38" t="s">
        <v>433</v>
      </c>
      <c r="E207" s="23">
        <f t="shared" si="435"/>
        <v>16373896</v>
      </c>
      <c r="F207" s="24">
        <f t="shared" si="436"/>
        <v>16373896</v>
      </c>
      <c r="G207" s="24">
        <f t="shared" si="437"/>
        <v>16373896</v>
      </c>
      <c r="H207" s="24">
        <v>0</v>
      </c>
      <c r="I207" s="24">
        <v>0</v>
      </c>
      <c r="J207" s="24">
        <f t="shared" si="438"/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f t="shared" si="439"/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f t="shared" si="440"/>
        <v>16373896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9">
        <v>16373896</v>
      </c>
      <c r="AD207" s="24">
        <v>0</v>
      </c>
      <c r="AE207" s="24">
        <v>0</v>
      </c>
      <c r="AF207" s="24">
        <f t="shared" si="441"/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0</v>
      </c>
      <c r="AN207" s="24">
        <v>0</v>
      </c>
      <c r="AO207" s="24">
        <v>0</v>
      </c>
      <c r="AP207" s="24">
        <v>0</v>
      </c>
      <c r="AQ207" s="24">
        <v>0</v>
      </c>
      <c r="AR207" s="24"/>
      <c r="AS207" s="24">
        <v>0</v>
      </c>
      <c r="AT207" s="24">
        <v>0</v>
      </c>
      <c r="AU207" s="24">
        <v>0</v>
      </c>
      <c r="AV207" s="24"/>
      <c r="AW207" s="24"/>
      <c r="AX207" s="24">
        <v>0</v>
      </c>
      <c r="AY207" s="24">
        <v>0</v>
      </c>
      <c r="AZ207" s="24">
        <v>0</v>
      </c>
      <c r="BA207" s="24">
        <v>0</v>
      </c>
      <c r="BB207" s="24"/>
      <c r="BC207" s="24">
        <v>0</v>
      </c>
      <c r="BD207" s="24">
        <f t="shared" si="442"/>
        <v>0</v>
      </c>
      <c r="BE207" s="24">
        <f t="shared" si="443"/>
        <v>0</v>
      </c>
      <c r="BF207" s="24">
        <v>0</v>
      </c>
      <c r="BG207" s="24">
        <v>0</v>
      </c>
      <c r="BH207" s="24">
        <v>0</v>
      </c>
      <c r="BI207" s="24">
        <f t="shared" si="444"/>
        <v>0</v>
      </c>
      <c r="BJ207" s="24">
        <v>0</v>
      </c>
      <c r="BK207" s="24">
        <v>0</v>
      </c>
      <c r="BL207" s="24">
        <v>0</v>
      </c>
      <c r="BM207" s="24">
        <v>0</v>
      </c>
      <c r="BN207" s="24">
        <v>0</v>
      </c>
      <c r="BO207" s="24">
        <f t="shared" si="445"/>
        <v>0</v>
      </c>
      <c r="BP207" s="24">
        <v>0</v>
      </c>
      <c r="BQ207" s="24">
        <v>0</v>
      </c>
      <c r="BR207" s="24">
        <f t="shared" si="446"/>
        <v>0</v>
      </c>
      <c r="BS207" s="24">
        <v>0</v>
      </c>
      <c r="BT207" s="24">
        <v>0</v>
      </c>
      <c r="BU207" s="24">
        <v>0</v>
      </c>
      <c r="BV207" s="24">
        <v>0</v>
      </c>
      <c r="BW207" s="24">
        <v>0</v>
      </c>
      <c r="BX207" s="24">
        <v>0</v>
      </c>
      <c r="BY207" s="24">
        <v>0</v>
      </c>
      <c r="BZ207" s="24">
        <v>0</v>
      </c>
      <c r="CA207" s="24">
        <v>0</v>
      </c>
      <c r="CB207" s="24">
        <v>0</v>
      </c>
      <c r="CC207" s="24">
        <v>0</v>
      </c>
      <c r="CD207" s="24">
        <f t="shared" si="447"/>
        <v>0</v>
      </c>
      <c r="CE207" s="24">
        <f t="shared" si="448"/>
        <v>0</v>
      </c>
      <c r="CF207" s="24">
        <f t="shared" si="449"/>
        <v>0</v>
      </c>
      <c r="CG207" s="24">
        <v>0</v>
      </c>
      <c r="CH207" s="24">
        <v>0</v>
      </c>
      <c r="CI207" s="24">
        <f t="shared" si="450"/>
        <v>0</v>
      </c>
      <c r="CJ207" s="24">
        <v>0</v>
      </c>
      <c r="CK207" s="24">
        <v>0</v>
      </c>
      <c r="CL207" s="24">
        <v>0</v>
      </c>
      <c r="CM207" s="24">
        <v>0</v>
      </c>
      <c r="CN207" s="24">
        <f t="shared" si="451"/>
        <v>0</v>
      </c>
      <c r="CO207" s="24">
        <v>0</v>
      </c>
      <c r="CP207" s="24">
        <v>0</v>
      </c>
      <c r="CQ207" s="24">
        <v>0</v>
      </c>
      <c r="CR207" s="24"/>
      <c r="CS207" s="24"/>
      <c r="CT207" s="24">
        <v>0</v>
      </c>
      <c r="CU207" s="24">
        <v>0</v>
      </c>
      <c r="CV207" s="24">
        <v>0</v>
      </c>
      <c r="CW207" s="24">
        <f t="shared" si="452"/>
        <v>0</v>
      </c>
      <c r="CX207" s="24">
        <f t="shared" si="453"/>
        <v>0</v>
      </c>
      <c r="CY207" s="24">
        <v>0</v>
      </c>
      <c r="CZ207" s="25">
        <v>0</v>
      </c>
    </row>
    <row r="208" spans="1:104" ht="31.2" x14ac:dyDescent="0.3">
      <c r="A208" s="26" t="s">
        <v>1</v>
      </c>
      <c r="B208" s="27" t="s">
        <v>1</v>
      </c>
      <c r="C208" s="41" t="s">
        <v>331</v>
      </c>
      <c r="D208" s="38" t="s">
        <v>434</v>
      </c>
      <c r="E208" s="23">
        <f t="shared" si="435"/>
        <v>234498</v>
      </c>
      <c r="F208" s="24">
        <f t="shared" si="436"/>
        <v>234498</v>
      </c>
      <c r="G208" s="24">
        <f t="shared" si="437"/>
        <v>234498</v>
      </c>
      <c r="H208" s="24">
        <v>0</v>
      </c>
      <c r="I208" s="24">
        <v>0</v>
      </c>
      <c r="J208" s="24">
        <f t="shared" si="438"/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f t="shared" si="439"/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f t="shared" si="440"/>
        <v>234498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9">
        <v>234498</v>
      </c>
      <c r="AD208" s="24">
        <v>0</v>
      </c>
      <c r="AE208" s="24">
        <v>0</v>
      </c>
      <c r="AF208" s="24">
        <f t="shared" si="441"/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0</v>
      </c>
      <c r="AQ208" s="24">
        <v>0</v>
      </c>
      <c r="AR208" s="24"/>
      <c r="AS208" s="24">
        <v>0</v>
      </c>
      <c r="AT208" s="24">
        <v>0</v>
      </c>
      <c r="AU208" s="24">
        <v>0</v>
      </c>
      <c r="AV208" s="24"/>
      <c r="AW208" s="24"/>
      <c r="AX208" s="24">
        <v>0</v>
      </c>
      <c r="AY208" s="24">
        <v>0</v>
      </c>
      <c r="AZ208" s="24">
        <v>0</v>
      </c>
      <c r="BA208" s="24">
        <v>0</v>
      </c>
      <c r="BB208" s="24"/>
      <c r="BC208" s="24">
        <v>0</v>
      </c>
      <c r="BD208" s="24">
        <f t="shared" si="442"/>
        <v>0</v>
      </c>
      <c r="BE208" s="24">
        <f t="shared" si="443"/>
        <v>0</v>
      </c>
      <c r="BF208" s="24">
        <v>0</v>
      </c>
      <c r="BG208" s="24">
        <v>0</v>
      </c>
      <c r="BH208" s="24">
        <v>0</v>
      </c>
      <c r="BI208" s="24">
        <f t="shared" si="444"/>
        <v>0</v>
      </c>
      <c r="BJ208" s="24">
        <v>0</v>
      </c>
      <c r="BK208" s="24">
        <v>0</v>
      </c>
      <c r="BL208" s="24">
        <v>0</v>
      </c>
      <c r="BM208" s="24">
        <v>0</v>
      </c>
      <c r="BN208" s="24">
        <v>0</v>
      </c>
      <c r="BO208" s="24">
        <f t="shared" si="445"/>
        <v>0</v>
      </c>
      <c r="BP208" s="24">
        <v>0</v>
      </c>
      <c r="BQ208" s="24">
        <v>0</v>
      </c>
      <c r="BR208" s="24">
        <f t="shared" si="446"/>
        <v>0</v>
      </c>
      <c r="BS208" s="24">
        <v>0</v>
      </c>
      <c r="BT208" s="24">
        <v>0</v>
      </c>
      <c r="BU208" s="24">
        <v>0</v>
      </c>
      <c r="BV208" s="24">
        <v>0</v>
      </c>
      <c r="BW208" s="24">
        <v>0</v>
      </c>
      <c r="BX208" s="24">
        <v>0</v>
      </c>
      <c r="BY208" s="24">
        <v>0</v>
      </c>
      <c r="BZ208" s="24">
        <v>0</v>
      </c>
      <c r="CA208" s="24">
        <v>0</v>
      </c>
      <c r="CB208" s="24">
        <v>0</v>
      </c>
      <c r="CC208" s="24">
        <v>0</v>
      </c>
      <c r="CD208" s="24">
        <f t="shared" si="447"/>
        <v>0</v>
      </c>
      <c r="CE208" s="24">
        <f t="shared" si="448"/>
        <v>0</v>
      </c>
      <c r="CF208" s="24">
        <f t="shared" si="449"/>
        <v>0</v>
      </c>
      <c r="CG208" s="24">
        <v>0</v>
      </c>
      <c r="CH208" s="24">
        <v>0</v>
      </c>
      <c r="CI208" s="24">
        <f t="shared" si="450"/>
        <v>0</v>
      </c>
      <c r="CJ208" s="24">
        <v>0</v>
      </c>
      <c r="CK208" s="24">
        <v>0</v>
      </c>
      <c r="CL208" s="24">
        <v>0</v>
      </c>
      <c r="CM208" s="24">
        <v>0</v>
      </c>
      <c r="CN208" s="24">
        <f t="shared" si="451"/>
        <v>0</v>
      </c>
      <c r="CO208" s="24">
        <v>0</v>
      </c>
      <c r="CP208" s="24">
        <v>0</v>
      </c>
      <c r="CQ208" s="24">
        <v>0</v>
      </c>
      <c r="CR208" s="24"/>
      <c r="CS208" s="24"/>
      <c r="CT208" s="24">
        <v>0</v>
      </c>
      <c r="CU208" s="24">
        <v>0</v>
      </c>
      <c r="CV208" s="24">
        <v>0</v>
      </c>
      <c r="CW208" s="24">
        <f t="shared" si="452"/>
        <v>0</v>
      </c>
      <c r="CX208" s="24">
        <f t="shared" si="453"/>
        <v>0</v>
      </c>
      <c r="CY208" s="24">
        <v>0</v>
      </c>
      <c r="CZ208" s="25">
        <v>0</v>
      </c>
    </row>
    <row r="209" spans="1:218" ht="31.2" x14ac:dyDescent="0.3">
      <c r="A209" s="26" t="s">
        <v>1</v>
      </c>
      <c r="B209" s="27" t="s">
        <v>1</v>
      </c>
      <c r="C209" s="41" t="s">
        <v>331</v>
      </c>
      <c r="D209" s="38" t="s">
        <v>435</v>
      </c>
      <c r="E209" s="23">
        <f t="shared" si="435"/>
        <v>177075</v>
      </c>
      <c r="F209" s="24">
        <f t="shared" si="436"/>
        <v>177075</v>
      </c>
      <c r="G209" s="24">
        <f t="shared" si="437"/>
        <v>177075</v>
      </c>
      <c r="H209" s="24">
        <v>0</v>
      </c>
      <c r="I209" s="24">
        <v>0</v>
      </c>
      <c r="J209" s="24">
        <f t="shared" si="438"/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f t="shared" si="439"/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f t="shared" si="440"/>
        <v>177075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9">
        <f>137075+40000</f>
        <v>177075</v>
      </c>
      <c r="AD209" s="24">
        <v>0</v>
      </c>
      <c r="AE209" s="24">
        <v>0</v>
      </c>
      <c r="AF209" s="24">
        <f t="shared" si="441"/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0</v>
      </c>
      <c r="AR209" s="24"/>
      <c r="AS209" s="24">
        <v>0</v>
      </c>
      <c r="AT209" s="24">
        <v>0</v>
      </c>
      <c r="AU209" s="24">
        <v>0</v>
      </c>
      <c r="AV209" s="24"/>
      <c r="AW209" s="24"/>
      <c r="AX209" s="24">
        <v>0</v>
      </c>
      <c r="AY209" s="24">
        <v>0</v>
      </c>
      <c r="AZ209" s="24">
        <v>0</v>
      </c>
      <c r="BA209" s="24">
        <v>0</v>
      </c>
      <c r="BB209" s="24"/>
      <c r="BC209" s="24">
        <v>0</v>
      </c>
      <c r="BD209" s="24">
        <f t="shared" si="442"/>
        <v>0</v>
      </c>
      <c r="BE209" s="24">
        <f t="shared" si="443"/>
        <v>0</v>
      </c>
      <c r="BF209" s="24">
        <v>0</v>
      </c>
      <c r="BG209" s="24">
        <v>0</v>
      </c>
      <c r="BH209" s="24">
        <v>0</v>
      </c>
      <c r="BI209" s="24">
        <f t="shared" si="444"/>
        <v>0</v>
      </c>
      <c r="BJ209" s="24">
        <v>0</v>
      </c>
      <c r="BK209" s="24">
        <v>0</v>
      </c>
      <c r="BL209" s="24">
        <v>0</v>
      </c>
      <c r="BM209" s="24">
        <v>0</v>
      </c>
      <c r="BN209" s="24">
        <v>0</v>
      </c>
      <c r="BO209" s="24">
        <f t="shared" si="445"/>
        <v>0</v>
      </c>
      <c r="BP209" s="24">
        <v>0</v>
      </c>
      <c r="BQ209" s="24">
        <v>0</v>
      </c>
      <c r="BR209" s="24">
        <f t="shared" si="446"/>
        <v>0</v>
      </c>
      <c r="BS209" s="24">
        <v>0</v>
      </c>
      <c r="BT209" s="24">
        <v>0</v>
      </c>
      <c r="BU209" s="24">
        <v>0</v>
      </c>
      <c r="BV209" s="24">
        <v>0</v>
      </c>
      <c r="BW209" s="24">
        <v>0</v>
      </c>
      <c r="BX209" s="24">
        <v>0</v>
      </c>
      <c r="BY209" s="24">
        <v>0</v>
      </c>
      <c r="BZ209" s="24">
        <v>0</v>
      </c>
      <c r="CA209" s="24">
        <v>0</v>
      </c>
      <c r="CB209" s="24">
        <v>0</v>
      </c>
      <c r="CC209" s="24">
        <v>0</v>
      </c>
      <c r="CD209" s="24">
        <f t="shared" si="447"/>
        <v>0</v>
      </c>
      <c r="CE209" s="24">
        <f t="shared" si="448"/>
        <v>0</v>
      </c>
      <c r="CF209" s="24">
        <f t="shared" si="449"/>
        <v>0</v>
      </c>
      <c r="CG209" s="24">
        <v>0</v>
      </c>
      <c r="CH209" s="24">
        <v>0</v>
      </c>
      <c r="CI209" s="24">
        <f t="shared" si="450"/>
        <v>0</v>
      </c>
      <c r="CJ209" s="24">
        <v>0</v>
      </c>
      <c r="CK209" s="24">
        <v>0</v>
      </c>
      <c r="CL209" s="24">
        <v>0</v>
      </c>
      <c r="CM209" s="24">
        <v>0</v>
      </c>
      <c r="CN209" s="24">
        <f t="shared" si="451"/>
        <v>0</v>
      </c>
      <c r="CO209" s="24">
        <v>0</v>
      </c>
      <c r="CP209" s="24">
        <v>0</v>
      </c>
      <c r="CQ209" s="24">
        <v>0</v>
      </c>
      <c r="CR209" s="24"/>
      <c r="CS209" s="24"/>
      <c r="CT209" s="24">
        <v>0</v>
      </c>
      <c r="CU209" s="24">
        <v>0</v>
      </c>
      <c r="CV209" s="24">
        <v>0</v>
      </c>
      <c r="CW209" s="24">
        <f t="shared" si="452"/>
        <v>0</v>
      </c>
      <c r="CX209" s="24">
        <f t="shared" si="453"/>
        <v>0</v>
      </c>
      <c r="CY209" s="24">
        <v>0</v>
      </c>
      <c r="CZ209" s="25">
        <v>0</v>
      </c>
    </row>
    <row r="210" spans="1:218" ht="15.6" x14ac:dyDescent="0.3">
      <c r="A210" s="26" t="s">
        <v>1</v>
      </c>
      <c r="B210" s="27" t="s">
        <v>1</v>
      </c>
      <c r="C210" s="41" t="s">
        <v>331</v>
      </c>
      <c r="D210" s="38" t="s">
        <v>436</v>
      </c>
      <c r="E210" s="23">
        <f t="shared" si="435"/>
        <v>516745</v>
      </c>
      <c r="F210" s="24">
        <f t="shared" si="436"/>
        <v>516745</v>
      </c>
      <c r="G210" s="24">
        <f t="shared" si="437"/>
        <v>516745</v>
      </c>
      <c r="H210" s="24">
        <v>0</v>
      </c>
      <c r="I210" s="24">
        <v>0</v>
      </c>
      <c r="J210" s="24">
        <f t="shared" si="438"/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f t="shared" si="439"/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f t="shared" si="440"/>
        <v>516745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9">
        <v>516745</v>
      </c>
      <c r="AD210" s="24">
        <v>0</v>
      </c>
      <c r="AE210" s="24">
        <v>0</v>
      </c>
      <c r="AF210" s="24">
        <f t="shared" si="441"/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0</v>
      </c>
      <c r="AQ210" s="24">
        <v>0</v>
      </c>
      <c r="AR210" s="24"/>
      <c r="AS210" s="24">
        <v>0</v>
      </c>
      <c r="AT210" s="24">
        <v>0</v>
      </c>
      <c r="AU210" s="24">
        <v>0</v>
      </c>
      <c r="AV210" s="24"/>
      <c r="AW210" s="24"/>
      <c r="AX210" s="24">
        <v>0</v>
      </c>
      <c r="AY210" s="24">
        <v>0</v>
      </c>
      <c r="AZ210" s="24">
        <v>0</v>
      </c>
      <c r="BA210" s="24">
        <v>0</v>
      </c>
      <c r="BB210" s="24"/>
      <c r="BC210" s="24">
        <v>0</v>
      </c>
      <c r="BD210" s="24">
        <f t="shared" si="442"/>
        <v>0</v>
      </c>
      <c r="BE210" s="24">
        <f t="shared" si="443"/>
        <v>0</v>
      </c>
      <c r="BF210" s="24">
        <v>0</v>
      </c>
      <c r="BG210" s="24">
        <v>0</v>
      </c>
      <c r="BH210" s="24">
        <v>0</v>
      </c>
      <c r="BI210" s="24">
        <f t="shared" si="444"/>
        <v>0</v>
      </c>
      <c r="BJ210" s="24">
        <v>0</v>
      </c>
      <c r="BK210" s="24">
        <v>0</v>
      </c>
      <c r="BL210" s="24">
        <v>0</v>
      </c>
      <c r="BM210" s="24">
        <v>0</v>
      </c>
      <c r="BN210" s="24">
        <v>0</v>
      </c>
      <c r="BO210" s="24">
        <f t="shared" si="445"/>
        <v>0</v>
      </c>
      <c r="BP210" s="24">
        <v>0</v>
      </c>
      <c r="BQ210" s="24">
        <v>0</v>
      </c>
      <c r="BR210" s="24">
        <f t="shared" si="446"/>
        <v>0</v>
      </c>
      <c r="BS210" s="24">
        <v>0</v>
      </c>
      <c r="BT210" s="24">
        <v>0</v>
      </c>
      <c r="BU210" s="24">
        <v>0</v>
      </c>
      <c r="BV210" s="24">
        <v>0</v>
      </c>
      <c r="BW210" s="24">
        <v>0</v>
      </c>
      <c r="BX210" s="24">
        <v>0</v>
      </c>
      <c r="BY210" s="24">
        <v>0</v>
      </c>
      <c r="BZ210" s="24">
        <v>0</v>
      </c>
      <c r="CA210" s="24">
        <v>0</v>
      </c>
      <c r="CB210" s="24">
        <v>0</v>
      </c>
      <c r="CC210" s="24">
        <v>0</v>
      </c>
      <c r="CD210" s="24">
        <f t="shared" si="447"/>
        <v>0</v>
      </c>
      <c r="CE210" s="24">
        <f t="shared" si="448"/>
        <v>0</v>
      </c>
      <c r="CF210" s="24">
        <f t="shared" si="449"/>
        <v>0</v>
      </c>
      <c r="CG210" s="24">
        <v>0</v>
      </c>
      <c r="CH210" s="24">
        <v>0</v>
      </c>
      <c r="CI210" s="24">
        <f t="shared" si="450"/>
        <v>0</v>
      </c>
      <c r="CJ210" s="24">
        <v>0</v>
      </c>
      <c r="CK210" s="24">
        <v>0</v>
      </c>
      <c r="CL210" s="24">
        <v>0</v>
      </c>
      <c r="CM210" s="24">
        <v>0</v>
      </c>
      <c r="CN210" s="24">
        <f t="shared" si="451"/>
        <v>0</v>
      </c>
      <c r="CO210" s="24">
        <v>0</v>
      </c>
      <c r="CP210" s="24">
        <v>0</v>
      </c>
      <c r="CQ210" s="24">
        <v>0</v>
      </c>
      <c r="CR210" s="24"/>
      <c r="CS210" s="24"/>
      <c r="CT210" s="24">
        <v>0</v>
      </c>
      <c r="CU210" s="24">
        <v>0</v>
      </c>
      <c r="CV210" s="24">
        <v>0</v>
      </c>
      <c r="CW210" s="24">
        <f t="shared" si="452"/>
        <v>0</v>
      </c>
      <c r="CX210" s="24">
        <f t="shared" si="453"/>
        <v>0</v>
      </c>
      <c r="CY210" s="24">
        <v>0</v>
      </c>
      <c r="CZ210" s="25">
        <v>0</v>
      </c>
    </row>
    <row r="211" spans="1:218" ht="15.6" x14ac:dyDescent="0.3">
      <c r="A211" s="26" t="s">
        <v>1</v>
      </c>
      <c r="B211" s="27" t="s">
        <v>1</v>
      </c>
      <c r="C211" s="41" t="s">
        <v>331</v>
      </c>
      <c r="D211" s="38" t="s">
        <v>437</v>
      </c>
      <c r="E211" s="23">
        <f t="shared" si="435"/>
        <v>106778</v>
      </c>
      <c r="F211" s="24">
        <f t="shared" si="436"/>
        <v>106778</v>
      </c>
      <c r="G211" s="24">
        <f t="shared" si="437"/>
        <v>106778</v>
      </c>
      <c r="H211" s="24">
        <v>0</v>
      </c>
      <c r="I211" s="24">
        <v>0</v>
      </c>
      <c r="J211" s="24">
        <f t="shared" si="438"/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f t="shared" si="439"/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f t="shared" si="440"/>
        <v>106778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9">
        <f>91678+15100</f>
        <v>106778</v>
      </c>
      <c r="AD211" s="24">
        <v>0</v>
      </c>
      <c r="AE211" s="24">
        <v>0</v>
      </c>
      <c r="AF211" s="24">
        <f t="shared" si="441"/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0</v>
      </c>
      <c r="AQ211" s="24">
        <v>0</v>
      </c>
      <c r="AR211" s="24"/>
      <c r="AS211" s="24">
        <v>0</v>
      </c>
      <c r="AT211" s="24">
        <v>0</v>
      </c>
      <c r="AU211" s="24">
        <v>0</v>
      </c>
      <c r="AV211" s="24"/>
      <c r="AW211" s="24"/>
      <c r="AX211" s="24">
        <v>0</v>
      </c>
      <c r="AY211" s="24">
        <v>0</v>
      </c>
      <c r="AZ211" s="24">
        <v>0</v>
      </c>
      <c r="BA211" s="24">
        <v>0</v>
      </c>
      <c r="BB211" s="24"/>
      <c r="BC211" s="24">
        <v>0</v>
      </c>
      <c r="BD211" s="24">
        <f t="shared" si="442"/>
        <v>0</v>
      </c>
      <c r="BE211" s="24">
        <f t="shared" si="443"/>
        <v>0</v>
      </c>
      <c r="BF211" s="24">
        <v>0</v>
      </c>
      <c r="BG211" s="24">
        <v>0</v>
      </c>
      <c r="BH211" s="24">
        <v>0</v>
      </c>
      <c r="BI211" s="24">
        <f t="shared" si="444"/>
        <v>0</v>
      </c>
      <c r="BJ211" s="24">
        <v>0</v>
      </c>
      <c r="BK211" s="24">
        <v>0</v>
      </c>
      <c r="BL211" s="24">
        <v>0</v>
      </c>
      <c r="BM211" s="24">
        <v>0</v>
      </c>
      <c r="BN211" s="24">
        <v>0</v>
      </c>
      <c r="BO211" s="24">
        <f t="shared" si="445"/>
        <v>0</v>
      </c>
      <c r="BP211" s="24">
        <v>0</v>
      </c>
      <c r="BQ211" s="24">
        <v>0</v>
      </c>
      <c r="BR211" s="24">
        <f t="shared" si="446"/>
        <v>0</v>
      </c>
      <c r="BS211" s="24">
        <v>0</v>
      </c>
      <c r="BT211" s="24">
        <v>0</v>
      </c>
      <c r="BU211" s="24">
        <v>0</v>
      </c>
      <c r="BV211" s="24">
        <v>0</v>
      </c>
      <c r="BW211" s="24">
        <v>0</v>
      </c>
      <c r="BX211" s="24">
        <v>0</v>
      </c>
      <c r="BY211" s="24">
        <v>0</v>
      </c>
      <c r="BZ211" s="24">
        <v>0</v>
      </c>
      <c r="CA211" s="24">
        <v>0</v>
      </c>
      <c r="CB211" s="24">
        <v>0</v>
      </c>
      <c r="CC211" s="24">
        <v>0</v>
      </c>
      <c r="CD211" s="24">
        <f t="shared" si="447"/>
        <v>0</v>
      </c>
      <c r="CE211" s="24">
        <f t="shared" si="448"/>
        <v>0</v>
      </c>
      <c r="CF211" s="24">
        <f t="shared" si="449"/>
        <v>0</v>
      </c>
      <c r="CG211" s="24">
        <v>0</v>
      </c>
      <c r="CH211" s="24">
        <v>0</v>
      </c>
      <c r="CI211" s="24">
        <f t="shared" si="450"/>
        <v>0</v>
      </c>
      <c r="CJ211" s="24">
        <v>0</v>
      </c>
      <c r="CK211" s="24">
        <v>0</v>
      </c>
      <c r="CL211" s="24">
        <v>0</v>
      </c>
      <c r="CM211" s="24">
        <v>0</v>
      </c>
      <c r="CN211" s="24">
        <f t="shared" si="451"/>
        <v>0</v>
      </c>
      <c r="CO211" s="24">
        <v>0</v>
      </c>
      <c r="CP211" s="24">
        <v>0</v>
      </c>
      <c r="CQ211" s="24">
        <v>0</v>
      </c>
      <c r="CR211" s="24"/>
      <c r="CS211" s="24"/>
      <c r="CT211" s="24">
        <v>0</v>
      </c>
      <c r="CU211" s="24">
        <v>0</v>
      </c>
      <c r="CV211" s="24">
        <v>0</v>
      </c>
      <c r="CW211" s="24">
        <f t="shared" si="452"/>
        <v>0</v>
      </c>
      <c r="CX211" s="24">
        <f t="shared" si="453"/>
        <v>0</v>
      </c>
      <c r="CY211" s="24">
        <v>0</v>
      </c>
      <c r="CZ211" s="25">
        <v>0</v>
      </c>
    </row>
    <row r="212" spans="1:218" ht="15.6" x14ac:dyDescent="0.3">
      <c r="A212" s="26" t="s">
        <v>1</v>
      </c>
      <c r="B212" s="27" t="s">
        <v>1</v>
      </c>
      <c r="C212" s="41" t="s">
        <v>331</v>
      </c>
      <c r="D212" s="38" t="s">
        <v>438</v>
      </c>
      <c r="E212" s="23">
        <f t="shared" si="435"/>
        <v>933682</v>
      </c>
      <c r="F212" s="24">
        <f t="shared" si="436"/>
        <v>933682</v>
      </c>
      <c r="G212" s="24">
        <f t="shared" si="437"/>
        <v>933682</v>
      </c>
      <c r="H212" s="24">
        <v>0</v>
      </c>
      <c r="I212" s="24">
        <v>0</v>
      </c>
      <c r="J212" s="24">
        <f t="shared" si="438"/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f t="shared" si="439"/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f t="shared" si="440"/>
        <v>933682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9">
        <v>933682</v>
      </c>
      <c r="AD212" s="24">
        <v>0</v>
      </c>
      <c r="AE212" s="24">
        <v>0</v>
      </c>
      <c r="AF212" s="24">
        <f t="shared" si="441"/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0</v>
      </c>
      <c r="AQ212" s="24">
        <v>0</v>
      </c>
      <c r="AR212" s="24"/>
      <c r="AS212" s="24">
        <v>0</v>
      </c>
      <c r="AT212" s="24">
        <v>0</v>
      </c>
      <c r="AU212" s="24">
        <v>0</v>
      </c>
      <c r="AV212" s="24"/>
      <c r="AW212" s="24"/>
      <c r="AX212" s="24">
        <v>0</v>
      </c>
      <c r="AY212" s="24">
        <v>0</v>
      </c>
      <c r="AZ212" s="24">
        <v>0</v>
      </c>
      <c r="BA212" s="24">
        <v>0</v>
      </c>
      <c r="BB212" s="24"/>
      <c r="BC212" s="24">
        <v>0</v>
      </c>
      <c r="BD212" s="24">
        <f t="shared" si="442"/>
        <v>0</v>
      </c>
      <c r="BE212" s="24">
        <f t="shared" si="443"/>
        <v>0</v>
      </c>
      <c r="BF212" s="24">
        <v>0</v>
      </c>
      <c r="BG212" s="24">
        <v>0</v>
      </c>
      <c r="BH212" s="24">
        <v>0</v>
      </c>
      <c r="BI212" s="24">
        <f t="shared" si="444"/>
        <v>0</v>
      </c>
      <c r="BJ212" s="24">
        <v>0</v>
      </c>
      <c r="BK212" s="24">
        <v>0</v>
      </c>
      <c r="BL212" s="24">
        <v>0</v>
      </c>
      <c r="BM212" s="24">
        <v>0</v>
      </c>
      <c r="BN212" s="24">
        <v>0</v>
      </c>
      <c r="BO212" s="24">
        <f t="shared" si="445"/>
        <v>0</v>
      </c>
      <c r="BP212" s="24">
        <v>0</v>
      </c>
      <c r="BQ212" s="24">
        <v>0</v>
      </c>
      <c r="BR212" s="24">
        <f t="shared" si="446"/>
        <v>0</v>
      </c>
      <c r="BS212" s="24">
        <v>0</v>
      </c>
      <c r="BT212" s="24">
        <v>0</v>
      </c>
      <c r="BU212" s="24">
        <v>0</v>
      </c>
      <c r="BV212" s="24">
        <v>0</v>
      </c>
      <c r="BW212" s="24">
        <v>0</v>
      </c>
      <c r="BX212" s="24">
        <v>0</v>
      </c>
      <c r="BY212" s="24">
        <v>0</v>
      </c>
      <c r="BZ212" s="24">
        <v>0</v>
      </c>
      <c r="CA212" s="24">
        <v>0</v>
      </c>
      <c r="CB212" s="24">
        <v>0</v>
      </c>
      <c r="CC212" s="24">
        <v>0</v>
      </c>
      <c r="CD212" s="24">
        <f t="shared" si="447"/>
        <v>0</v>
      </c>
      <c r="CE212" s="24">
        <f t="shared" si="448"/>
        <v>0</v>
      </c>
      <c r="CF212" s="24">
        <f t="shared" si="449"/>
        <v>0</v>
      </c>
      <c r="CG212" s="24">
        <v>0</v>
      </c>
      <c r="CH212" s="24">
        <v>0</v>
      </c>
      <c r="CI212" s="24">
        <f t="shared" si="450"/>
        <v>0</v>
      </c>
      <c r="CJ212" s="24">
        <v>0</v>
      </c>
      <c r="CK212" s="24">
        <v>0</v>
      </c>
      <c r="CL212" s="24">
        <v>0</v>
      </c>
      <c r="CM212" s="24">
        <v>0</v>
      </c>
      <c r="CN212" s="24">
        <f t="shared" si="451"/>
        <v>0</v>
      </c>
      <c r="CO212" s="24">
        <v>0</v>
      </c>
      <c r="CP212" s="24">
        <v>0</v>
      </c>
      <c r="CQ212" s="24">
        <v>0</v>
      </c>
      <c r="CR212" s="24"/>
      <c r="CS212" s="24"/>
      <c r="CT212" s="24">
        <v>0</v>
      </c>
      <c r="CU212" s="24">
        <v>0</v>
      </c>
      <c r="CV212" s="24">
        <v>0</v>
      </c>
      <c r="CW212" s="24">
        <f t="shared" si="452"/>
        <v>0</v>
      </c>
      <c r="CX212" s="24">
        <f t="shared" si="453"/>
        <v>0</v>
      </c>
      <c r="CY212" s="24">
        <v>0</v>
      </c>
      <c r="CZ212" s="25">
        <v>0</v>
      </c>
    </row>
    <row r="213" spans="1:218" ht="15.6" x14ac:dyDescent="0.3">
      <c r="A213" s="26" t="s">
        <v>1</v>
      </c>
      <c r="B213" s="27" t="s">
        <v>1</v>
      </c>
      <c r="C213" s="41" t="s">
        <v>331</v>
      </c>
      <c r="D213" s="38" t="s">
        <v>439</v>
      </c>
      <c r="E213" s="23">
        <f t="shared" si="435"/>
        <v>542548</v>
      </c>
      <c r="F213" s="24">
        <f t="shared" si="436"/>
        <v>542548</v>
      </c>
      <c r="G213" s="24">
        <f t="shared" si="437"/>
        <v>542548</v>
      </c>
      <c r="H213" s="24">
        <v>0</v>
      </c>
      <c r="I213" s="24">
        <v>0</v>
      </c>
      <c r="J213" s="24">
        <f t="shared" si="438"/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f t="shared" si="439"/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f t="shared" si="440"/>
        <v>542548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9">
        <f>484674+57874</f>
        <v>542548</v>
      </c>
      <c r="AD213" s="24">
        <v>0</v>
      </c>
      <c r="AE213" s="24">
        <v>0</v>
      </c>
      <c r="AF213" s="24">
        <f t="shared" si="441"/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/>
      <c r="AS213" s="24">
        <v>0</v>
      </c>
      <c r="AT213" s="24">
        <v>0</v>
      </c>
      <c r="AU213" s="24">
        <v>0</v>
      </c>
      <c r="AV213" s="24"/>
      <c r="AW213" s="24"/>
      <c r="AX213" s="24">
        <v>0</v>
      </c>
      <c r="AY213" s="24">
        <v>0</v>
      </c>
      <c r="AZ213" s="24">
        <v>0</v>
      </c>
      <c r="BA213" s="24">
        <v>0</v>
      </c>
      <c r="BB213" s="24"/>
      <c r="BC213" s="24">
        <v>0</v>
      </c>
      <c r="BD213" s="24">
        <f t="shared" si="442"/>
        <v>0</v>
      </c>
      <c r="BE213" s="24">
        <f t="shared" si="443"/>
        <v>0</v>
      </c>
      <c r="BF213" s="24">
        <v>0</v>
      </c>
      <c r="BG213" s="24">
        <v>0</v>
      </c>
      <c r="BH213" s="24">
        <v>0</v>
      </c>
      <c r="BI213" s="24">
        <f t="shared" si="444"/>
        <v>0</v>
      </c>
      <c r="BJ213" s="24">
        <v>0</v>
      </c>
      <c r="BK213" s="24">
        <v>0</v>
      </c>
      <c r="BL213" s="24">
        <v>0</v>
      </c>
      <c r="BM213" s="24">
        <v>0</v>
      </c>
      <c r="BN213" s="24">
        <v>0</v>
      </c>
      <c r="BO213" s="24">
        <f t="shared" si="445"/>
        <v>0</v>
      </c>
      <c r="BP213" s="24">
        <v>0</v>
      </c>
      <c r="BQ213" s="24">
        <v>0</v>
      </c>
      <c r="BR213" s="24">
        <f t="shared" si="446"/>
        <v>0</v>
      </c>
      <c r="BS213" s="24">
        <v>0</v>
      </c>
      <c r="BT213" s="24">
        <v>0</v>
      </c>
      <c r="BU213" s="24">
        <v>0</v>
      </c>
      <c r="BV213" s="24">
        <v>0</v>
      </c>
      <c r="BW213" s="24">
        <v>0</v>
      </c>
      <c r="BX213" s="24">
        <v>0</v>
      </c>
      <c r="BY213" s="24">
        <v>0</v>
      </c>
      <c r="BZ213" s="24">
        <v>0</v>
      </c>
      <c r="CA213" s="24">
        <v>0</v>
      </c>
      <c r="CB213" s="24">
        <v>0</v>
      </c>
      <c r="CC213" s="24">
        <v>0</v>
      </c>
      <c r="CD213" s="24">
        <f t="shared" si="447"/>
        <v>0</v>
      </c>
      <c r="CE213" s="24">
        <f t="shared" si="448"/>
        <v>0</v>
      </c>
      <c r="CF213" s="24">
        <f t="shared" si="449"/>
        <v>0</v>
      </c>
      <c r="CG213" s="24">
        <v>0</v>
      </c>
      <c r="CH213" s="24">
        <v>0</v>
      </c>
      <c r="CI213" s="24">
        <f t="shared" si="450"/>
        <v>0</v>
      </c>
      <c r="CJ213" s="24">
        <v>0</v>
      </c>
      <c r="CK213" s="24">
        <v>0</v>
      </c>
      <c r="CL213" s="24">
        <v>0</v>
      </c>
      <c r="CM213" s="24">
        <v>0</v>
      </c>
      <c r="CN213" s="24">
        <f t="shared" si="451"/>
        <v>0</v>
      </c>
      <c r="CO213" s="24">
        <v>0</v>
      </c>
      <c r="CP213" s="24">
        <v>0</v>
      </c>
      <c r="CQ213" s="24">
        <v>0</v>
      </c>
      <c r="CR213" s="24"/>
      <c r="CS213" s="24"/>
      <c r="CT213" s="24">
        <v>0</v>
      </c>
      <c r="CU213" s="24">
        <v>0</v>
      </c>
      <c r="CV213" s="24">
        <v>0</v>
      </c>
      <c r="CW213" s="24">
        <f t="shared" si="452"/>
        <v>0</v>
      </c>
      <c r="CX213" s="24">
        <f t="shared" si="453"/>
        <v>0</v>
      </c>
      <c r="CY213" s="24">
        <v>0</v>
      </c>
      <c r="CZ213" s="25">
        <v>0</v>
      </c>
    </row>
    <row r="214" spans="1:218" ht="15.6" x14ac:dyDescent="0.3">
      <c r="A214" s="26"/>
      <c r="B214" s="27"/>
      <c r="C214" s="41" t="s">
        <v>331</v>
      </c>
      <c r="D214" s="38" t="s">
        <v>440</v>
      </c>
      <c r="E214" s="23">
        <f t="shared" si="435"/>
        <v>3426758</v>
      </c>
      <c r="F214" s="24">
        <f t="shared" si="436"/>
        <v>3426758</v>
      </c>
      <c r="G214" s="24">
        <f t="shared" ref="G214" si="454">SUM(H214+I214+J214+Q214+T214+U214+V214+AF214+AE214)</f>
        <v>3426758</v>
      </c>
      <c r="H214" s="24">
        <v>0</v>
      </c>
      <c r="I214" s="24">
        <v>0</v>
      </c>
      <c r="J214" s="24">
        <f t="shared" ref="J214" si="455">SUM(K214:P214)</f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f t="shared" ref="Q214" si="456">SUM(R214:S214)</f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f t="shared" ref="V214" si="457">SUM(W214:AD214)</f>
        <v>3426758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9">
        <v>3426758</v>
      </c>
      <c r="AD214" s="24">
        <v>0</v>
      </c>
      <c r="AE214" s="24">
        <v>0</v>
      </c>
      <c r="AF214" s="24">
        <f t="shared" si="441"/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0</v>
      </c>
      <c r="AQ214" s="24">
        <v>0</v>
      </c>
      <c r="AR214" s="24"/>
      <c r="AS214" s="24">
        <v>0</v>
      </c>
      <c r="AT214" s="24">
        <v>0</v>
      </c>
      <c r="AU214" s="24">
        <v>0</v>
      </c>
      <c r="AV214" s="24"/>
      <c r="AW214" s="24"/>
      <c r="AX214" s="24">
        <v>0</v>
      </c>
      <c r="AY214" s="24">
        <v>0</v>
      </c>
      <c r="AZ214" s="24">
        <v>0</v>
      </c>
      <c r="BA214" s="24">
        <v>0</v>
      </c>
      <c r="BB214" s="24"/>
      <c r="BC214" s="24">
        <v>0</v>
      </c>
      <c r="BD214" s="24">
        <f t="shared" si="442"/>
        <v>0</v>
      </c>
      <c r="BE214" s="24">
        <f t="shared" ref="BE214" si="458">SUM(BF214:BH214)</f>
        <v>0</v>
      </c>
      <c r="BF214" s="24">
        <v>0</v>
      </c>
      <c r="BG214" s="24">
        <v>0</v>
      </c>
      <c r="BH214" s="24">
        <v>0</v>
      </c>
      <c r="BI214" s="24">
        <f t="shared" si="444"/>
        <v>0</v>
      </c>
      <c r="BJ214" s="24">
        <v>0</v>
      </c>
      <c r="BK214" s="24">
        <v>0</v>
      </c>
      <c r="BL214" s="24">
        <v>0</v>
      </c>
      <c r="BM214" s="24">
        <v>0</v>
      </c>
      <c r="BN214" s="24">
        <v>0</v>
      </c>
      <c r="BO214" s="24">
        <f t="shared" ref="BO214" si="459">SUM(BP214)</f>
        <v>0</v>
      </c>
      <c r="BP214" s="24">
        <v>0</v>
      </c>
      <c r="BQ214" s="24">
        <v>0</v>
      </c>
      <c r="BR214" s="24">
        <f t="shared" si="446"/>
        <v>0</v>
      </c>
      <c r="BS214" s="24">
        <v>0</v>
      </c>
      <c r="BT214" s="24">
        <v>0</v>
      </c>
      <c r="BU214" s="24">
        <v>0</v>
      </c>
      <c r="BV214" s="24">
        <v>0</v>
      </c>
      <c r="BW214" s="24">
        <v>0</v>
      </c>
      <c r="BX214" s="24">
        <v>0</v>
      </c>
      <c r="BY214" s="24">
        <v>0</v>
      </c>
      <c r="BZ214" s="24">
        <v>0</v>
      </c>
      <c r="CA214" s="24">
        <v>0</v>
      </c>
      <c r="CB214" s="24">
        <v>0</v>
      </c>
      <c r="CC214" s="24">
        <v>0</v>
      </c>
      <c r="CD214" s="24">
        <f t="shared" si="447"/>
        <v>0</v>
      </c>
      <c r="CE214" s="24">
        <f t="shared" si="448"/>
        <v>0</v>
      </c>
      <c r="CF214" s="24">
        <f t="shared" ref="CF214" si="460">SUM(CG214:CH214)</f>
        <v>0</v>
      </c>
      <c r="CG214" s="24">
        <v>0</v>
      </c>
      <c r="CH214" s="24">
        <v>0</v>
      </c>
      <c r="CI214" s="24">
        <f t="shared" si="450"/>
        <v>0</v>
      </c>
      <c r="CJ214" s="24">
        <v>0</v>
      </c>
      <c r="CK214" s="24">
        <v>0</v>
      </c>
      <c r="CL214" s="24">
        <v>0</v>
      </c>
      <c r="CM214" s="24">
        <v>0</v>
      </c>
      <c r="CN214" s="24">
        <f t="shared" si="451"/>
        <v>0</v>
      </c>
      <c r="CO214" s="24">
        <v>0</v>
      </c>
      <c r="CP214" s="24">
        <v>0</v>
      </c>
      <c r="CQ214" s="24">
        <v>0</v>
      </c>
      <c r="CR214" s="24"/>
      <c r="CS214" s="24"/>
      <c r="CT214" s="24">
        <v>0</v>
      </c>
      <c r="CU214" s="24">
        <v>0</v>
      </c>
      <c r="CV214" s="24">
        <v>0</v>
      </c>
      <c r="CW214" s="24">
        <f t="shared" ref="CW214" si="461">SUM(CX214)</f>
        <v>0</v>
      </c>
      <c r="CX214" s="24">
        <f t="shared" ref="CX214" si="462">SUM(CY214:CZ214)</f>
        <v>0</v>
      </c>
      <c r="CY214" s="24">
        <v>0</v>
      </c>
      <c r="CZ214" s="25">
        <v>0</v>
      </c>
    </row>
    <row r="215" spans="1:218" ht="46.8" x14ac:dyDescent="0.3">
      <c r="A215" s="26" t="s">
        <v>1</v>
      </c>
      <c r="B215" s="27" t="s">
        <v>1</v>
      </c>
      <c r="C215" s="40" t="s">
        <v>106</v>
      </c>
      <c r="D215" s="39" t="s">
        <v>589</v>
      </c>
      <c r="E215" s="23">
        <f t="shared" si="435"/>
        <v>1415574</v>
      </c>
      <c r="F215" s="24">
        <f t="shared" si="436"/>
        <v>1415574</v>
      </c>
      <c r="G215" s="24">
        <f t="shared" si="437"/>
        <v>1415574</v>
      </c>
      <c r="H215" s="24">
        <v>0</v>
      </c>
      <c r="I215" s="24">
        <v>0</v>
      </c>
      <c r="J215" s="24">
        <f t="shared" si="438"/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f t="shared" si="439"/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f t="shared" si="440"/>
        <v>1415574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9">
        <f>1775076-359502</f>
        <v>1415574</v>
      </c>
      <c r="AD215" s="24">
        <v>0</v>
      </c>
      <c r="AE215" s="24">
        <v>0</v>
      </c>
      <c r="AF215" s="24">
        <f t="shared" si="441"/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/>
      <c r="AS215" s="24">
        <v>0</v>
      </c>
      <c r="AT215" s="24">
        <v>0</v>
      </c>
      <c r="AU215" s="24">
        <v>0</v>
      </c>
      <c r="AV215" s="24"/>
      <c r="AW215" s="24"/>
      <c r="AX215" s="24">
        <v>0</v>
      </c>
      <c r="AY215" s="24">
        <v>0</v>
      </c>
      <c r="AZ215" s="24">
        <v>0</v>
      </c>
      <c r="BA215" s="24">
        <v>0</v>
      </c>
      <c r="BB215" s="24"/>
      <c r="BC215" s="24">
        <v>0</v>
      </c>
      <c r="BD215" s="24">
        <f t="shared" si="442"/>
        <v>0</v>
      </c>
      <c r="BE215" s="24">
        <f t="shared" si="443"/>
        <v>0</v>
      </c>
      <c r="BF215" s="24">
        <v>0</v>
      </c>
      <c r="BG215" s="24">
        <v>0</v>
      </c>
      <c r="BH215" s="24">
        <v>0</v>
      </c>
      <c r="BI215" s="24">
        <f t="shared" si="444"/>
        <v>0</v>
      </c>
      <c r="BJ215" s="24">
        <v>0</v>
      </c>
      <c r="BK215" s="24">
        <v>0</v>
      </c>
      <c r="BL215" s="24">
        <v>0</v>
      </c>
      <c r="BM215" s="24">
        <v>0</v>
      </c>
      <c r="BN215" s="24">
        <v>0</v>
      </c>
      <c r="BO215" s="24">
        <f t="shared" si="445"/>
        <v>0</v>
      </c>
      <c r="BP215" s="24">
        <v>0</v>
      </c>
      <c r="BQ215" s="24">
        <v>0</v>
      </c>
      <c r="BR215" s="24">
        <f t="shared" si="446"/>
        <v>0</v>
      </c>
      <c r="BS215" s="24">
        <v>0</v>
      </c>
      <c r="BT215" s="24">
        <v>0</v>
      </c>
      <c r="BU215" s="24">
        <v>0</v>
      </c>
      <c r="BV215" s="24">
        <v>0</v>
      </c>
      <c r="BW215" s="24">
        <v>0</v>
      </c>
      <c r="BX215" s="24">
        <v>0</v>
      </c>
      <c r="BY215" s="24">
        <v>0</v>
      </c>
      <c r="BZ215" s="24">
        <v>0</v>
      </c>
      <c r="CA215" s="24">
        <v>0</v>
      </c>
      <c r="CB215" s="24">
        <v>0</v>
      </c>
      <c r="CC215" s="24">
        <v>0</v>
      </c>
      <c r="CD215" s="24">
        <f t="shared" si="447"/>
        <v>0</v>
      </c>
      <c r="CE215" s="24">
        <f t="shared" si="448"/>
        <v>0</v>
      </c>
      <c r="CF215" s="24">
        <f t="shared" si="449"/>
        <v>0</v>
      </c>
      <c r="CG215" s="24">
        <v>0</v>
      </c>
      <c r="CH215" s="24">
        <v>0</v>
      </c>
      <c r="CI215" s="24">
        <f t="shared" si="450"/>
        <v>0</v>
      </c>
      <c r="CJ215" s="24">
        <v>0</v>
      </c>
      <c r="CK215" s="24">
        <v>0</v>
      </c>
      <c r="CL215" s="24">
        <v>0</v>
      </c>
      <c r="CM215" s="24">
        <v>0</v>
      </c>
      <c r="CN215" s="24">
        <f t="shared" si="451"/>
        <v>0</v>
      </c>
      <c r="CO215" s="24">
        <v>0</v>
      </c>
      <c r="CP215" s="24">
        <v>0</v>
      </c>
      <c r="CQ215" s="24">
        <v>0</v>
      </c>
      <c r="CR215" s="24"/>
      <c r="CS215" s="24"/>
      <c r="CT215" s="24">
        <v>0</v>
      </c>
      <c r="CU215" s="24">
        <v>0</v>
      </c>
      <c r="CV215" s="24">
        <v>0</v>
      </c>
      <c r="CW215" s="24">
        <f t="shared" si="452"/>
        <v>0</v>
      </c>
      <c r="CX215" s="24">
        <f t="shared" si="453"/>
        <v>0</v>
      </c>
      <c r="CY215" s="24">
        <v>0</v>
      </c>
      <c r="CZ215" s="25">
        <v>0</v>
      </c>
    </row>
    <row r="216" spans="1:218" ht="31.2" x14ac:dyDescent="0.3">
      <c r="A216" s="31" t="s">
        <v>332</v>
      </c>
      <c r="B216" s="32" t="s">
        <v>1</v>
      </c>
      <c r="C216" s="32" t="s">
        <v>1</v>
      </c>
      <c r="D216" s="33" t="s">
        <v>333</v>
      </c>
      <c r="E216" s="34">
        <f>SUM(E217)</f>
        <v>4509006</v>
      </c>
      <c r="F216" s="35">
        <f t="shared" ref="F216:BX220" si="463">SUM(F217)</f>
        <v>0</v>
      </c>
      <c r="G216" s="35">
        <f t="shared" si="463"/>
        <v>0</v>
      </c>
      <c r="H216" s="35">
        <f t="shared" si="463"/>
        <v>0</v>
      </c>
      <c r="I216" s="35">
        <f t="shared" si="463"/>
        <v>0</v>
      </c>
      <c r="J216" s="35">
        <f t="shared" si="463"/>
        <v>0</v>
      </c>
      <c r="K216" s="35">
        <f t="shared" si="463"/>
        <v>0</v>
      </c>
      <c r="L216" s="35">
        <f t="shared" si="463"/>
        <v>0</v>
      </c>
      <c r="M216" s="35">
        <f t="shared" si="463"/>
        <v>0</v>
      </c>
      <c r="N216" s="35">
        <f t="shared" si="463"/>
        <v>0</v>
      </c>
      <c r="O216" s="35">
        <f t="shared" si="463"/>
        <v>0</v>
      </c>
      <c r="P216" s="35">
        <f t="shared" si="463"/>
        <v>0</v>
      </c>
      <c r="Q216" s="35">
        <f t="shared" si="463"/>
        <v>0</v>
      </c>
      <c r="R216" s="35">
        <f t="shared" si="463"/>
        <v>0</v>
      </c>
      <c r="S216" s="35">
        <f t="shared" si="463"/>
        <v>0</v>
      </c>
      <c r="T216" s="35">
        <f t="shared" si="463"/>
        <v>0</v>
      </c>
      <c r="U216" s="35">
        <f t="shared" si="463"/>
        <v>0</v>
      </c>
      <c r="V216" s="35">
        <f t="shared" si="463"/>
        <v>0</v>
      </c>
      <c r="W216" s="35">
        <f t="shared" si="463"/>
        <v>0</v>
      </c>
      <c r="X216" s="35">
        <f t="shared" si="463"/>
        <v>0</v>
      </c>
      <c r="Y216" s="35">
        <f t="shared" si="463"/>
        <v>0</v>
      </c>
      <c r="Z216" s="35">
        <f t="shared" si="463"/>
        <v>0</v>
      </c>
      <c r="AA216" s="35">
        <f t="shared" si="463"/>
        <v>0</v>
      </c>
      <c r="AB216" s="35">
        <f t="shared" si="463"/>
        <v>0</v>
      </c>
      <c r="AC216" s="35">
        <f t="shared" si="463"/>
        <v>0</v>
      </c>
      <c r="AD216" s="35">
        <f t="shared" si="463"/>
        <v>0</v>
      </c>
      <c r="AE216" s="35">
        <f t="shared" si="463"/>
        <v>0</v>
      </c>
      <c r="AF216" s="35">
        <f t="shared" si="463"/>
        <v>0</v>
      </c>
      <c r="AG216" s="35">
        <f t="shared" si="463"/>
        <v>0</v>
      </c>
      <c r="AH216" s="35">
        <f t="shared" si="463"/>
        <v>0</v>
      </c>
      <c r="AI216" s="35">
        <f t="shared" si="463"/>
        <v>0</v>
      </c>
      <c r="AJ216" s="35">
        <f t="shared" si="463"/>
        <v>0</v>
      </c>
      <c r="AK216" s="35">
        <f t="shared" si="463"/>
        <v>0</v>
      </c>
      <c r="AL216" s="35">
        <f t="shared" si="463"/>
        <v>0</v>
      </c>
      <c r="AM216" s="35">
        <f t="shared" si="463"/>
        <v>0</v>
      </c>
      <c r="AN216" s="35">
        <f t="shared" si="463"/>
        <v>0</v>
      </c>
      <c r="AO216" s="35">
        <f t="shared" si="463"/>
        <v>0</v>
      </c>
      <c r="AP216" s="35">
        <f t="shared" si="463"/>
        <v>0</v>
      </c>
      <c r="AQ216" s="35">
        <f t="shared" si="463"/>
        <v>0</v>
      </c>
      <c r="AR216" s="35"/>
      <c r="AS216" s="35">
        <f t="shared" si="463"/>
        <v>0</v>
      </c>
      <c r="AT216" s="35">
        <f t="shared" si="463"/>
        <v>0</v>
      </c>
      <c r="AU216" s="35">
        <f t="shared" si="463"/>
        <v>0</v>
      </c>
      <c r="AV216" s="35"/>
      <c r="AW216" s="35"/>
      <c r="AX216" s="35">
        <f t="shared" si="463"/>
        <v>0</v>
      </c>
      <c r="AY216" s="35">
        <f t="shared" si="463"/>
        <v>0</v>
      </c>
      <c r="AZ216" s="35">
        <f t="shared" si="463"/>
        <v>0</v>
      </c>
      <c r="BA216" s="35">
        <f>SUM(BA217)</f>
        <v>0</v>
      </c>
      <c r="BB216" s="35"/>
      <c r="BC216" s="35">
        <f t="shared" si="463"/>
        <v>0</v>
      </c>
      <c r="BD216" s="35">
        <f t="shared" si="463"/>
        <v>0</v>
      </c>
      <c r="BE216" s="35">
        <f t="shared" si="463"/>
        <v>0</v>
      </c>
      <c r="BF216" s="35">
        <f t="shared" si="463"/>
        <v>0</v>
      </c>
      <c r="BG216" s="35">
        <f t="shared" si="463"/>
        <v>0</v>
      </c>
      <c r="BH216" s="35">
        <f t="shared" si="463"/>
        <v>0</v>
      </c>
      <c r="BI216" s="35">
        <f t="shared" si="463"/>
        <v>0</v>
      </c>
      <c r="BJ216" s="35">
        <f t="shared" si="463"/>
        <v>0</v>
      </c>
      <c r="BK216" s="35">
        <f t="shared" si="463"/>
        <v>0</v>
      </c>
      <c r="BL216" s="35">
        <f t="shared" si="463"/>
        <v>0</v>
      </c>
      <c r="BM216" s="35">
        <f t="shared" si="463"/>
        <v>0</v>
      </c>
      <c r="BN216" s="35">
        <f t="shared" si="463"/>
        <v>0</v>
      </c>
      <c r="BO216" s="35">
        <f t="shared" si="463"/>
        <v>0</v>
      </c>
      <c r="BP216" s="35">
        <f t="shared" si="463"/>
        <v>0</v>
      </c>
      <c r="BQ216" s="35">
        <f t="shared" ref="BQ216:BQ220" si="464">SUM(BQ217)</f>
        <v>0</v>
      </c>
      <c r="BR216" s="35">
        <f t="shared" si="463"/>
        <v>0</v>
      </c>
      <c r="BS216" s="35">
        <f t="shared" si="463"/>
        <v>0</v>
      </c>
      <c r="BT216" s="35">
        <f t="shared" si="463"/>
        <v>0</v>
      </c>
      <c r="BU216" s="35">
        <f t="shared" si="463"/>
        <v>0</v>
      </c>
      <c r="BV216" s="35">
        <f t="shared" si="463"/>
        <v>0</v>
      </c>
      <c r="BW216" s="35">
        <f t="shared" si="463"/>
        <v>0</v>
      </c>
      <c r="BX216" s="35">
        <f t="shared" si="463"/>
        <v>0</v>
      </c>
      <c r="BY216" s="35">
        <f t="shared" ref="BY216:CZ220" si="465">SUM(BY217)</f>
        <v>0</v>
      </c>
      <c r="BZ216" s="35">
        <f t="shared" si="465"/>
        <v>0</v>
      </c>
      <c r="CA216" s="35">
        <f t="shared" si="465"/>
        <v>0</v>
      </c>
      <c r="CB216" s="35">
        <f t="shared" si="465"/>
        <v>0</v>
      </c>
      <c r="CC216" s="35">
        <f t="shared" si="465"/>
        <v>0</v>
      </c>
      <c r="CD216" s="35">
        <f t="shared" si="465"/>
        <v>0</v>
      </c>
      <c r="CE216" s="35">
        <f t="shared" si="465"/>
        <v>0</v>
      </c>
      <c r="CF216" s="35">
        <f t="shared" si="465"/>
        <v>0</v>
      </c>
      <c r="CG216" s="35">
        <f t="shared" si="465"/>
        <v>0</v>
      </c>
      <c r="CH216" s="35">
        <f t="shared" si="465"/>
        <v>0</v>
      </c>
      <c r="CI216" s="35">
        <f t="shared" si="465"/>
        <v>0</v>
      </c>
      <c r="CJ216" s="35">
        <f t="shared" si="465"/>
        <v>0</v>
      </c>
      <c r="CK216" s="35">
        <f t="shared" si="465"/>
        <v>0</v>
      </c>
      <c r="CL216" s="35">
        <f t="shared" si="465"/>
        <v>0</v>
      </c>
      <c r="CM216" s="35">
        <f t="shared" si="465"/>
        <v>0</v>
      </c>
      <c r="CN216" s="35">
        <f t="shared" si="465"/>
        <v>0</v>
      </c>
      <c r="CO216" s="35">
        <f t="shared" si="465"/>
        <v>0</v>
      </c>
      <c r="CP216" s="35">
        <f t="shared" si="465"/>
        <v>0</v>
      </c>
      <c r="CQ216" s="35">
        <f t="shared" si="465"/>
        <v>0</v>
      </c>
      <c r="CR216" s="35"/>
      <c r="CS216" s="35"/>
      <c r="CT216" s="35">
        <f t="shared" si="465"/>
        <v>0</v>
      </c>
      <c r="CU216" s="35">
        <f t="shared" si="465"/>
        <v>0</v>
      </c>
      <c r="CV216" s="35">
        <f t="shared" si="465"/>
        <v>0</v>
      </c>
      <c r="CW216" s="35">
        <f t="shared" si="465"/>
        <v>4509006</v>
      </c>
      <c r="CX216" s="35">
        <f t="shared" si="465"/>
        <v>4509006</v>
      </c>
      <c r="CY216" s="35">
        <f t="shared" si="465"/>
        <v>4509006</v>
      </c>
      <c r="CZ216" s="36">
        <f t="shared" si="465"/>
        <v>0</v>
      </c>
    </row>
    <row r="217" spans="1:218" ht="15.6" x14ac:dyDescent="0.3">
      <c r="A217" s="20"/>
      <c r="B217" s="21" t="s">
        <v>334</v>
      </c>
      <c r="C217" s="21" t="s">
        <v>1</v>
      </c>
      <c r="D217" s="22" t="s">
        <v>335</v>
      </c>
      <c r="E217" s="23">
        <f>SUM(E218)</f>
        <v>4509006</v>
      </c>
      <c r="F217" s="24">
        <f t="shared" si="463"/>
        <v>0</v>
      </c>
      <c r="G217" s="24">
        <f t="shared" si="463"/>
        <v>0</v>
      </c>
      <c r="H217" s="24">
        <f t="shared" si="463"/>
        <v>0</v>
      </c>
      <c r="I217" s="24">
        <f t="shared" si="463"/>
        <v>0</v>
      </c>
      <c r="J217" s="24">
        <f t="shared" si="463"/>
        <v>0</v>
      </c>
      <c r="K217" s="24">
        <f t="shared" si="463"/>
        <v>0</v>
      </c>
      <c r="L217" s="24">
        <f t="shared" si="463"/>
        <v>0</v>
      </c>
      <c r="M217" s="24">
        <f t="shared" si="463"/>
        <v>0</v>
      </c>
      <c r="N217" s="24">
        <f t="shared" si="463"/>
        <v>0</v>
      </c>
      <c r="O217" s="24">
        <f t="shared" si="463"/>
        <v>0</v>
      </c>
      <c r="P217" s="24">
        <f t="shared" si="463"/>
        <v>0</v>
      </c>
      <c r="Q217" s="24">
        <f t="shared" si="463"/>
        <v>0</v>
      </c>
      <c r="R217" s="24">
        <f t="shared" si="463"/>
        <v>0</v>
      </c>
      <c r="S217" s="24">
        <f t="shared" si="463"/>
        <v>0</v>
      </c>
      <c r="T217" s="24">
        <f t="shared" si="463"/>
        <v>0</v>
      </c>
      <c r="U217" s="24">
        <f t="shared" si="463"/>
        <v>0</v>
      </c>
      <c r="V217" s="24">
        <f t="shared" si="463"/>
        <v>0</v>
      </c>
      <c r="W217" s="24">
        <f t="shared" si="463"/>
        <v>0</v>
      </c>
      <c r="X217" s="24">
        <f t="shared" si="463"/>
        <v>0</v>
      </c>
      <c r="Y217" s="24">
        <f t="shared" si="463"/>
        <v>0</v>
      </c>
      <c r="Z217" s="24">
        <f t="shared" si="463"/>
        <v>0</v>
      </c>
      <c r="AA217" s="24">
        <f t="shared" si="463"/>
        <v>0</v>
      </c>
      <c r="AB217" s="24">
        <f t="shared" si="463"/>
        <v>0</v>
      </c>
      <c r="AC217" s="24">
        <f t="shared" si="463"/>
        <v>0</v>
      </c>
      <c r="AD217" s="24">
        <f t="shared" si="463"/>
        <v>0</v>
      </c>
      <c r="AE217" s="24">
        <f t="shared" si="463"/>
        <v>0</v>
      </c>
      <c r="AF217" s="24">
        <f t="shared" si="463"/>
        <v>0</v>
      </c>
      <c r="AG217" s="24">
        <f t="shared" si="463"/>
        <v>0</v>
      </c>
      <c r="AH217" s="24">
        <f t="shared" si="463"/>
        <v>0</v>
      </c>
      <c r="AI217" s="24">
        <f t="shared" si="463"/>
        <v>0</v>
      </c>
      <c r="AJ217" s="24">
        <f t="shared" si="463"/>
        <v>0</v>
      </c>
      <c r="AK217" s="24">
        <f t="shared" si="463"/>
        <v>0</v>
      </c>
      <c r="AL217" s="24">
        <f t="shared" si="463"/>
        <v>0</v>
      </c>
      <c r="AM217" s="24">
        <f t="shared" si="463"/>
        <v>0</v>
      </c>
      <c r="AN217" s="24">
        <f t="shared" si="463"/>
        <v>0</v>
      </c>
      <c r="AO217" s="24">
        <f t="shared" si="463"/>
        <v>0</v>
      </c>
      <c r="AP217" s="24">
        <f t="shared" si="463"/>
        <v>0</v>
      </c>
      <c r="AQ217" s="24">
        <f t="shared" si="463"/>
        <v>0</v>
      </c>
      <c r="AR217" s="24"/>
      <c r="AS217" s="24">
        <f t="shared" si="463"/>
        <v>0</v>
      </c>
      <c r="AT217" s="24">
        <f t="shared" si="463"/>
        <v>0</v>
      </c>
      <c r="AU217" s="24">
        <f t="shared" si="463"/>
        <v>0</v>
      </c>
      <c r="AV217" s="24"/>
      <c r="AW217" s="24"/>
      <c r="AX217" s="24">
        <f t="shared" si="463"/>
        <v>0</v>
      </c>
      <c r="AY217" s="24">
        <f t="shared" si="463"/>
        <v>0</v>
      </c>
      <c r="AZ217" s="24">
        <f t="shared" si="463"/>
        <v>0</v>
      </c>
      <c r="BA217" s="24">
        <f>SUM(BA218)</f>
        <v>0</v>
      </c>
      <c r="BB217" s="24"/>
      <c r="BC217" s="24">
        <f t="shared" si="463"/>
        <v>0</v>
      </c>
      <c r="BD217" s="24">
        <f t="shared" si="463"/>
        <v>0</v>
      </c>
      <c r="BE217" s="24">
        <f t="shared" si="463"/>
        <v>0</v>
      </c>
      <c r="BF217" s="24">
        <f t="shared" si="463"/>
        <v>0</v>
      </c>
      <c r="BG217" s="24">
        <f t="shared" si="463"/>
        <v>0</v>
      </c>
      <c r="BH217" s="24">
        <f t="shared" si="463"/>
        <v>0</v>
      </c>
      <c r="BI217" s="24">
        <f t="shared" si="463"/>
        <v>0</v>
      </c>
      <c r="BJ217" s="24">
        <f t="shared" si="463"/>
        <v>0</v>
      </c>
      <c r="BK217" s="24">
        <f t="shared" si="463"/>
        <v>0</v>
      </c>
      <c r="BL217" s="24">
        <f t="shared" si="463"/>
        <v>0</v>
      </c>
      <c r="BM217" s="24">
        <f t="shared" si="463"/>
        <v>0</v>
      </c>
      <c r="BN217" s="24">
        <f t="shared" si="463"/>
        <v>0</v>
      </c>
      <c r="BO217" s="24">
        <f t="shared" si="463"/>
        <v>0</v>
      </c>
      <c r="BP217" s="24">
        <f t="shared" si="463"/>
        <v>0</v>
      </c>
      <c r="BQ217" s="24">
        <f t="shared" si="464"/>
        <v>0</v>
      </c>
      <c r="BR217" s="24">
        <f t="shared" si="463"/>
        <v>0</v>
      </c>
      <c r="BS217" s="24">
        <f t="shared" si="463"/>
        <v>0</v>
      </c>
      <c r="BT217" s="24">
        <f t="shared" si="463"/>
        <v>0</v>
      </c>
      <c r="BU217" s="24">
        <f t="shared" si="463"/>
        <v>0</v>
      </c>
      <c r="BV217" s="24">
        <f t="shared" si="463"/>
        <v>0</v>
      </c>
      <c r="BW217" s="24">
        <f t="shared" si="463"/>
        <v>0</v>
      </c>
      <c r="BX217" s="24">
        <f t="shared" si="463"/>
        <v>0</v>
      </c>
      <c r="BY217" s="24">
        <f t="shared" si="465"/>
        <v>0</v>
      </c>
      <c r="BZ217" s="24">
        <f t="shared" si="465"/>
        <v>0</v>
      </c>
      <c r="CA217" s="24">
        <f t="shared" si="465"/>
        <v>0</v>
      </c>
      <c r="CB217" s="24">
        <f t="shared" si="465"/>
        <v>0</v>
      </c>
      <c r="CC217" s="24">
        <f t="shared" si="465"/>
        <v>0</v>
      </c>
      <c r="CD217" s="24">
        <f t="shared" si="465"/>
        <v>0</v>
      </c>
      <c r="CE217" s="24">
        <f t="shared" si="465"/>
        <v>0</v>
      </c>
      <c r="CF217" s="24">
        <f t="shared" si="465"/>
        <v>0</v>
      </c>
      <c r="CG217" s="24">
        <f t="shared" si="465"/>
        <v>0</v>
      </c>
      <c r="CH217" s="24">
        <f t="shared" si="465"/>
        <v>0</v>
      </c>
      <c r="CI217" s="24">
        <f t="shared" si="465"/>
        <v>0</v>
      </c>
      <c r="CJ217" s="24">
        <f t="shared" si="465"/>
        <v>0</v>
      </c>
      <c r="CK217" s="24">
        <f t="shared" si="465"/>
        <v>0</v>
      </c>
      <c r="CL217" s="24">
        <f t="shared" si="465"/>
        <v>0</v>
      </c>
      <c r="CM217" s="24">
        <f t="shared" si="465"/>
        <v>0</v>
      </c>
      <c r="CN217" s="24">
        <f t="shared" si="465"/>
        <v>0</v>
      </c>
      <c r="CO217" s="24">
        <f t="shared" si="465"/>
        <v>0</v>
      </c>
      <c r="CP217" s="24">
        <f t="shared" si="465"/>
        <v>0</v>
      </c>
      <c r="CQ217" s="24">
        <f t="shared" si="465"/>
        <v>0</v>
      </c>
      <c r="CR217" s="24"/>
      <c r="CS217" s="24"/>
      <c r="CT217" s="24">
        <f t="shared" si="465"/>
        <v>0</v>
      </c>
      <c r="CU217" s="24">
        <f t="shared" si="465"/>
        <v>0</v>
      </c>
      <c r="CV217" s="24">
        <f t="shared" si="465"/>
        <v>0</v>
      </c>
      <c r="CW217" s="24">
        <f t="shared" si="465"/>
        <v>4509006</v>
      </c>
      <c r="CX217" s="24">
        <f t="shared" si="465"/>
        <v>4509006</v>
      </c>
      <c r="CY217" s="24">
        <f t="shared" si="465"/>
        <v>4509006</v>
      </c>
      <c r="CZ217" s="25">
        <f t="shared" si="465"/>
        <v>0</v>
      </c>
    </row>
    <row r="218" spans="1:218" ht="15.6" x14ac:dyDescent="0.3">
      <c r="A218" s="26" t="s">
        <v>1</v>
      </c>
      <c r="B218" s="27" t="s">
        <v>1</v>
      </c>
      <c r="C218" s="27" t="s">
        <v>105</v>
      </c>
      <c r="D218" s="28" t="s">
        <v>335</v>
      </c>
      <c r="E218" s="23">
        <f>SUM(F218+CD218+CW218)</f>
        <v>4509006</v>
      </c>
      <c r="F218" s="24">
        <f>SUM(G218+BD218)</f>
        <v>0</v>
      </c>
      <c r="G218" s="24">
        <f>SUM(H218+I218+J218+Q218+T218+U218+V218+AF218+AE218)</f>
        <v>0</v>
      </c>
      <c r="H218" s="24">
        <v>0</v>
      </c>
      <c r="I218" s="24">
        <v>0</v>
      </c>
      <c r="J218" s="24">
        <f t="shared" si="297"/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f t="shared" si="298"/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f t="shared" ref="V218" si="466">SUM(W218:AD218)</f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f>SUM(AG218:BC218)</f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0</v>
      </c>
      <c r="AQ218" s="24">
        <v>0</v>
      </c>
      <c r="AR218" s="24"/>
      <c r="AS218" s="24">
        <v>0</v>
      </c>
      <c r="AT218" s="24">
        <v>0</v>
      </c>
      <c r="AU218" s="24">
        <v>0</v>
      </c>
      <c r="AV218" s="24"/>
      <c r="AW218" s="24"/>
      <c r="AX218" s="24">
        <v>0</v>
      </c>
      <c r="AY218" s="24">
        <v>0</v>
      </c>
      <c r="AZ218" s="24">
        <v>0</v>
      </c>
      <c r="BA218" s="24">
        <v>0</v>
      </c>
      <c r="BB218" s="24"/>
      <c r="BC218" s="24">
        <v>0</v>
      </c>
      <c r="BD218" s="24">
        <f>SUM(BE218+BI218+BM218+BO218+BR218)</f>
        <v>0</v>
      </c>
      <c r="BE218" s="24">
        <f>SUM(BF218:BH218)</f>
        <v>0</v>
      </c>
      <c r="BF218" s="24">
        <v>0</v>
      </c>
      <c r="BG218" s="24">
        <v>0</v>
      </c>
      <c r="BH218" s="24">
        <v>0</v>
      </c>
      <c r="BI218" s="24">
        <f>SUM(BL218:BL218)</f>
        <v>0</v>
      </c>
      <c r="BJ218" s="24">
        <v>0</v>
      </c>
      <c r="BK218" s="24">
        <v>0</v>
      </c>
      <c r="BL218" s="24">
        <v>0</v>
      </c>
      <c r="BM218" s="24">
        <v>0</v>
      </c>
      <c r="BN218" s="24">
        <v>0</v>
      </c>
      <c r="BO218" s="24">
        <f t="shared" si="300"/>
        <v>0</v>
      </c>
      <c r="BP218" s="24">
        <v>0</v>
      </c>
      <c r="BQ218" s="24">
        <v>0</v>
      </c>
      <c r="BR218" s="24">
        <f>SUM(BS218:CC218)</f>
        <v>0</v>
      </c>
      <c r="BS218" s="24">
        <v>0</v>
      </c>
      <c r="BT218" s="24">
        <v>0</v>
      </c>
      <c r="BU218" s="24">
        <v>0</v>
      </c>
      <c r="BV218" s="24">
        <v>0</v>
      </c>
      <c r="BW218" s="24">
        <v>0</v>
      </c>
      <c r="BX218" s="24">
        <v>0</v>
      </c>
      <c r="BY218" s="24">
        <v>0</v>
      </c>
      <c r="BZ218" s="24">
        <v>0</v>
      </c>
      <c r="CA218" s="24">
        <v>0</v>
      </c>
      <c r="CB218" s="24">
        <v>0</v>
      </c>
      <c r="CC218" s="24">
        <v>0</v>
      </c>
      <c r="CD218" s="24">
        <f>SUM(CE218+CV218)</f>
        <v>0</v>
      </c>
      <c r="CE218" s="24">
        <f>SUM(CF218+CI218+CN218)</f>
        <v>0</v>
      </c>
      <c r="CF218" s="24">
        <f t="shared" si="301"/>
        <v>0</v>
      </c>
      <c r="CG218" s="24">
        <v>0</v>
      </c>
      <c r="CH218" s="24">
        <v>0</v>
      </c>
      <c r="CI218" s="24">
        <f>SUM(CJ218:CM218)</f>
        <v>0</v>
      </c>
      <c r="CJ218" s="24">
        <v>0</v>
      </c>
      <c r="CK218" s="24">
        <v>0</v>
      </c>
      <c r="CL218" s="24">
        <v>0</v>
      </c>
      <c r="CM218" s="24">
        <v>0</v>
      </c>
      <c r="CN218" s="24">
        <f>SUM(CO218:CS218)</f>
        <v>0</v>
      </c>
      <c r="CO218" s="24">
        <v>0</v>
      </c>
      <c r="CP218" s="24">
        <v>0</v>
      </c>
      <c r="CQ218" s="24">
        <v>0</v>
      </c>
      <c r="CR218" s="24"/>
      <c r="CS218" s="24"/>
      <c r="CT218" s="24">
        <v>0</v>
      </c>
      <c r="CU218" s="24">
        <v>0</v>
      </c>
      <c r="CV218" s="24">
        <v>0</v>
      </c>
      <c r="CW218" s="24">
        <f t="shared" si="302"/>
        <v>4509006</v>
      </c>
      <c r="CX218" s="24">
        <f t="shared" si="303"/>
        <v>4509006</v>
      </c>
      <c r="CY218" s="29">
        <f>46552+4389159+73295</f>
        <v>4509006</v>
      </c>
      <c r="CZ218" s="25">
        <v>0</v>
      </c>
    </row>
    <row r="219" spans="1:218" ht="31.2" x14ac:dyDescent="0.3">
      <c r="A219" s="31" t="s">
        <v>620</v>
      </c>
      <c r="B219" s="32" t="s">
        <v>1</v>
      </c>
      <c r="C219" s="32" t="s">
        <v>1</v>
      </c>
      <c r="D219" s="33" t="s">
        <v>621</v>
      </c>
      <c r="E219" s="34">
        <f>SUM(E220)</f>
        <v>17601196</v>
      </c>
      <c r="F219" s="35">
        <f t="shared" si="463"/>
        <v>0</v>
      </c>
      <c r="G219" s="35">
        <f t="shared" si="463"/>
        <v>0</v>
      </c>
      <c r="H219" s="35">
        <f t="shared" si="463"/>
        <v>0</v>
      </c>
      <c r="I219" s="35">
        <f t="shared" si="463"/>
        <v>0</v>
      </c>
      <c r="J219" s="35">
        <f t="shared" si="463"/>
        <v>0</v>
      </c>
      <c r="K219" s="35">
        <f t="shared" si="463"/>
        <v>0</v>
      </c>
      <c r="L219" s="35">
        <f t="shared" si="463"/>
        <v>0</v>
      </c>
      <c r="M219" s="35">
        <f t="shared" si="463"/>
        <v>0</v>
      </c>
      <c r="N219" s="35">
        <f t="shared" si="463"/>
        <v>0</v>
      </c>
      <c r="O219" s="35">
        <f t="shared" si="463"/>
        <v>0</v>
      </c>
      <c r="P219" s="35">
        <f t="shared" si="463"/>
        <v>0</v>
      </c>
      <c r="Q219" s="35">
        <f t="shared" si="463"/>
        <v>0</v>
      </c>
      <c r="R219" s="35">
        <f t="shared" si="463"/>
        <v>0</v>
      </c>
      <c r="S219" s="35">
        <f t="shared" si="463"/>
        <v>0</v>
      </c>
      <c r="T219" s="35">
        <f t="shared" si="463"/>
        <v>0</v>
      </c>
      <c r="U219" s="35">
        <f t="shared" si="463"/>
        <v>0</v>
      </c>
      <c r="V219" s="35">
        <f t="shared" si="463"/>
        <v>0</v>
      </c>
      <c r="W219" s="35">
        <f t="shared" si="463"/>
        <v>0</v>
      </c>
      <c r="X219" s="35">
        <f t="shared" si="463"/>
        <v>0</v>
      </c>
      <c r="Y219" s="35">
        <f t="shared" si="463"/>
        <v>0</v>
      </c>
      <c r="Z219" s="35">
        <f t="shared" si="463"/>
        <v>0</v>
      </c>
      <c r="AA219" s="35">
        <f t="shared" si="463"/>
        <v>0</v>
      </c>
      <c r="AB219" s="35">
        <f t="shared" si="463"/>
        <v>0</v>
      </c>
      <c r="AC219" s="35">
        <f t="shared" si="463"/>
        <v>0</v>
      </c>
      <c r="AD219" s="35">
        <f t="shared" si="463"/>
        <v>0</v>
      </c>
      <c r="AE219" s="35">
        <f t="shared" si="463"/>
        <v>0</v>
      </c>
      <c r="AF219" s="35">
        <f t="shared" si="463"/>
        <v>0</v>
      </c>
      <c r="AG219" s="35">
        <f t="shared" si="463"/>
        <v>0</v>
      </c>
      <c r="AH219" s="35">
        <f t="shared" si="463"/>
        <v>0</v>
      </c>
      <c r="AI219" s="35">
        <f t="shared" si="463"/>
        <v>0</v>
      </c>
      <c r="AJ219" s="35">
        <f t="shared" si="463"/>
        <v>0</v>
      </c>
      <c r="AK219" s="35">
        <f t="shared" si="463"/>
        <v>0</v>
      </c>
      <c r="AL219" s="35">
        <f t="shared" si="463"/>
        <v>0</v>
      </c>
      <c r="AM219" s="35">
        <f t="shared" si="463"/>
        <v>0</v>
      </c>
      <c r="AN219" s="35">
        <f t="shared" si="463"/>
        <v>0</v>
      </c>
      <c r="AO219" s="35">
        <f t="shared" si="463"/>
        <v>0</v>
      </c>
      <c r="AP219" s="35">
        <f t="shared" si="463"/>
        <v>0</v>
      </c>
      <c r="AQ219" s="35">
        <f t="shared" si="463"/>
        <v>0</v>
      </c>
      <c r="AR219" s="35"/>
      <c r="AS219" s="35">
        <f t="shared" si="463"/>
        <v>0</v>
      </c>
      <c r="AT219" s="35">
        <f t="shared" si="463"/>
        <v>0</v>
      </c>
      <c r="AU219" s="35">
        <f t="shared" si="463"/>
        <v>0</v>
      </c>
      <c r="AV219" s="35"/>
      <c r="AW219" s="35"/>
      <c r="AX219" s="35">
        <f t="shared" si="463"/>
        <v>0</v>
      </c>
      <c r="AY219" s="35">
        <f t="shared" si="463"/>
        <v>0</v>
      </c>
      <c r="AZ219" s="35">
        <f t="shared" si="463"/>
        <v>0</v>
      </c>
      <c r="BA219" s="35">
        <f>SUM(BA220)</f>
        <v>0</v>
      </c>
      <c r="BB219" s="35"/>
      <c r="BC219" s="35">
        <f t="shared" si="463"/>
        <v>0</v>
      </c>
      <c r="BD219" s="35">
        <f t="shared" si="463"/>
        <v>0</v>
      </c>
      <c r="BE219" s="35">
        <f t="shared" si="463"/>
        <v>0</v>
      </c>
      <c r="BF219" s="35">
        <f t="shared" si="463"/>
        <v>0</v>
      </c>
      <c r="BG219" s="35">
        <f t="shared" si="463"/>
        <v>0</v>
      </c>
      <c r="BH219" s="35">
        <f t="shared" si="463"/>
        <v>0</v>
      </c>
      <c r="BI219" s="35">
        <f t="shared" si="463"/>
        <v>0</v>
      </c>
      <c r="BJ219" s="35">
        <f t="shared" si="463"/>
        <v>0</v>
      </c>
      <c r="BK219" s="35">
        <f t="shared" si="463"/>
        <v>0</v>
      </c>
      <c r="BL219" s="35">
        <f t="shared" si="463"/>
        <v>0</v>
      </c>
      <c r="BM219" s="35">
        <f t="shared" si="463"/>
        <v>0</v>
      </c>
      <c r="BN219" s="35">
        <f t="shared" si="463"/>
        <v>0</v>
      </c>
      <c r="BO219" s="35">
        <f t="shared" si="463"/>
        <v>0</v>
      </c>
      <c r="BP219" s="35">
        <f t="shared" si="463"/>
        <v>0</v>
      </c>
      <c r="BQ219" s="35">
        <f t="shared" si="464"/>
        <v>0</v>
      </c>
      <c r="BR219" s="35">
        <f t="shared" si="463"/>
        <v>0</v>
      </c>
      <c r="BS219" s="35">
        <f t="shared" si="463"/>
        <v>0</v>
      </c>
      <c r="BT219" s="35">
        <f t="shared" si="463"/>
        <v>0</v>
      </c>
      <c r="BU219" s="35">
        <f t="shared" si="463"/>
        <v>0</v>
      </c>
      <c r="BV219" s="35">
        <f t="shared" si="463"/>
        <v>0</v>
      </c>
      <c r="BW219" s="35">
        <f t="shared" si="463"/>
        <v>0</v>
      </c>
      <c r="BX219" s="35">
        <f t="shared" si="463"/>
        <v>0</v>
      </c>
      <c r="BY219" s="35">
        <f t="shared" si="465"/>
        <v>0</v>
      </c>
      <c r="BZ219" s="35">
        <f t="shared" si="465"/>
        <v>0</v>
      </c>
      <c r="CA219" s="35">
        <f t="shared" si="465"/>
        <v>0</v>
      </c>
      <c r="CB219" s="35">
        <f t="shared" si="465"/>
        <v>0</v>
      </c>
      <c r="CC219" s="35">
        <f t="shared" si="465"/>
        <v>0</v>
      </c>
      <c r="CD219" s="35">
        <f t="shared" si="465"/>
        <v>17601196</v>
      </c>
      <c r="CE219" s="35">
        <f t="shared" si="465"/>
        <v>0</v>
      </c>
      <c r="CF219" s="35">
        <f t="shared" si="465"/>
        <v>0</v>
      </c>
      <c r="CG219" s="35">
        <f t="shared" si="465"/>
        <v>0</v>
      </c>
      <c r="CH219" s="35">
        <f t="shared" si="465"/>
        <v>0</v>
      </c>
      <c r="CI219" s="35">
        <f t="shared" si="465"/>
        <v>0</v>
      </c>
      <c r="CJ219" s="35">
        <f t="shared" si="465"/>
        <v>0</v>
      </c>
      <c r="CK219" s="35">
        <f t="shared" si="465"/>
        <v>0</v>
      </c>
      <c r="CL219" s="35">
        <f t="shared" si="465"/>
        <v>0</v>
      </c>
      <c r="CM219" s="35">
        <f t="shared" si="465"/>
        <v>0</v>
      </c>
      <c r="CN219" s="35">
        <f t="shared" si="465"/>
        <v>0</v>
      </c>
      <c r="CO219" s="35">
        <f t="shared" si="465"/>
        <v>0</v>
      </c>
      <c r="CP219" s="35">
        <f t="shared" si="465"/>
        <v>0</v>
      </c>
      <c r="CQ219" s="35">
        <f t="shared" si="465"/>
        <v>0</v>
      </c>
      <c r="CR219" s="35"/>
      <c r="CS219" s="35"/>
      <c r="CT219" s="35">
        <f t="shared" si="465"/>
        <v>17601196</v>
      </c>
      <c r="CU219" s="35">
        <f t="shared" si="465"/>
        <v>17601196</v>
      </c>
      <c r="CV219" s="35">
        <f t="shared" si="465"/>
        <v>0</v>
      </c>
      <c r="CW219" s="35">
        <f t="shared" si="465"/>
        <v>0</v>
      </c>
      <c r="CX219" s="35">
        <f t="shared" si="465"/>
        <v>0</v>
      </c>
      <c r="CY219" s="35">
        <f t="shared" si="465"/>
        <v>0</v>
      </c>
      <c r="CZ219" s="36">
        <f t="shared" si="465"/>
        <v>0</v>
      </c>
    </row>
    <row r="220" spans="1:218" ht="15.6" x14ac:dyDescent="0.3">
      <c r="A220" s="20"/>
      <c r="B220" s="21" t="s">
        <v>622</v>
      </c>
      <c r="C220" s="21" t="s">
        <v>1</v>
      </c>
      <c r="D220" s="22" t="s">
        <v>623</v>
      </c>
      <c r="E220" s="23">
        <f>SUM(E221)</f>
        <v>17601196</v>
      </c>
      <c r="F220" s="24">
        <f t="shared" si="463"/>
        <v>0</v>
      </c>
      <c r="G220" s="24">
        <f t="shared" si="463"/>
        <v>0</v>
      </c>
      <c r="H220" s="24">
        <f t="shared" si="463"/>
        <v>0</v>
      </c>
      <c r="I220" s="24">
        <f t="shared" si="463"/>
        <v>0</v>
      </c>
      <c r="J220" s="24">
        <f t="shared" si="463"/>
        <v>0</v>
      </c>
      <c r="K220" s="24">
        <f t="shared" si="463"/>
        <v>0</v>
      </c>
      <c r="L220" s="24">
        <f t="shared" si="463"/>
        <v>0</v>
      </c>
      <c r="M220" s="24">
        <f t="shared" si="463"/>
        <v>0</v>
      </c>
      <c r="N220" s="24">
        <f t="shared" si="463"/>
        <v>0</v>
      </c>
      <c r="O220" s="24">
        <f t="shared" si="463"/>
        <v>0</v>
      </c>
      <c r="P220" s="24">
        <f t="shared" si="463"/>
        <v>0</v>
      </c>
      <c r="Q220" s="24">
        <f t="shared" si="463"/>
        <v>0</v>
      </c>
      <c r="R220" s="24">
        <f t="shared" si="463"/>
        <v>0</v>
      </c>
      <c r="S220" s="24">
        <f t="shared" si="463"/>
        <v>0</v>
      </c>
      <c r="T220" s="24">
        <f t="shared" si="463"/>
        <v>0</v>
      </c>
      <c r="U220" s="24">
        <f t="shared" si="463"/>
        <v>0</v>
      </c>
      <c r="V220" s="24">
        <f t="shared" si="463"/>
        <v>0</v>
      </c>
      <c r="W220" s="24">
        <f t="shared" si="463"/>
        <v>0</v>
      </c>
      <c r="X220" s="24">
        <f t="shared" si="463"/>
        <v>0</v>
      </c>
      <c r="Y220" s="24">
        <f t="shared" si="463"/>
        <v>0</v>
      </c>
      <c r="Z220" s="24">
        <f t="shared" si="463"/>
        <v>0</v>
      </c>
      <c r="AA220" s="24">
        <f t="shared" si="463"/>
        <v>0</v>
      </c>
      <c r="AB220" s="24">
        <f t="shared" si="463"/>
        <v>0</v>
      </c>
      <c r="AC220" s="24">
        <f t="shared" si="463"/>
        <v>0</v>
      </c>
      <c r="AD220" s="24">
        <f t="shared" si="463"/>
        <v>0</v>
      </c>
      <c r="AE220" s="24">
        <f t="shared" si="463"/>
        <v>0</v>
      </c>
      <c r="AF220" s="24">
        <f t="shared" si="463"/>
        <v>0</v>
      </c>
      <c r="AG220" s="24">
        <f t="shared" si="463"/>
        <v>0</v>
      </c>
      <c r="AH220" s="24">
        <f t="shared" si="463"/>
        <v>0</v>
      </c>
      <c r="AI220" s="24">
        <f t="shared" si="463"/>
        <v>0</v>
      </c>
      <c r="AJ220" s="24">
        <f t="shared" si="463"/>
        <v>0</v>
      </c>
      <c r="AK220" s="24">
        <f t="shared" si="463"/>
        <v>0</v>
      </c>
      <c r="AL220" s="24">
        <f t="shared" si="463"/>
        <v>0</v>
      </c>
      <c r="AM220" s="24">
        <f t="shared" si="463"/>
        <v>0</v>
      </c>
      <c r="AN220" s="24">
        <f t="shared" si="463"/>
        <v>0</v>
      </c>
      <c r="AO220" s="24">
        <f t="shared" si="463"/>
        <v>0</v>
      </c>
      <c r="AP220" s="24">
        <f t="shared" si="463"/>
        <v>0</v>
      </c>
      <c r="AQ220" s="24">
        <f t="shared" si="463"/>
        <v>0</v>
      </c>
      <c r="AR220" s="24"/>
      <c r="AS220" s="24">
        <f t="shared" si="463"/>
        <v>0</v>
      </c>
      <c r="AT220" s="24">
        <f t="shared" si="463"/>
        <v>0</v>
      </c>
      <c r="AU220" s="24">
        <f t="shared" si="463"/>
        <v>0</v>
      </c>
      <c r="AV220" s="24"/>
      <c r="AW220" s="24"/>
      <c r="AX220" s="24">
        <f t="shared" si="463"/>
        <v>0</v>
      </c>
      <c r="AY220" s="24">
        <f t="shared" si="463"/>
        <v>0</v>
      </c>
      <c r="AZ220" s="24">
        <f t="shared" si="463"/>
        <v>0</v>
      </c>
      <c r="BA220" s="24">
        <f>SUM(BA221)</f>
        <v>0</v>
      </c>
      <c r="BB220" s="24"/>
      <c r="BC220" s="24">
        <f t="shared" si="463"/>
        <v>0</v>
      </c>
      <c r="BD220" s="24">
        <f t="shared" si="463"/>
        <v>0</v>
      </c>
      <c r="BE220" s="24">
        <f t="shared" si="463"/>
        <v>0</v>
      </c>
      <c r="BF220" s="24">
        <f t="shared" si="463"/>
        <v>0</v>
      </c>
      <c r="BG220" s="24">
        <f t="shared" si="463"/>
        <v>0</v>
      </c>
      <c r="BH220" s="24">
        <f t="shared" si="463"/>
        <v>0</v>
      </c>
      <c r="BI220" s="24">
        <f t="shared" si="463"/>
        <v>0</v>
      </c>
      <c r="BJ220" s="24">
        <f t="shared" si="463"/>
        <v>0</v>
      </c>
      <c r="BK220" s="24">
        <f t="shared" si="463"/>
        <v>0</v>
      </c>
      <c r="BL220" s="24">
        <f t="shared" si="463"/>
        <v>0</v>
      </c>
      <c r="BM220" s="24">
        <f t="shared" si="463"/>
        <v>0</v>
      </c>
      <c r="BN220" s="24">
        <f t="shared" si="463"/>
        <v>0</v>
      </c>
      <c r="BO220" s="24">
        <f t="shared" si="463"/>
        <v>0</v>
      </c>
      <c r="BP220" s="24">
        <f t="shared" si="463"/>
        <v>0</v>
      </c>
      <c r="BQ220" s="24">
        <f t="shared" si="464"/>
        <v>0</v>
      </c>
      <c r="BR220" s="24">
        <f t="shared" si="463"/>
        <v>0</v>
      </c>
      <c r="BS220" s="24">
        <f t="shared" si="463"/>
        <v>0</v>
      </c>
      <c r="BT220" s="24">
        <f t="shared" ref="BT220:BX220" si="467">SUM(BT221)</f>
        <v>0</v>
      </c>
      <c r="BU220" s="24">
        <f t="shared" si="467"/>
        <v>0</v>
      </c>
      <c r="BV220" s="24">
        <f t="shared" si="467"/>
        <v>0</v>
      </c>
      <c r="BW220" s="24">
        <f t="shared" si="467"/>
        <v>0</v>
      </c>
      <c r="BX220" s="24">
        <f t="shared" si="467"/>
        <v>0</v>
      </c>
      <c r="BY220" s="24">
        <f t="shared" si="465"/>
        <v>0</v>
      </c>
      <c r="BZ220" s="24">
        <f t="shared" si="465"/>
        <v>0</v>
      </c>
      <c r="CA220" s="24">
        <f t="shared" si="465"/>
        <v>0</v>
      </c>
      <c r="CB220" s="24">
        <f t="shared" si="465"/>
        <v>0</v>
      </c>
      <c r="CC220" s="24">
        <f t="shared" si="465"/>
        <v>0</v>
      </c>
      <c r="CD220" s="24">
        <f t="shared" si="465"/>
        <v>17601196</v>
      </c>
      <c r="CE220" s="24">
        <f t="shared" si="465"/>
        <v>0</v>
      </c>
      <c r="CF220" s="24">
        <f t="shared" si="465"/>
        <v>0</v>
      </c>
      <c r="CG220" s="24">
        <f t="shared" si="465"/>
        <v>0</v>
      </c>
      <c r="CH220" s="24">
        <f t="shared" si="465"/>
        <v>0</v>
      </c>
      <c r="CI220" s="24">
        <f t="shared" si="465"/>
        <v>0</v>
      </c>
      <c r="CJ220" s="24">
        <f t="shared" si="465"/>
        <v>0</v>
      </c>
      <c r="CK220" s="24">
        <f t="shared" si="465"/>
        <v>0</v>
      </c>
      <c r="CL220" s="24">
        <f t="shared" si="465"/>
        <v>0</v>
      </c>
      <c r="CM220" s="24">
        <f t="shared" si="465"/>
        <v>0</v>
      </c>
      <c r="CN220" s="24">
        <f t="shared" si="465"/>
        <v>0</v>
      </c>
      <c r="CO220" s="24">
        <f t="shared" si="465"/>
        <v>0</v>
      </c>
      <c r="CP220" s="24">
        <f t="shared" si="465"/>
        <v>0</v>
      </c>
      <c r="CQ220" s="24">
        <f t="shared" si="465"/>
        <v>0</v>
      </c>
      <c r="CR220" s="24"/>
      <c r="CS220" s="24"/>
      <c r="CT220" s="24">
        <f t="shared" si="465"/>
        <v>17601196</v>
      </c>
      <c r="CU220" s="24">
        <f t="shared" si="465"/>
        <v>17601196</v>
      </c>
      <c r="CV220" s="24">
        <f t="shared" si="465"/>
        <v>0</v>
      </c>
      <c r="CW220" s="24">
        <f t="shared" si="465"/>
        <v>0</v>
      </c>
      <c r="CX220" s="24">
        <f t="shared" si="465"/>
        <v>0</v>
      </c>
      <c r="CY220" s="24">
        <f t="shared" si="465"/>
        <v>0</v>
      </c>
      <c r="CZ220" s="25">
        <f t="shared" si="465"/>
        <v>0</v>
      </c>
    </row>
    <row r="221" spans="1:218" ht="15.6" x14ac:dyDescent="0.3">
      <c r="A221" s="26" t="s">
        <v>1</v>
      </c>
      <c r="B221" s="27" t="s">
        <v>1</v>
      </c>
      <c r="C221" s="27" t="s">
        <v>103</v>
      </c>
      <c r="D221" s="28" t="s">
        <v>623</v>
      </c>
      <c r="E221" s="23">
        <f>SUM(F221+CD221+CW221)</f>
        <v>17601196</v>
      </c>
      <c r="F221" s="24">
        <f>SUM(G221+BD221)</f>
        <v>0</v>
      </c>
      <c r="G221" s="24">
        <f>SUM(H221+I221+J221+Q221+T221+U221+V221+AF221+AE221)</f>
        <v>0</v>
      </c>
      <c r="H221" s="24">
        <v>0</v>
      </c>
      <c r="I221" s="24">
        <v>0</v>
      </c>
      <c r="J221" s="24">
        <f t="shared" ref="J221" si="468">SUM(K221:P221)</f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f t="shared" ref="Q221" si="469">SUM(R221:S221)</f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f t="shared" ref="V221" si="470">SUM(W221:AD221)</f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f>SUM(AG221:BC221)</f>
        <v>0</v>
      </c>
      <c r="AG221" s="24">
        <v>0</v>
      </c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>
        <v>0</v>
      </c>
      <c r="AN221" s="24">
        <v>0</v>
      </c>
      <c r="AO221" s="24">
        <v>0</v>
      </c>
      <c r="AP221" s="24">
        <v>0</v>
      </c>
      <c r="AQ221" s="24">
        <v>0</v>
      </c>
      <c r="AR221" s="24"/>
      <c r="AS221" s="24">
        <v>0</v>
      </c>
      <c r="AT221" s="24">
        <v>0</v>
      </c>
      <c r="AU221" s="24">
        <v>0</v>
      </c>
      <c r="AV221" s="24"/>
      <c r="AW221" s="24"/>
      <c r="AX221" s="24">
        <v>0</v>
      </c>
      <c r="AY221" s="24">
        <v>0</v>
      </c>
      <c r="AZ221" s="24">
        <v>0</v>
      </c>
      <c r="BA221" s="24">
        <v>0</v>
      </c>
      <c r="BB221" s="24"/>
      <c r="BC221" s="24">
        <v>0</v>
      </c>
      <c r="BD221" s="24">
        <f>SUM(BE221+BI221+BM221+BO221+BR221)</f>
        <v>0</v>
      </c>
      <c r="BE221" s="24">
        <f>SUM(BF221:BH221)</f>
        <v>0</v>
      </c>
      <c r="BF221" s="24">
        <v>0</v>
      </c>
      <c r="BG221" s="24">
        <v>0</v>
      </c>
      <c r="BH221" s="24">
        <v>0</v>
      </c>
      <c r="BI221" s="24">
        <f>SUM(BL221:BL221)</f>
        <v>0</v>
      </c>
      <c r="BJ221" s="24">
        <v>0</v>
      </c>
      <c r="BK221" s="24">
        <v>0</v>
      </c>
      <c r="BL221" s="24">
        <v>0</v>
      </c>
      <c r="BM221" s="24">
        <v>0</v>
      </c>
      <c r="BN221" s="24">
        <v>0</v>
      </c>
      <c r="BO221" s="24">
        <f t="shared" ref="BO221" si="471">SUM(BP221)</f>
        <v>0</v>
      </c>
      <c r="BP221" s="24">
        <v>0</v>
      </c>
      <c r="BQ221" s="24">
        <v>0</v>
      </c>
      <c r="BR221" s="24">
        <f>SUM(BS221:CC221)</f>
        <v>0</v>
      </c>
      <c r="BS221" s="24">
        <v>0</v>
      </c>
      <c r="BT221" s="24">
        <v>0</v>
      </c>
      <c r="BU221" s="24">
        <v>0</v>
      </c>
      <c r="BV221" s="24">
        <v>0</v>
      </c>
      <c r="BW221" s="24">
        <v>0</v>
      </c>
      <c r="BX221" s="24">
        <v>0</v>
      </c>
      <c r="BY221" s="24">
        <v>0</v>
      </c>
      <c r="BZ221" s="24">
        <v>0</v>
      </c>
      <c r="CA221" s="24">
        <v>0</v>
      </c>
      <c r="CB221" s="24">
        <v>0</v>
      </c>
      <c r="CC221" s="24">
        <v>0</v>
      </c>
      <c r="CD221" s="24">
        <f>SUM(CE221+CV221+CT221)</f>
        <v>17601196</v>
      </c>
      <c r="CE221" s="24">
        <f>SUM(CF221+CI221+CN221)</f>
        <v>0</v>
      </c>
      <c r="CF221" s="24">
        <f t="shared" ref="CF221" si="472">SUM(CG221:CH221)</f>
        <v>0</v>
      </c>
      <c r="CG221" s="24">
        <v>0</v>
      </c>
      <c r="CH221" s="24">
        <v>0</v>
      </c>
      <c r="CI221" s="24">
        <f>SUM(CJ221:CM221)</f>
        <v>0</v>
      </c>
      <c r="CJ221" s="24">
        <v>0</v>
      </c>
      <c r="CK221" s="24">
        <v>0</v>
      </c>
      <c r="CL221" s="24">
        <v>0</v>
      </c>
      <c r="CM221" s="24">
        <v>0</v>
      </c>
      <c r="CN221" s="24">
        <f>SUM(CO221:CS221)</f>
        <v>0</v>
      </c>
      <c r="CO221" s="24">
        <v>0</v>
      </c>
      <c r="CP221" s="24">
        <v>0</v>
      </c>
      <c r="CQ221" s="24">
        <v>0</v>
      </c>
      <c r="CR221" s="24"/>
      <c r="CS221" s="24"/>
      <c r="CT221" s="24">
        <f>SUM(CU221)</f>
        <v>17601196</v>
      </c>
      <c r="CU221" s="24">
        <f>3020756+7000000+7580440</f>
        <v>17601196</v>
      </c>
      <c r="CV221" s="24">
        <v>0</v>
      </c>
      <c r="CW221" s="24">
        <f t="shared" ref="CW221" si="473">SUM(CX221)</f>
        <v>0</v>
      </c>
      <c r="CX221" s="24">
        <f t="shared" ref="CX221" si="474">SUM(CY221:CZ221)</f>
        <v>0</v>
      </c>
      <c r="CY221" s="29"/>
      <c r="CZ221" s="25">
        <v>0</v>
      </c>
    </row>
    <row r="222" spans="1:218" s="64" customFormat="1" ht="31.2" x14ac:dyDescent="0.3">
      <c r="A222" s="31" t="s">
        <v>336</v>
      </c>
      <c r="B222" s="32" t="s">
        <v>1</v>
      </c>
      <c r="C222" s="32" t="s">
        <v>1</v>
      </c>
      <c r="D222" s="33" t="s">
        <v>337</v>
      </c>
      <c r="E222" s="34">
        <f>SUM(E223)</f>
        <v>226573391</v>
      </c>
      <c r="F222" s="35">
        <f t="shared" ref="F222:BX222" si="475">SUM(F223)</f>
        <v>226573391</v>
      </c>
      <c r="G222" s="35">
        <f t="shared" si="475"/>
        <v>0</v>
      </c>
      <c r="H222" s="35">
        <f t="shared" si="475"/>
        <v>0</v>
      </c>
      <c r="I222" s="35">
        <f t="shared" si="475"/>
        <v>0</v>
      </c>
      <c r="J222" s="35">
        <f t="shared" si="475"/>
        <v>0</v>
      </c>
      <c r="K222" s="35">
        <f t="shared" si="475"/>
        <v>0</v>
      </c>
      <c r="L222" s="35">
        <f t="shared" si="475"/>
        <v>0</v>
      </c>
      <c r="M222" s="35">
        <f t="shared" si="475"/>
        <v>0</v>
      </c>
      <c r="N222" s="35">
        <f t="shared" si="475"/>
        <v>0</v>
      </c>
      <c r="O222" s="35">
        <f t="shared" si="475"/>
        <v>0</v>
      </c>
      <c r="P222" s="35">
        <f t="shared" si="475"/>
        <v>0</v>
      </c>
      <c r="Q222" s="35">
        <f t="shared" si="475"/>
        <v>0</v>
      </c>
      <c r="R222" s="35">
        <f t="shared" si="475"/>
        <v>0</v>
      </c>
      <c r="S222" s="35">
        <f t="shared" si="475"/>
        <v>0</v>
      </c>
      <c r="T222" s="35">
        <f t="shared" si="475"/>
        <v>0</v>
      </c>
      <c r="U222" s="35">
        <f t="shared" si="475"/>
        <v>0</v>
      </c>
      <c r="V222" s="35">
        <f t="shared" si="475"/>
        <v>0</v>
      </c>
      <c r="W222" s="35">
        <f t="shared" si="475"/>
        <v>0</v>
      </c>
      <c r="X222" s="35">
        <f t="shared" si="475"/>
        <v>0</v>
      </c>
      <c r="Y222" s="35">
        <f t="shared" si="475"/>
        <v>0</v>
      </c>
      <c r="Z222" s="35">
        <f t="shared" si="475"/>
        <v>0</v>
      </c>
      <c r="AA222" s="35">
        <f t="shared" si="475"/>
        <v>0</v>
      </c>
      <c r="AB222" s="35">
        <f t="shared" si="475"/>
        <v>0</v>
      </c>
      <c r="AC222" s="35">
        <f t="shared" si="475"/>
        <v>0</v>
      </c>
      <c r="AD222" s="35">
        <f t="shared" si="475"/>
        <v>0</v>
      </c>
      <c r="AE222" s="35">
        <f t="shared" si="475"/>
        <v>0</v>
      </c>
      <c r="AF222" s="35">
        <f t="shared" si="475"/>
        <v>0</v>
      </c>
      <c r="AG222" s="35">
        <f t="shared" si="475"/>
        <v>0</v>
      </c>
      <c r="AH222" s="35">
        <f t="shared" si="475"/>
        <v>0</v>
      </c>
      <c r="AI222" s="35">
        <f t="shared" si="475"/>
        <v>0</v>
      </c>
      <c r="AJ222" s="35">
        <f t="shared" si="475"/>
        <v>0</v>
      </c>
      <c r="AK222" s="35">
        <f t="shared" si="475"/>
        <v>0</v>
      </c>
      <c r="AL222" s="35">
        <f t="shared" si="475"/>
        <v>0</v>
      </c>
      <c r="AM222" s="35">
        <f t="shared" si="475"/>
        <v>0</v>
      </c>
      <c r="AN222" s="35">
        <f t="shared" si="475"/>
        <v>0</v>
      </c>
      <c r="AO222" s="35">
        <f t="shared" si="475"/>
        <v>0</v>
      </c>
      <c r="AP222" s="35">
        <f t="shared" si="475"/>
        <v>0</v>
      </c>
      <c r="AQ222" s="35">
        <f t="shared" si="475"/>
        <v>0</v>
      </c>
      <c r="AR222" s="35"/>
      <c r="AS222" s="35">
        <f t="shared" si="475"/>
        <v>0</v>
      </c>
      <c r="AT222" s="35">
        <f t="shared" si="475"/>
        <v>0</v>
      </c>
      <c r="AU222" s="35">
        <f t="shared" si="475"/>
        <v>0</v>
      </c>
      <c r="AV222" s="35"/>
      <c r="AW222" s="35"/>
      <c r="AX222" s="35">
        <f t="shared" si="475"/>
        <v>0</v>
      </c>
      <c r="AY222" s="35">
        <f t="shared" si="475"/>
        <v>0</v>
      </c>
      <c r="AZ222" s="35">
        <f t="shared" si="475"/>
        <v>0</v>
      </c>
      <c r="BA222" s="35">
        <f t="shared" si="475"/>
        <v>0</v>
      </c>
      <c r="BB222" s="35"/>
      <c r="BC222" s="35">
        <f t="shared" si="475"/>
        <v>0</v>
      </c>
      <c r="BD222" s="35">
        <f t="shared" si="475"/>
        <v>226573391</v>
      </c>
      <c r="BE222" s="35">
        <f t="shared" si="475"/>
        <v>1696432</v>
      </c>
      <c r="BF222" s="35">
        <f t="shared" si="475"/>
        <v>1696432</v>
      </c>
      <c r="BG222" s="35">
        <f t="shared" si="475"/>
        <v>0</v>
      </c>
      <c r="BH222" s="35">
        <f t="shared" si="475"/>
        <v>0</v>
      </c>
      <c r="BI222" s="35">
        <f t="shared" si="475"/>
        <v>0</v>
      </c>
      <c r="BJ222" s="35">
        <f t="shared" si="475"/>
        <v>0</v>
      </c>
      <c r="BK222" s="35">
        <f t="shared" si="475"/>
        <v>0</v>
      </c>
      <c r="BL222" s="35">
        <f t="shared" si="475"/>
        <v>0</v>
      </c>
      <c r="BM222" s="35">
        <f t="shared" si="475"/>
        <v>224876959</v>
      </c>
      <c r="BN222" s="35">
        <f t="shared" si="475"/>
        <v>0</v>
      </c>
      <c r="BO222" s="35">
        <f t="shared" si="475"/>
        <v>0</v>
      </c>
      <c r="BP222" s="35">
        <f t="shared" si="475"/>
        <v>0</v>
      </c>
      <c r="BQ222" s="35">
        <f t="shared" si="475"/>
        <v>0</v>
      </c>
      <c r="BR222" s="35">
        <f t="shared" si="475"/>
        <v>0</v>
      </c>
      <c r="BS222" s="35">
        <f t="shared" si="475"/>
        <v>0</v>
      </c>
      <c r="BT222" s="35">
        <f t="shared" si="475"/>
        <v>0</v>
      </c>
      <c r="BU222" s="35">
        <f t="shared" si="475"/>
        <v>0</v>
      </c>
      <c r="BV222" s="35">
        <f t="shared" si="475"/>
        <v>0</v>
      </c>
      <c r="BW222" s="35">
        <f t="shared" si="475"/>
        <v>0</v>
      </c>
      <c r="BX222" s="35">
        <f t="shared" si="475"/>
        <v>0</v>
      </c>
      <c r="BY222" s="35">
        <f t="shared" ref="BY222:CZ222" si="476">SUM(BY223)</f>
        <v>0</v>
      </c>
      <c r="BZ222" s="35">
        <f t="shared" si="476"/>
        <v>0</v>
      </c>
      <c r="CA222" s="35">
        <f t="shared" si="476"/>
        <v>0</v>
      </c>
      <c r="CB222" s="35">
        <f t="shared" si="476"/>
        <v>0</v>
      </c>
      <c r="CC222" s="35">
        <f t="shared" si="476"/>
        <v>0</v>
      </c>
      <c r="CD222" s="35">
        <f t="shared" si="476"/>
        <v>0</v>
      </c>
      <c r="CE222" s="35">
        <f t="shared" si="476"/>
        <v>0</v>
      </c>
      <c r="CF222" s="35">
        <f t="shared" si="476"/>
        <v>0</v>
      </c>
      <c r="CG222" s="35">
        <f t="shared" si="476"/>
        <v>0</v>
      </c>
      <c r="CH222" s="35">
        <f t="shared" si="476"/>
        <v>0</v>
      </c>
      <c r="CI222" s="35">
        <f t="shared" si="476"/>
        <v>0</v>
      </c>
      <c r="CJ222" s="35">
        <f t="shared" si="476"/>
        <v>0</v>
      </c>
      <c r="CK222" s="35">
        <f t="shared" si="476"/>
        <v>0</v>
      </c>
      <c r="CL222" s="35">
        <f t="shared" si="476"/>
        <v>0</v>
      </c>
      <c r="CM222" s="35">
        <f t="shared" si="476"/>
        <v>0</v>
      </c>
      <c r="CN222" s="35">
        <f t="shared" si="476"/>
        <v>0</v>
      </c>
      <c r="CO222" s="35">
        <f t="shared" si="476"/>
        <v>0</v>
      </c>
      <c r="CP222" s="35">
        <f t="shared" si="476"/>
        <v>0</v>
      </c>
      <c r="CQ222" s="35">
        <f t="shared" si="476"/>
        <v>0</v>
      </c>
      <c r="CR222" s="35"/>
      <c r="CS222" s="35"/>
      <c r="CT222" s="35">
        <f t="shared" si="476"/>
        <v>0</v>
      </c>
      <c r="CU222" s="35">
        <f t="shared" si="476"/>
        <v>0</v>
      </c>
      <c r="CV222" s="35">
        <f t="shared" si="476"/>
        <v>0</v>
      </c>
      <c r="CW222" s="35">
        <f t="shared" si="476"/>
        <v>0</v>
      </c>
      <c r="CX222" s="35">
        <f t="shared" si="476"/>
        <v>0</v>
      </c>
      <c r="CY222" s="35">
        <f t="shared" si="476"/>
        <v>0</v>
      </c>
      <c r="CZ222" s="36">
        <f t="shared" si="476"/>
        <v>0</v>
      </c>
      <c r="HJ222" s="61"/>
    </row>
    <row r="223" spans="1:218" ht="31.2" x14ac:dyDescent="0.3">
      <c r="A223" s="20"/>
      <c r="B223" s="21" t="s">
        <v>338</v>
      </c>
      <c r="C223" s="21" t="s">
        <v>1</v>
      </c>
      <c r="D223" s="22" t="s">
        <v>441</v>
      </c>
      <c r="E223" s="23">
        <f>SUM(E224:E225)</f>
        <v>226573391</v>
      </c>
      <c r="F223" s="24">
        <f t="shared" ref="F223:BX223" si="477">SUM(F224:F225)</f>
        <v>226573391</v>
      </c>
      <c r="G223" s="24">
        <f t="shared" si="477"/>
        <v>0</v>
      </c>
      <c r="H223" s="24">
        <f t="shared" si="477"/>
        <v>0</v>
      </c>
      <c r="I223" s="24">
        <f t="shared" si="477"/>
        <v>0</v>
      </c>
      <c r="J223" s="24">
        <f t="shared" si="477"/>
        <v>0</v>
      </c>
      <c r="K223" s="24">
        <f t="shared" si="477"/>
        <v>0</v>
      </c>
      <c r="L223" s="24">
        <f t="shared" si="477"/>
        <v>0</v>
      </c>
      <c r="M223" s="24">
        <f t="shared" si="477"/>
        <v>0</v>
      </c>
      <c r="N223" s="24">
        <f t="shared" si="477"/>
        <v>0</v>
      </c>
      <c r="O223" s="24">
        <f t="shared" si="477"/>
        <v>0</v>
      </c>
      <c r="P223" s="24">
        <f t="shared" si="477"/>
        <v>0</v>
      </c>
      <c r="Q223" s="24">
        <f t="shared" si="477"/>
        <v>0</v>
      </c>
      <c r="R223" s="24">
        <f t="shared" si="477"/>
        <v>0</v>
      </c>
      <c r="S223" s="24">
        <f t="shared" si="477"/>
        <v>0</v>
      </c>
      <c r="T223" s="24">
        <f t="shared" si="477"/>
        <v>0</v>
      </c>
      <c r="U223" s="24">
        <f t="shared" si="477"/>
        <v>0</v>
      </c>
      <c r="V223" s="24">
        <f t="shared" si="477"/>
        <v>0</v>
      </c>
      <c r="W223" s="24">
        <f t="shared" si="477"/>
        <v>0</v>
      </c>
      <c r="X223" s="24">
        <f t="shared" si="477"/>
        <v>0</v>
      </c>
      <c r="Y223" s="24">
        <f t="shared" si="477"/>
        <v>0</v>
      </c>
      <c r="Z223" s="24">
        <f t="shared" si="477"/>
        <v>0</v>
      </c>
      <c r="AA223" s="24">
        <f t="shared" si="477"/>
        <v>0</v>
      </c>
      <c r="AB223" s="24">
        <f t="shared" si="477"/>
        <v>0</v>
      </c>
      <c r="AC223" s="24">
        <f t="shared" si="477"/>
        <v>0</v>
      </c>
      <c r="AD223" s="24">
        <f t="shared" si="477"/>
        <v>0</v>
      </c>
      <c r="AE223" s="24">
        <f t="shared" si="477"/>
        <v>0</v>
      </c>
      <c r="AF223" s="24">
        <f t="shared" si="477"/>
        <v>0</v>
      </c>
      <c r="AG223" s="24">
        <f t="shared" si="477"/>
        <v>0</v>
      </c>
      <c r="AH223" s="24">
        <f t="shared" si="477"/>
        <v>0</v>
      </c>
      <c r="AI223" s="24">
        <f t="shared" si="477"/>
        <v>0</v>
      </c>
      <c r="AJ223" s="24">
        <f t="shared" si="477"/>
        <v>0</v>
      </c>
      <c r="AK223" s="24">
        <f t="shared" si="477"/>
        <v>0</v>
      </c>
      <c r="AL223" s="24">
        <f t="shared" si="477"/>
        <v>0</v>
      </c>
      <c r="AM223" s="24">
        <f t="shared" si="477"/>
        <v>0</v>
      </c>
      <c r="AN223" s="24">
        <f t="shared" si="477"/>
        <v>0</v>
      </c>
      <c r="AO223" s="24">
        <f t="shared" si="477"/>
        <v>0</v>
      </c>
      <c r="AP223" s="24">
        <f t="shared" si="477"/>
        <v>0</v>
      </c>
      <c r="AQ223" s="24">
        <f t="shared" si="477"/>
        <v>0</v>
      </c>
      <c r="AR223" s="24"/>
      <c r="AS223" s="24">
        <f t="shared" si="477"/>
        <v>0</v>
      </c>
      <c r="AT223" s="24">
        <f t="shared" si="477"/>
        <v>0</v>
      </c>
      <c r="AU223" s="24">
        <f t="shared" si="477"/>
        <v>0</v>
      </c>
      <c r="AV223" s="24"/>
      <c r="AW223" s="24"/>
      <c r="AX223" s="24">
        <f t="shared" si="477"/>
        <v>0</v>
      </c>
      <c r="AY223" s="24">
        <f t="shared" si="477"/>
        <v>0</v>
      </c>
      <c r="AZ223" s="24">
        <f t="shared" si="477"/>
        <v>0</v>
      </c>
      <c r="BA223" s="24">
        <f t="shared" si="477"/>
        <v>0</v>
      </c>
      <c r="BB223" s="24"/>
      <c r="BC223" s="24">
        <f t="shared" si="477"/>
        <v>0</v>
      </c>
      <c r="BD223" s="24">
        <f t="shared" si="477"/>
        <v>226573391</v>
      </c>
      <c r="BE223" s="24">
        <f t="shared" si="477"/>
        <v>1696432</v>
      </c>
      <c r="BF223" s="24">
        <f t="shared" si="477"/>
        <v>1696432</v>
      </c>
      <c r="BG223" s="24">
        <f t="shared" si="477"/>
        <v>0</v>
      </c>
      <c r="BH223" s="24">
        <f t="shared" si="477"/>
        <v>0</v>
      </c>
      <c r="BI223" s="24">
        <f t="shared" si="477"/>
        <v>0</v>
      </c>
      <c r="BJ223" s="24">
        <f t="shared" si="477"/>
        <v>0</v>
      </c>
      <c r="BK223" s="24">
        <f t="shared" ref="BK223" si="478">SUM(BK224:BK225)</f>
        <v>0</v>
      </c>
      <c r="BL223" s="24">
        <f t="shared" si="477"/>
        <v>0</v>
      </c>
      <c r="BM223" s="24">
        <f t="shared" si="477"/>
        <v>224876959</v>
      </c>
      <c r="BN223" s="24">
        <f t="shared" si="477"/>
        <v>0</v>
      </c>
      <c r="BO223" s="24">
        <f t="shared" si="477"/>
        <v>0</v>
      </c>
      <c r="BP223" s="24">
        <f t="shared" si="477"/>
        <v>0</v>
      </c>
      <c r="BQ223" s="24">
        <f t="shared" ref="BQ223" si="479">SUM(BQ224:BQ225)</f>
        <v>0</v>
      </c>
      <c r="BR223" s="24">
        <f t="shared" si="477"/>
        <v>0</v>
      </c>
      <c r="BS223" s="24">
        <f t="shared" si="477"/>
        <v>0</v>
      </c>
      <c r="BT223" s="24">
        <f t="shared" si="477"/>
        <v>0</v>
      </c>
      <c r="BU223" s="24">
        <f t="shared" si="477"/>
        <v>0</v>
      </c>
      <c r="BV223" s="24">
        <f t="shared" si="477"/>
        <v>0</v>
      </c>
      <c r="BW223" s="24">
        <f t="shared" si="477"/>
        <v>0</v>
      </c>
      <c r="BX223" s="24">
        <f t="shared" si="477"/>
        <v>0</v>
      </c>
      <c r="BY223" s="24">
        <f t="shared" ref="BY223:CZ223" si="480">SUM(BY224:BY225)</f>
        <v>0</v>
      </c>
      <c r="BZ223" s="24">
        <f t="shared" si="480"/>
        <v>0</v>
      </c>
      <c r="CA223" s="24">
        <f t="shared" si="480"/>
        <v>0</v>
      </c>
      <c r="CB223" s="24">
        <f t="shared" si="480"/>
        <v>0</v>
      </c>
      <c r="CC223" s="24">
        <f t="shared" si="480"/>
        <v>0</v>
      </c>
      <c r="CD223" s="24">
        <f t="shared" si="480"/>
        <v>0</v>
      </c>
      <c r="CE223" s="24">
        <f t="shared" si="480"/>
        <v>0</v>
      </c>
      <c r="CF223" s="24">
        <f t="shared" si="480"/>
        <v>0</v>
      </c>
      <c r="CG223" s="24">
        <f t="shared" si="480"/>
        <v>0</v>
      </c>
      <c r="CH223" s="24">
        <f t="shared" si="480"/>
        <v>0</v>
      </c>
      <c r="CI223" s="24">
        <f t="shared" si="480"/>
        <v>0</v>
      </c>
      <c r="CJ223" s="24">
        <f t="shared" si="480"/>
        <v>0</v>
      </c>
      <c r="CK223" s="24">
        <f t="shared" ref="CK223:CL223" si="481">SUM(CK224:CK225)</f>
        <v>0</v>
      </c>
      <c r="CL223" s="24">
        <f t="shared" si="481"/>
        <v>0</v>
      </c>
      <c r="CM223" s="24">
        <f t="shared" si="480"/>
        <v>0</v>
      </c>
      <c r="CN223" s="24">
        <f t="shared" si="480"/>
        <v>0</v>
      </c>
      <c r="CO223" s="24">
        <f t="shared" si="480"/>
        <v>0</v>
      </c>
      <c r="CP223" s="24">
        <f t="shared" ref="CP223" si="482">SUM(CP224:CP225)</f>
        <v>0</v>
      </c>
      <c r="CQ223" s="24">
        <f t="shared" si="480"/>
        <v>0</v>
      </c>
      <c r="CR223" s="24"/>
      <c r="CS223" s="24"/>
      <c r="CT223" s="24">
        <f t="shared" si="480"/>
        <v>0</v>
      </c>
      <c r="CU223" s="24">
        <f t="shared" si="480"/>
        <v>0</v>
      </c>
      <c r="CV223" s="24">
        <f t="shared" si="480"/>
        <v>0</v>
      </c>
      <c r="CW223" s="24">
        <f t="shared" si="480"/>
        <v>0</v>
      </c>
      <c r="CX223" s="24">
        <f t="shared" si="480"/>
        <v>0</v>
      </c>
      <c r="CY223" s="24">
        <f t="shared" si="480"/>
        <v>0</v>
      </c>
      <c r="CZ223" s="25">
        <f t="shared" si="480"/>
        <v>0</v>
      </c>
      <c r="HJ223" s="64"/>
    </row>
    <row r="224" spans="1:218" ht="31.2" x14ac:dyDescent="0.3">
      <c r="A224" s="26" t="s">
        <v>1</v>
      </c>
      <c r="B224" s="27" t="s">
        <v>1</v>
      </c>
      <c r="C224" s="41" t="s">
        <v>82</v>
      </c>
      <c r="D224" s="38" t="s">
        <v>339</v>
      </c>
      <c r="E224" s="23">
        <f>SUM(F224+CD224+CW224)</f>
        <v>1696432</v>
      </c>
      <c r="F224" s="24">
        <f>SUM(G224+BD224)</f>
        <v>1696432</v>
      </c>
      <c r="G224" s="24">
        <f>SUM(H224+I224+J224+Q224+T224+U224+V224+AF224+AE224)</f>
        <v>0</v>
      </c>
      <c r="H224" s="24">
        <v>0</v>
      </c>
      <c r="I224" s="24">
        <v>0</v>
      </c>
      <c r="J224" s="24">
        <f t="shared" si="297"/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f t="shared" si="298"/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f t="shared" ref="V224:V225" si="483">SUM(W224:AD224)</f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f>SUM(AG224:BC224)</f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4"/>
      <c r="AS224" s="24">
        <v>0</v>
      </c>
      <c r="AT224" s="24">
        <v>0</v>
      </c>
      <c r="AU224" s="24">
        <v>0</v>
      </c>
      <c r="AV224" s="24"/>
      <c r="AW224" s="24"/>
      <c r="AX224" s="24">
        <v>0</v>
      </c>
      <c r="AY224" s="24">
        <v>0</v>
      </c>
      <c r="AZ224" s="24">
        <v>0</v>
      </c>
      <c r="BA224" s="24">
        <v>0</v>
      </c>
      <c r="BB224" s="24"/>
      <c r="BC224" s="24">
        <v>0</v>
      </c>
      <c r="BD224" s="24">
        <f>SUM(BE224+BI224+BM224+BO224+BR224)</f>
        <v>1696432</v>
      </c>
      <c r="BE224" s="24">
        <f>SUM(BF224:BH224)</f>
        <v>1696432</v>
      </c>
      <c r="BF224" s="29">
        <v>1696432</v>
      </c>
      <c r="BG224" s="24">
        <v>0</v>
      </c>
      <c r="BH224" s="24">
        <v>0</v>
      </c>
      <c r="BI224" s="24">
        <f>SUM(BL224:BL224)</f>
        <v>0</v>
      </c>
      <c r="BJ224" s="24">
        <v>0</v>
      </c>
      <c r="BK224" s="24">
        <v>0</v>
      </c>
      <c r="BL224" s="24">
        <v>0</v>
      </c>
      <c r="BM224" s="24"/>
      <c r="BN224" s="24">
        <v>0</v>
      </c>
      <c r="BO224" s="24">
        <f t="shared" si="300"/>
        <v>0</v>
      </c>
      <c r="BP224" s="24">
        <v>0</v>
      </c>
      <c r="BQ224" s="24">
        <v>0</v>
      </c>
      <c r="BR224" s="24">
        <f>SUM(BS224:CC224)</f>
        <v>0</v>
      </c>
      <c r="BS224" s="24">
        <v>0</v>
      </c>
      <c r="BT224" s="24">
        <v>0</v>
      </c>
      <c r="BU224" s="24">
        <v>0</v>
      </c>
      <c r="BV224" s="24">
        <v>0</v>
      </c>
      <c r="BW224" s="24">
        <v>0</v>
      </c>
      <c r="BX224" s="24">
        <v>0</v>
      </c>
      <c r="BY224" s="24">
        <v>0</v>
      </c>
      <c r="BZ224" s="24">
        <v>0</v>
      </c>
      <c r="CA224" s="24">
        <v>0</v>
      </c>
      <c r="CB224" s="24">
        <v>0</v>
      </c>
      <c r="CC224" s="24">
        <v>0</v>
      </c>
      <c r="CD224" s="24">
        <f>SUM(CE224+CV224)</f>
        <v>0</v>
      </c>
      <c r="CE224" s="24">
        <f>SUM(CF224+CI224+CN224)</f>
        <v>0</v>
      </c>
      <c r="CF224" s="24">
        <f t="shared" si="301"/>
        <v>0</v>
      </c>
      <c r="CG224" s="24">
        <v>0</v>
      </c>
      <c r="CH224" s="24">
        <v>0</v>
      </c>
      <c r="CI224" s="24">
        <f>SUM(CJ224:CM224)</f>
        <v>0</v>
      </c>
      <c r="CJ224" s="24">
        <v>0</v>
      </c>
      <c r="CK224" s="24">
        <v>0</v>
      </c>
      <c r="CL224" s="24">
        <v>0</v>
      </c>
      <c r="CM224" s="24">
        <v>0</v>
      </c>
      <c r="CN224" s="24">
        <f>SUM(CO224:CS224)</f>
        <v>0</v>
      </c>
      <c r="CO224" s="24">
        <v>0</v>
      </c>
      <c r="CP224" s="24">
        <v>0</v>
      </c>
      <c r="CQ224" s="24">
        <v>0</v>
      </c>
      <c r="CR224" s="24"/>
      <c r="CS224" s="24"/>
      <c r="CT224" s="24">
        <v>0</v>
      </c>
      <c r="CU224" s="24">
        <v>0</v>
      </c>
      <c r="CV224" s="24">
        <v>0</v>
      </c>
      <c r="CW224" s="24">
        <f t="shared" si="302"/>
        <v>0</v>
      </c>
      <c r="CX224" s="24">
        <f t="shared" si="303"/>
        <v>0</v>
      </c>
      <c r="CY224" s="24">
        <v>0</v>
      </c>
      <c r="CZ224" s="25">
        <v>0</v>
      </c>
    </row>
    <row r="225" spans="1:218" ht="31.2" x14ac:dyDescent="0.3">
      <c r="A225" s="26" t="s">
        <v>1</v>
      </c>
      <c r="B225" s="27" t="s">
        <v>1</v>
      </c>
      <c r="C225" s="41" t="s">
        <v>105</v>
      </c>
      <c r="D225" s="38" t="s">
        <v>574</v>
      </c>
      <c r="E225" s="23">
        <f>SUM(F225+CD225+CW225)</f>
        <v>224876959</v>
      </c>
      <c r="F225" s="24">
        <f>SUM(G225+BD225)</f>
        <v>224876959</v>
      </c>
      <c r="G225" s="24">
        <f>SUM(H225+I225+J225+Q225+T225+U225+V225+AF225+AE225)</f>
        <v>0</v>
      </c>
      <c r="H225" s="24">
        <v>0</v>
      </c>
      <c r="I225" s="24">
        <v>0</v>
      </c>
      <c r="J225" s="24">
        <f t="shared" si="297"/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f t="shared" si="298"/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f t="shared" si="483"/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f>SUM(AG225:BC225)</f>
        <v>0</v>
      </c>
      <c r="AG225" s="24">
        <v>0</v>
      </c>
      <c r="AH225" s="24">
        <v>0</v>
      </c>
      <c r="AI225" s="24">
        <v>0</v>
      </c>
      <c r="AJ225" s="24">
        <v>0</v>
      </c>
      <c r="AK225" s="24">
        <v>0</v>
      </c>
      <c r="AL225" s="24">
        <v>0</v>
      </c>
      <c r="AM225" s="24">
        <v>0</v>
      </c>
      <c r="AN225" s="24">
        <v>0</v>
      </c>
      <c r="AO225" s="24">
        <v>0</v>
      </c>
      <c r="AP225" s="24">
        <v>0</v>
      </c>
      <c r="AQ225" s="24">
        <v>0</v>
      </c>
      <c r="AR225" s="24"/>
      <c r="AS225" s="24">
        <v>0</v>
      </c>
      <c r="AT225" s="24">
        <v>0</v>
      </c>
      <c r="AU225" s="24">
        <v>0</v>
      </c>
      <c r="AV225" s="24"/>
      <c r="AW225" s="24"/>
      <c r="AX225" s="24">
        <v>0</v>
      </c>
      <c r="AY225" s="24">
        <v>0</v>
      </c>
      <c r="AZ225" s="24">
        <v>0</v>
      </c>
      <c r="BA225" s="24">
        <v>0</v>
      </c>
      <c r="BB225" s="24"/>
      <c r="BC225" s="24">
        <v>0</v>
      </c>
      <c r="BD225" s="24">
        <f>SUM(BE225+BI225+BM225+BO225+BR225)</f>
        <v>224876959</v>
      </c>
      <c r="BE225" s="24">
        <f>SUM(BF225:BH225)</f>
        <v>0</v>
      </c>
      <c r="BF225" s="24"/>
      <c r="BG225" s="24">
        <v>0</v>
      </c>
      <c r="BH225" s="24">
        <v>0</v>
      </c>
      <c r="BI225" s="24">
        <f>SUM(BL225:BL225)</f>
        <v>0</v>
      </c>
      <c r="BJ225" s="24">
        <v>0</v>
      </c>
      <c r="BK225" s="24">
        <v>0</v>
      </c>
      <c r="BL225" s="24">
        <v>0</v>
      </c>
      <c r="BM225" s="29">
        <f>192789292+15277314+222602+16482889+104862</f>
        <v>224876959</v>
      </c>
      <c r="BN225" s="24">
        <v>0</v>
      </c>
      <c r="BO225" s="24">
        <f t="shared" si="300"/>
        <v>0</v>
      </c>
      <c r="BP225" s="24">
        <v>0</v>
      </c>
      <c r="BQ225" s="24">
        <v>0</v>
      </c>
      <c r="BR225" s="24">
        <f>SUM(BS225:CC225)</f>
        <v>0</v>
      </c>
      <c r="BS225" s="24">
        <v>0</v>
      </c>
      <c r="BT225" s="24">
        <v>0</v>
      </c>
      <c r="BU225" s="24">
        <v>0</v>
      </c>
      <c r="BV225" s="24">
        <v>0</v>
      </c>
      <c r="BW225" s="24">
        <v>0</v>
      </c>
      <c r="BX225" s="24">
        <v>0</v>
      </c>
      <c r="BY225" s="24">
        <v>0</v>
      </c>
      <c r="BZ225" s="24">
        <v>0</v>
      </c>
      <c r="CA225" s="24">
        <v>0</v>
      </c>
      <c r="CB225" s="24">
        <v>0</v>
      </c>
      <c r="CC225" s="24">
        <v>0</v>
      </c>
      <c r="CD225" s="24">
        <f>SUM(CE225+CV225)</f>
        <v>0</v>
      </c>
      <c r="CE225" s="24">
        <f>SUM(CF225+CI225+CN225)</f>
        <v>0</v>
      </c>
      <c r="CF225" s="24">
        <f t="shared" si="301"/>
        <v>0</v>
      </c>
      <c r="CG225" s="24">
        <v>0</v>
      </c>
      <c r="CH225" s="24">
        <v>0</v>
      </c>
      <c r="CI225" s="24">
        <f>SUM(CJ225:CM225)</f>
        <v>0</v>
      </c>
      <c r="CJ225" s="24">
        <v>0</v>
      </c>
      <c r="CK225" s="24">
        <v>0</v>
      </c>
      <c r="CL225" s="24">
        <v>0</v>
      </c>
      <c r="CM225" s="24">
        <v>0</v>
      </c>
      <c r="CN225" s="24">
        <f>SUM(CO225:CS225)</f>
        <v>0</v>
      </c>
      <c r="CO225" s="24">
        <v>0</v>
      </c>
      <c r="CP225" s="24">
        <v>0</v>
      </c>
      <c r="CQ225" s="24">
        <v>0</v>
      </c>
      <c r="CR225" s="24"/>
      <c r="CS225" s="24"/>
      <c r="CT225" s="24">
        <v>0</v>
      </c>
      <c r="CU225" s="24">
        <v>0</v>
      </c>
      <c r="CV225" s="24">
        <v>0</v>
      </c>
      <c r="CW225" s="24">
        <f t="shared" si="302"/>
        <v>0</v>
      </c>
      <c r="CX225" s="24">
        <f t="shared" si="303"/>
        <v>0</v>
      </c>
      <c r="CY225" s="24">
        <v>0</v>
      </c>
      <c r="CZ225" s="25">
        <v>0</v>
      </c>
    </row>
    <row r="226" spans="1:218" ht="15.6" x14ac:dyDescent="0.3">
      <c r="A226" s="71" t="s">
        <v>645</v>
      </c>
      <c r="B226" s="72" t="s">
        <v>1</v>
      </c>
      <c r="C226" s="72" t="s">
        <v>1</v>
      </c>
      <c r="D226" s="73" t="s">
        <v>646</v>
      </c>
      <c r="E226" s="34">
        <f>SUM(E227)</f>
        <v>275900</v>
      </c>
      <c r="F226" s="35">
        <f t="shared" ref="F226:BX227" si="484">SUM(F227)</f>
        <v>0</v>
      </c>
      <c r="G226" s="35">
        <f t="shared" si="484"/>
        <v>0</v>
      </c>
      <c r="H226" s="35">
        <f t="shared" si="484"/>
        <v>0</v>
      </c>
      <c r="I226" s="35">
        <f t="shared" si="484"/>
        <v>0</v>
      </c>
      <c r="J226" s="35">
        <f t="shared" si="484"/>
        <v>0</v>
      </c>
      <c r="K226" s="35">
        <f t="shared" si="484"/>
        <v>0</v>
      </c>
      <c r="L226" s="35">
        <f t="shared" si="484"/>
        <v>0</v>
      </c>
      <c r="M226" s="35">
        <f t="shared" si="484"/>
        <v>0</v>
      </c>
      <c r="N226" s="35">
        <f t="shared" si="484"/>
        <v>0</v>
      </c>
      <c r="O226" s="35">
        <f t="shared" si="484"/>
        <v>0</v>
      </c>
      <c r="P226" s="35">
        <f t="shared" si="484"/>
        <v>0</v>
      </c>
      <c r="Q226" s="35">
        <f t="shared" si="484"/>
        <v>0</v>
      </c>
      <c r="R226" s="35">
        <f t="shared" si="484"/>
        <v>0</v>
      </c>
      <c r="S226" s="35">
        <f t="shared" si="484"/>
        <v>0</v>
      </c>
      <c r="T226" s="35">
        <f t="shared" si="484"/>
        <v>0</v>
      </c>
      <c r="U226" s="35">
        <f t="shared" si="484"/>
        <v>0</v>
      </c>
      <c r="V226" s="35">
        <f t="shared" si="484"/>
        <v>0</v>
      </c>
      <c r="W226" s="35">
        <f t="shared" si="484"/>
        <v>0</v>
      </c>
      <c r="X226" s="35">
        <f t="shared" si="484"/>
        <v>0</v>
      </c>
      <c r="Y226" s="35">
        <f t="shared" si="484"/>
        <v>0</v>
      </c>
      <c r="Z226" s="35">
        <f t="shared" si="484"/>
        <v>0</v>
      </c>
      <c r="AA226" s="35">
        <f t="shared" si="484"/>
        <v>0</v>
      </c>
      <c r="AB226" s="35">
        <f t="shared" si="484"/>
        <v>0</v>
      </c>
      <c r="AC226" s="35">
        <f t="shared" si="484"/>
        <v>0</v>
      </c>
      <c r="AD226" s="35">
        <f t="shared" si="484"/>
        <v>0</v>
      </c>
      <c r="AE226" s="35">
        <f t="shared" si="484"/>
        <v>0</v>
      </c>
      <c r="AF226" s="35">
        <f t="shared" si="484"/>
        <v>0</v>
      </c>
      <c r="AG226" s="35">
        <f t="shared" si="484"/>
        <v>0</v>
      </c>
      <c r="AH226" s="35">
        <f t="shared" si="484"/>
        <v>0</v>
      </c>
      <c r="AI226" s="35">
        <f t="shared" si="484"/>
        <v>0</v>
      </c>
      <c r="AJ226" s="35">
        <f t="shared" si="484"/>
        <v>0</v>
      </c>
      <c r="AK226" s="35">
        <f t="shared" si="484"/>
        <v>0</v>
      </c>
      <c r="AL226" s="35">
        <f t="shared" si="484"/>
        <v>0</v>
      </c>
      <c r="AM226" s="35">
        <f t="shared" si="484"/>
        <v>0</v>
      </c>
      <c r="AN226" s="35">
        <f t="shared" si="484"/>
        <v>0</v>
      </c>
      <c r="AO226" s="35">
        <f t="shared" si="484"/>
        <v>0</v>
      </c>
      <c r="AP226" s="35">
        <f t="shared" si="484"/>
        <v>0</v>
      </c>
      <c r="AQ226" s="35">
        <f t="shared" si="484"/>
        <v>0</v>
      </c>
      <c r="AR226" s="35"/>
      <c r="AS226" s="35">
        <f t="shared" si="484"/>
        <v>0</v>
      </c>
      <c r="AT226" s="35">
        <f t="shared" si="484"/>
        <v>0</v>
      </c>
      <c r="AU226" s="35">
        <f t="shared" si="484"/>
        <v>0</v>
      </c>
      <c r="AV226" s="35"/>
      <c r="AW226" s="35"/>
      <c r="AX226" s="35">
        <f t="shared" si="484"/>
        <v>0</v>
      </c>
      <c r="AY226" s="35">
        <f t="shared" si="484"/>
        <v>0</v>
      </c>
      <c r="AZ226" s="35">
        <f t="shared" si="484"/>
        <v>0</v>
      </c>
      <c r="BA226" s="35">
        <f>SUM(BA227)</f>
        <v>0</v>
      </c>
      <c r="BB226" s="35"/>
      <c r="BC226" s="35">
        <f t="shared" si="484"/>
        <v>0</v>
      </c>
      <c r="BD226" s="35">
        <f t="shared" si="484"/>
        <v>0</v>
      </c>
      <c r="BE226" s="35">
        <f t="shared" si="484"/>
        <v>0</v>
      </c>
      <c r="BF226" s="35">
        <f t="shared" si="484"/>
        <v>0</v>
      </c>
      <c r="BG226" s="35">
        <f t="shared" si="484"/>
        <v>0</v>
      </c>
      <c r="BH226" s="35">
        <f t="shared" si="484"/>
        <v>0</v>
      </c>
      <c r="BI226" s="35">
        <f t="shared" si="484"/>
        <v>0</v>
      </c>
      <c r="BJ226" s="35">
        <f t="shared" si="484"/>
        <v>0</v>
      </c>
      <c r="BK226" s="35">
        <f t="shared" si="484"/>
        <v>0</v>
      </c>
      <c r="BL226" s="35">
        <f t="shared" si="484"/>
        <v>0</v>
      </c>
      <c r="BM226" s="35">
        <f t="shared" si="484"/>
        <v>0</v>
      </c>
      <c r="BN226" s="35">
        <f t="shared" si="484"/>
        <v>0</v>
      </c>
      <c r="BO226" s="35">
        <f t="shared" si="484"/>
        <v>0</v>
      </c>
      <c r="BP226" s="35">
        <f t="shared" si="484"/>
        <v>0</v>
      </c>
      <c r="BQ226" s="35">
        <f t="shared" si="484"/>
        <v>0</v>
      </c>
      <c r="BR226" s="35">
        <f t="shared" si="484"/>
        <v>0</v>
      </c>
      <c r="BS226" s="35">
        <f t="shared" si="484"/>
        <v>0</v>
      </c>
      <c r="BT226" s="35">
        <f t="shared" si="484"/>
        <v>0</v>
      </c>
      <c r="BU226" s="35">
        <f t="shared" si="484"/>
        <v>0</v>
      </c>
      <c r="BV226" s="35">
        <f t="shared" si="484"/>
        <v>0</v>
      </c>
      <c r="BW226" s="35">
        <f t="shared" si="484"/>
        <v>0</v>
      </c>
      <c r="BX226" s="35">
        <f t="shared" si="484"/>
        <v>0</v>
      </c>
      <c r="BY226" s="35">
        <f t="shared" ref="BY226:CZ227" si="485">SUM(BY227)</f>
        <v>0</v>
      </c>
      <c r="BZ226" s="35">
        <f t="shared" si="485"/>
        <v>0</v>
      </c>
      <c r="CA226" s="35">
        <f t="shared" si="485"/>
        <v>0</v>
      </c>
      <c r="CB226" s="35">
        <f t="shared" si="485"/>
        <v>0</v>
      </c>
      <c r="CC226" s="35">
        <f t="shared" si="485"/>
        <v>0</v>
      </c>
      <c r="CD226" s="35">
        <f t="shared" si="485"/>
        <v>275900</v>
      </c>
      <c r="CE226" s="35">
        <f t="shared" si="485"/>
        <v>275900</v>
      </c>
      <c r="CF226" s="35">
        <f t="shared" si="485"/>
        <v>0</v>
      </c>
      <c r="CG226" s="35">
        <f t="shared" si="485"/>
        <v>0</v>
      </c>
      <c r="CH226" s="35">
        <f t="shared" si="485"/>
        <v>0</v>
      </c>
      <c r="CI226" s="35">
        <f t="shared" si="485"/>
        <v>275900</v>
      </c>
      <c r="CJ226" s="35">
        <f t="shared" si="485"/>
        <v>275900</v>
      </c>
      <c r="CK226" s="35">
        <f t="shared" si="485"/>
        <v>0</v>
      </c>
      <c r="CL226" s="35">
        <f t="shared" si="485"/>
        <v>0</v>
      </c>
      <c r="CM226" s="35">
        <f t="shared" si="485"/>
        <v>0</v>
      </c>
      <c r="CN226" s="35">
        <f t="shared" si="485"/>
        <v>0</v>
      </c>
      <c r="CO226" s="35">
        <f t="shared" si="485"/>
        <v>0</v>
      </c>
      <c r="CP226" s="35">
        <f t="shared" si="485"/>
        <v>0</v>
      </c>
      <c r="CQ226" s="35">
        <f t="shared" si="485"/>
        <v>0</v>
      </c>
      <c r="CR226" s="35"/>
      <c r="CS226" s="35"/>
      <c r="CT226" s="35">
        <f t="shared" si="485"/>
        <v>0</v>
      </c>
      <c r="CU226" s="35">
        <f t="shared" si="485"/>
        <v>0</v>
      </c>
      <c r="CV226" s="35">
        <f t="shared" si="485"/>
        <v>0</v>
      </c>
      <c r="CW226" s="35">
        <f t="shared" si="485"/>
        <v>0</v>
      </c>
      <c r="CX226" s="35">
        <f t="shared" si="485"/>
        <v>0</v>
      </c>
      <c r="CY226" s="35">
        <f t="shared" si="485"/>
        <v>0</v>
      </c>
      <c r="CZ226" s="36">
        <f t="shared" si="485"/>
        <v>0</v>
      </c>
    </row>
    <row r="227" spans="1:218" ht="15.6" x14ac:dyDescent="0.3">
      <c r="A227" s="68"/>
      <c r="B227" s="69" t="s">
        <v>647</v>
      </c>
      <c r="C227" s="69" t="s">
        <v>1</v>
      </c>
      <c r="D227" s="70" t="s">
        <v>648</v>
      </c>
      <c r="E227" s="23">
        <f>SUM(E228)</f>
        <v>275900</v>
      </c>
      <c r="F227" s="24">
        <f t="shared" si="484"/>
        <v>0</v>
      </c>
      <c r="G227" s="24">
        <f t="shared" si="484"/>
        <v>0</v>
      </c>
      <c r="H227" s="24">
        <f t="shared" si="484"/>
        <v>0</v>
      </c>
      <c r="I227" s="24">
        <f t="shared" si="484"/>
        <v>0</v>
      </c>
      <c r="J227" s="24">
        <f t="shared" si="484"/>
        <v>0</v>
      </c>
      <c r="K227" s="24">
        <f t="shared" si="484"/>
        <v>0</v>
      </c>
      <c r="L227" s="24">
        <f t="shared" si="484"/>
        <v>0</v>
      </c>
      <c r="M227" s="24">
        <f t="shared" si="484"/>
        <v>0</v>
      </c>
      <c r="N227" s="24">
        <f t="shared" si="484"/>
        <v>0</v>
      </c>
      <c r="O227" s="24">
        <f t="shared" si="484"/>
        <v>0</v>
      </c>
      <c r="P227" s="24">
        <f t="shared" si="484"/>
        <v>0</v>
      </c>
      <c r="Q227" s="24">
        <f t="shared" si="484"/>
        <v>0</v>
      </c>
      <c r="R227" s="24">
        <f t="shared" si="484"/>
        <v>0</v>
      </c>
      <c r="S227" s="24">
        <f t="shared" si="484"/>
        <v>0</v>
      </c>
      <c r="T227" s="24">
        <f t="shared" si="484"/>
        <v>0</v>
      </c>
      <c r="U227" s="24">
        <f t="shared" si="484"/>
        <v>0</v>
      </c>
      <c r="V227" s="24">
        <f t="shared" si="484"/>
        <v>0</v>
      </c>
      <c r="W227" s="24">
        <f t="shared" si="484"/>
        <v>0</v>
      </c>
      <c r="X227" s="24">
        <f t="shared" si="484"/>
        <v>0</v>
      </c>
      <c r="Y227" s="24">
        <f t="shared" si="484"/>
        <v>0</v>
      </c>
      <c r="Z227" s="24">
        <f t="shared" si="484"/>
        <v>0</v>
      </c>
      <c r="AA227" s="24">
        <f t="shared" si="484"/>
        <v>0</v>
      </c>
      <c r="AB227" s="24">
        <f t="shared" si="484"/>
        <v>0</v>
      </c>
      <c r="AC227" s="24">
        <f t="shared" si="484"/>
        <v>0</v>
      </c>
      <c r="AD227" s="24">
        <f t="shared" si="484"/>
        <v>0</v>
      </c>
      <c r="AE227" s="24">
        <f t="shared" si="484"/>
        <v>0</v>
      </c>
      <c r="AF227" s="24">
        <f t="shared" si="484"/>
        <v>0</v>
      </c>
      <c r="AG227" s="24">
        <f t="shared" si="484"/>
        <v>0</v>
      </c>
      <c r="AH227" s="24">
        <f t="shared" si="484"/>
        <v>0</v>
      </c>
      <c r="AI227" s="24">
        <f t="shared" si="484"/>
        <v>0</v>
      </c>
      <c r="AJ227" s="24">
        <f t="shared" si="484"/>
        <v>0</v>
      </c>
      <c r="AK227" s="24">
        <f t="shared" si="484"/>
        <v>0</v>
      </c>
      <c r="AL227" s="24">
        <f t="shared" si="484"/>
        <v>0</v>
      </c>
      <c r="AM227" s="24">
        <f t="shared" si="484"/>
        <v>0</v>
      </c>
      <c r="AN227" s="24">
        <f t="shared" si="484"/>
        <v>0</v>
      </c>
      <c r="AO227" s="24">
        <f t="shared" si="484"/>
        <v>0</v>
      </c>
      <c r="AP227" s="24">
        <f t="shared" si="484"/>
        <v>0</v>
      </c>
      <c r="AQ227" s="24">
        <f t="shared" si="484"/>
        <v>0</v>
      </c>
      <c r="AR227" s="24"/>
      <c r="AS227" s="24">
        <f t="shared" si="484"/>
        <v>0</v>
      </c>
      <c r="AT227" s="24">
        <f t="shared" si="484"/>
        <v>0</v>
      </c>
      <c r="AU227" s="24">
        <f t="shared" si="484"/>
        <v>0</v>
      </c>
      <c r="AV227" s="24"/>
      <c r="AW227" s="24"/>
      <c r="AX227" s="24">
        <f t="shared" si="484"/>
        <v>0</v>
      </c>
      <c r="AY227" s="24">
        <f t="shared" si="484"/>
        <v>0</v>
      </c>
      <c r="AZ227" s="24">
        <f t="shared" si="484"/>
        <v>0</v>
      </c>
      <c r="BA227" s="24">
        <f>SUM(BA228)</f>
        <v>0</v>
      </c>
      <c r="BB227" s="24"/>
      <c r="BC227" s="24">
        <f t="shared" si="484"/>
        <v>0</v>
      </c>
      <c r="BD227" s="24">
        <f t="shared" si="484"/>
        <v>0</v>
      </c>
      <c r="BE227" s="24">
        <f t="shared" si="484"/>
        <v>0</v>
      </c>
      <c r="BF227" s="24">
        <f t="shared" si="484"/>
        <v>0</v>
      </c>
      <c r="BG227" s="24">
        <f t="shared" si="484"/>
        <v>0</v>
      </c>
      <c r="BH227" s="24">
        <f t="shared" si="484"/>
        <v>0</v>
      </c>
      <c r="BI227" s="24">
        <f t="shared" si="484"/>
        <v>0</v>
      </c>
      <c r="BJ227" s="24">
        <f t="shared" si="484"/>
        <v>0</v>
      </c>
      <c r="BK227" s="24">
        <f t="shared" si="484"/>
        <v>0</v>
      </c>
      <c r="BL227" s="24">
        <f t="shared" si="484"/>
        <v>0</v>
      </c>
      <c r="BM227" s="24">
        <f t="shared" si="484"/>
        <v>0</v>
      </c>
      <c r="BN227" s="24">
        <f t="shared" si="484"/>
        <v>0</v>
      </c>
      <c r="BO227" s="24">
        <f t="shared" si="484"/>
        <v>0</v>
      </c>
      <c r="BP227" s="24">
        <f t="shared" si="484"/>
        <v>0</v>
      </c>
      <c r="BQ227" s="24">
        <f t="shared" si="484"/>
        <v>0</v>
      </c>
      <c r="BR227" s="24">
        <f t="shared" si="484"/>
        <v>0</v>
      </c>
      <c r="BS227" s="24">
        <f t="shared" si="484"/>
        <v>0</v>
      </c>
      <c r="BT227" s="24">
        <f t="shared" ref="BT227:BX227" si="486">SUM(BT228)</f>
        <v>0</v>
      </c>
      <c r="BU227" s="24">
        <f t="shared" si="486"/>
        <v>0</v>
      </c>
      <c r="BV227" s="24">
        <f t="shared" si="486"/>
        <v>0</v>
      </c>
      <c r="BW227" s="24">
        <f t="shared" si="486"/>
        <v>0</v>
      </c>
      <c r="BX227" s="24">
        <f t="shared" si="486"/>
        <v>0</v>
      </c>
      <c r="BY227" s="24">
        <f t="shared" si="485"/>
        <v>0</v>
      </c>
      <c r="BZ227" s="24">
        <f t="shared" si="485"/>
        <v>0</v>
      </c>
      <c r="CA227" s="24">
        <f t="shared" si="485"/>
        <v>0</v>
      </c>
      <c r="CB227" s="24">
        <f t="shared" si="485"/>
        <v>0</v>
      </c>
      <c r="CC227" s="24">
        <f t="shared" si="485"/>
        <v>0</v>
      </c>
      <c r="CD227" s="24">
        <f t="shared" si="485"/>
        <v>275900</v>
      </c>
      <c r="CE227" s="24">
        <f t="shared" si="485"/>
        <v>275900</v>
      </c>
      <c r="CF227" s="24">
        <f t="shared" si="485"/>
        <v>0</v>
      </c>
      <c r="CG227" s="24">
        <f t="shared" si="485"/>
        <v>0</v>
      </c>
      <c r="CH227" s="24">
        <f t="shared" si="485"/>
        <v>0</v>
      </c>
      <c r="CI227" s="24">
        <f t="shared" si="485"/>
        <v>275900</v>
      </c>
      <c r="CJ227" s="24">
        <f t="shared" si="485"/>
        <v>275900</v>
      </c>
      <c r="CK227" s="24">
        <f t="shared" si="485"/>
        <v>0</v>
      </c>
      <c r="CL227" s="24">
        <f t="shared" si="485"/>
        <v>0</v>
      </c>
      <c r="CM227" s="24">
        <f t="shared" si="485"/>
        <v>0</v>
      </c>
      <c r="CN227" s="24">
        <f t="shared" si="485"/>
        <v>0</v>
      </c>
      <c r="CO227" s="24">
        <f t="shared" si="485"/>
        <v>0</v>
      </c>
      <c r="CP227" s="24">
        <f t="shared" si="485"/>
        <v>0</v>
      </c>
      <c r="CQ227" s="24">
        <f t="shared" si="485"/>
        <v>0</v>
      </c>
      <c r="CR227" s="24"/>
      <c r="CS227" s="24"/>
      <c r="CT227" s="24">
        <f t="shared" si="485"/>
        <v>0</v>
      </c>
      <c r="CU227" s="24">
        <f t="shared" si="485"/>
        <v>0</v>
      </c>
      <c r="CV227" s="24">
        <f t="shared" si="485"/>
        <v>0</v>
      </c>
      <c r="CW227" s="24">
        <f t="shared" si="485"/>
        <v>0</v>
      </c>
      <c r="CX227" s="24">
        <f t="shared" si="485"/>
        <v>0</v>
      </c>
      <c r="CY227" s="24">
        <f t="shared" si="485"/>
        <v>0</v>
      </c>
      <c r="CZ227" s="25">
        <f t="shared" si="485"/>
        <v>0</v>
      </c>
    </row>
    <row r="228" spans="1:218" ht="15.6" x14ac:dyDescent="0.3">
      <c r="A228" s="43" t="s">
        <v>1</v>
      </c>
      <c r="B228" s="44" t="s">
        <v>1</v>
      </c>
      <c r="C228" s="44" t="s">
        <v>88</v>
      </c>
      <c r="D228" s="45" t="s">
        <v>649</v>
      </c>
      <c r="E228" s="23">
        <f>SUM(F228+CD228+CW228)</f>
        <v>275900</v>
      </c>
      <c r="F228" s="24">
        <f>SUM(G228+BD228)</f>
        <v>0</v>
      </c>
      <c r="G228" s="24">
        <f>SUM(H228+I228+J228+Q228+T228+U228+V228+AF228+AE228)</f>
        <v>0</v>
      </c>
      <c r="H228" s="24">
        <v>0</v>
      </c>
      <c r="I228" s="24">
        <v>0</v>
      </c>
      <c r="J228" s="24">
        <f t="shared" ref="J228" si="487">SUM(K228:P228)</f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f t="shared" ref="Q228" si="488">SUM(R228:S228)</f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f t="shared" ref="V228" si="489">SUM(W228:AD228)</f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f>SUM(AG228:BC228)</f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0</v>
      </c>
      <c r="AQ228" s="24">
        <v>0</v>
      </c>
      <c r="AR228" s="24"/>
      <c r="AS228" s="24">
        <v>0</v>
      </c>
      <c r="AT228" s="24">
        <v>0</v>
      </c>
      <c r="AU228" s="24">
        <v>0</v>
      </c>
      <c r="AV228" s="24"/>
      <c r="AW228" s="24"/>
      <c r="AX228" s="24">
        <v>0</v>
      </c>
      <c r="AY228" s="24">
        <v>0</v>
      </c>
      <c r="AZ228" s="24">
        <v>0</v>
      </c>
      <c r="BA228" s="24">
        <v>0</v>
      </c>
      <c r="BB228" s="24"/>
      <c r="BC228" s="24">
        <v>0</v>
      </c>
      <c r="BD228" s="24">
        <f>SUM(BE228+BI228+BM228+BO228+BR228)</f>
        <v>0</v>
      </c>
      <c r="BE228" s="24">
        <f>SUM(BF228:BH228)</f>
        <v>0</v>
      </c>
      <c r="BF228" s="24">
        <v>0</v>
      </c>
      <c r="BG228" s="24">
        <v>0</v>
      </c>
      <c r="BH228" s="24">
        <v>0</v>
      </c>
      <c r="BI228" s="24">
        <f>SUM(BL228:BL228)</f>
        <v>0</v>
      </c>
      <c r="BJ228" s="24">
        <v>0</v>
      </c>
      <c r="BK228" s="24">
        <v>0</v>
      </c>
      <c r="BL228" s="24">
        <v>0</v>
      </c>
      <c r="BM228" s="24">
        <v>0</v>
      </c>
      <c r="BN228" s="24">
        <v>0</v>
      </c>
      <c r="BO228" s="24">
        <f t="shared" ref="BO228" si="490">SUM(BP228)</f>
        <v>0</v>
      </c>
      <c r="BP228" s="24">
        <v>0</v>
      </c>
      <c r="BQ228" s="24">
        <v>0</v>
      </c>
      <c r="BR228" s="24">
        <f>SUM(BS228:CC228)</f>
        <v>0</v>
      </c>
      <c r="BS228" s="24">
        <v>0</v>
      </c>
      <c r="BT228" s="24">
        <v>0</v>
      </c>
      <c r="BU228" s="24">
        <v>0</v>
      </c>
      <c r="BV228" s="24">
        <v>0</v>
      </c>
      <c r="BW228" s="24">
        <v>0</v>
      </c>
      <c r="BX228" s="24">
        <v>0</v>
      </c>
      <c r="BY228" s="24">
        <v>0</v>
      </c>
      <c r="BZ228" s="24">
        <v>0</v>
      </c>
      <c r="CA228" s="24">
        <v>0</v>
      </c>
      <c r="CB228" s="24">
        <v>0</v>
      </c>
      <c r="CC228" s="24">
        <v>0</v>
      </c>
      <c r="CD228" s="24">
        <f>SUM(CE228+CV228+CT228)</f>
        <v>275900</v>
      </c>
      <c r="CE228" s="24">
        <f>SUM(CF228+CI228+CN228)</f>
        <v>275900</v>
      </c>
      <c r="CF228" s="24">
        <f t="shared" ref="CF228" si="491">SUM(CG228:CH228)</f>
        <v>0</v>
      </c>
      <c r="CG228" s="24">
        <v>0</v>
      </c>
      <c r="CH228" s="24">
        <v>0</v>
      </c>
      <c r="CI228" s="24">
        <f>SUM(CJ228:CM228)</f>
        <v>275900</v>
      </c>
      <c r="CJ228" s="24">
        <f>0+275900</f>
        <v>275900</v>
      </c>
      <c r="CK228" s="24">
        <v>0</v>
      </c>
      <c r="CL228" s="24">
        <v>0</v>
      </c>
      <c r="CM228" s="24">
        <v>0</v>
      </c>
      <c r="CN228" s="24">
        <f>SUM(CO228:CS228)</f>
        <v>0</v>
      </c>
      <c r="CO228" s="24">
        <v>0</v>
      </c>
      <c r="CP228" s="24">
        <v>0</v>
      </c>
      <c r="CQ228" s="24">
        <v>0</v>
      </c>
      <c r="CR228" s="24"/>
      <c r="CS228" s="24"/>
      <c r="CT228" s="24">
        <f>SUM(CU228)</f>
        <v>0</v>
      </c>
      <c r="CU228" s="24"/>
      <c r="CV228" s="24">
        <v>0</v>
      </c>
      <c r="CW228" s="24">
        <f t="shared" ref="CW228" si="492">SUM(CX228)</f>
        <v>0</v>
      </c>
      <c r="CX228" s="24">
        <f t="shared" ref="CX228" si="493">SUM(CY228:CZ228)</f>
        <v>0</v>
      </c>
      <c r="CY228" s="29"/>
      <c r="CZ228" s="25">
        <v>0</v>
      </c>
    </row>
    <row r="229" spans="1:218" ht="15.6" x14ac:dyDescent="0.3">
      <c r="A229" s="31" t="s">
        <v>340</v>
      </c>
      <c r="B229" s="32" t="s">
        <v>1</v>
      </c>
      <c r="C229" s="32" t="s">
        <v>1</v>
      </c>
      <c r="D229" s="33" t="s">
        <v>341</v>
      </c>
      <c r="E229" s="34">
        <f t="shared" ref="E229:AJ229" si="494">SUM(E230+E232+E234+E283+E307+E309)</f>
        <v>560565791</v>
      </c>
      <c r="F229" s="35">
        <f t="shared" si="494"/>
        <v>419499884</v>
      </c>
      <c r="G229" s="35">
        <f t="shared" si="494"/>
        <v>410664161</v>
      </c>
      <c r="H229" s="35">
        <f t="shared" si="494"/>
        <v>101868830</v>
      </c>
      <c r="I229" s="35">
        <f t="shared" si="494"/>
        <v>20673729</v>
      </c>
      <c r="J229" s="35">
        <f t="shared" si="494"/>
        <v>57276084</v>
      </c>
      <c r="K229" s="35">
        <f t="shared" si="494"/>
        <v>17125423</v>
      </c>
      <c r="L229" s="35">
        <f t="shared" si="494"/>
        <v>2064873</v>
      </c>
      <c r="M229" s="35">
        <f t="shared" si="494"/>
        <v>2431988</v>
      </c>
      <c r="N229" s="35">
        <f t="shared" si="494"/>
        <v>2500</v>
      </c>
      <c r="O229" s="35">
        <f t="shared" si="494"/>
        <v>9973427</v>
      </c>
      <c r="P229" s="35">
        <f t="shared" si="494"/>
        <v>25677873</v>
      </c>
      <c r="Q229" s="35">
        <f t="shared" si="494"/>
        <v>886249</v>
      </c>
      <c r="R229" s="35">
        <f t="shared" si="494"/>
        <v>126223</v>
      </c>
      <c r="S229" s="35">
        <f t="shared" si="494"/>
        <v>760026</v>
      </c>
      <c r="T229" s="35">
        <f t="shared" si="494"/>
        <v>141872</v>
      </c>
      <c r="U229" s="35">
        <f t="shared" si="494"/>
        <v>1927458</v>
      </c>
      <c r="V229" s="35">
        <f t="shared" si="494"/>
        <v>12440575</v>
      </c>
      <c r="W229" s="35">
        <f t="shared" si="494"/>
        <v>2986567</v>
      </c>
      <c r="X229" s="35">
        <f t="shared" si="494"/>
        <v>4921501</v>
      </c>
      <c r="Y229" s="35">
        <f t="shared" si="494"/>
        <v>2054311</v>
      </c>
      <c r="Z229" s="35">
        <f t="shared" si="494"/>
        <v>1081999</v>
      </c>
      <c r="AA229" s="35">
        <f t="shared" si="494"/>
        <v>846190</v>
      </c>
      <c r="AB229" s="35">
        <f t="shared" si="494"/>
        <v>374561</v>
      </c>
      <c r="AC229" s="35">
        <f t="shared" si="494"/>
        <v>0</v>
      </c>
      <c r="AD229" s="35">
        <f t="shared" si="494"/>
        <v>175446</v>
      </c>
      <c r="AE229" s="35">
        <f t="shared" si="494"/>
        <v>0</v>
      </c>
      <c r="AF229" s="35">
        <f t="shared" si="494"/>
        <v>215449364</v>
      </c>
      <c r="AG229" s="35">
        <f t="shared" si="494"/>
        <v>371063</v>
      </c>
      <c r="AH229" s="35">
        <f t="shared" si="494"/>
        <v>0</v>
      </c>
      <c r="AI229" s="35">
        <f t="shared" si="494"/>
        <v>6161968</v>
      </c>
      <c r="AJ229" s="35">
        <f t="shared" si="494"/>
        <v>9794704</v>
      </c>
      <c r="AK229" s="35">
        <f t="shared" ref="AK229:BP229" si="495">SUM(AK230+AK232+AK234+AK283+AK307+AK309)</f>
        <v>787314</v>
      </c>
      <c r="AL229" s="35">
        <f t="shared" si="495"/>
        <v>1927395</v>
      </c>
      <c r="AM229" s="35">
        <f t="shared" si="495"/>
        <v>5000</v>
      </c>
      <c r="AN229" s="35">
        <f t="shared" si="495"/>
        <v>508432</v>
      </c>
      <c r="AO229" s="35">
        <f t="shared" si="495"/>
        <v>3107596</v>
      </c>
      <c r="AP229" s="35">
        <f t="shared" si="495"/>
        <v>16833</v>
      </c>
      <c r="AQ229" s="35">
        <f t="shared" si="495"/>
        <v>25966</v>
      </c>
      <c r="AR229" s="35">
        <f t="shared" si="495"/>
        <v>164946</v>
      </c>
      <c r="AS229" s="35">
        <f t="shared" si="495"/>
        <v>7611282</v>
      </c>
      <c r="AT229" s="35">
        <f t="shared" si="495"/>
        <v>846138</v>
      </c>
      <c r="AU229" s="35">
        <f t="shared" si="495"/>
        <v>722701</v>
      </c>
      <c r="AV229" s="35">
        <f t="shared" si="495"/>
        <v>0</v>
      </c>
      <c r="AW229" s="35">
        <f t="shared" si="495"/>
        <v>5737</v>
      </c>
      <c r="AX229" s="35">
        <f t="shared" si="495"/>
        <v>60291</v>
      </c>
      <c r="AY229" s="35">
        <f t="shared" si="495"/>
        <v>1417892</v>
      </c>
      <c r="AZ229" s="35">
        <f t="shared" si="495"/>
        <v>0</v>
      </c>
      <c r="BA229" s="35">
        <f t="shared" si="495"/>
        <v>661301</v>
      </c>
      <c r="BB229" s="35">
        <f t="shared" si="495"/>
        <v>72000</v>
      </c>
      <c r="BC229" s="35">
        <f t="shared" si="495"/>
        <v>181180805</v>
      </c>
      <c r="BD229" s="35">
        <f t="shared" si="495"/>
        <v>8835723</v>
      </c>
      <c r="BE229" s="35">
        <f t="shared" si="495"/>
        <v>0</v>
      </c>
      <c r="BF229" s="35">
        <f t="shared" si="495"/>
        <v>0</v>
      </c>
      <c r="BG229" s="35">
        <f t="shared" si="495"/>
        <v>0</v>
      </c>
      <c r="BH229" s="35">
        <f t="shared" si="495"/>
        <v>0</v>
      </c>
      <c r="BI229" s="35">
        <f t="shared" si="495"/>
        <v>0</v>
      </c>
      <c r="BJ229" s="35">
        <f t="shared" si="495"/>
        <v>0</v>
      </c>
      <c r="BK229" s="35">
        <f t="shared" si="495"/>
        <v>0</v>
      </c>
      <c r="BL229" s="35">
        <f t="shared" si="495"/>
        <v>0</v>
      </c>
      <c r="BM229" s="35">
        <f t="shared" si="495"/>
        <v>8801281</v>
      </c>
      <c r="BN229" s="35">
        <f t="shared" si="495"/>
        <v>2444377</v>
      </c>
      <c r="BO229" s="35">
        <f t="shared" si="495"/>
        <v>0</v>
      </c>
      <c r="BP229" s="35">
        <f t="shared" si="495"/>
        <v>0</v>
      </c>
      <c r="BQ229" s="35">
        <f t="shared" ref="BQ229:CQ229" si="496">SUM(BQ230+BQ232+BQ234+BQ283+BQ307+BQ309)</f>
        <v>0</v>
      </c>
      <c r="BR229" s="35">
        <f t="shared" si="496"/>
        <v>34442</v>
      </c>
      <c r="BS229" s="35">
        <f t="shared" si="496"/>
        <v>0</v>
      </c>
      <c r="BT229" s="35">
        <f t="shared" si="496"/>
        <v>0</v>
      </c>
      <c r="BU229" s="35">
        <f t="shared" si="496"/>
        <v>5000</v>
      </c>
      <c r="BV229" s="35">
        <f t="shared" si="496"/>
        <v>0</v>
      </c>
      <c r="BW229" s="35">
        <f t="shared" si="496"/>
        <v>0</v>
      </c>
      <c r="BX229" s="35">
        <f t="shared" si="496"/>
        <v>0</v>
      </c>
      <c r="BY229" s="35">
        <f t="shared" si="496"/>
        <v>0</v>
      </c>
      <c r="BZ229" s="35">
        <f t="shared" si="496"/>
        <v>0</v>
      </c>
      <c r="CA229" s="35">
        <f t="shared" si="496"/>
        <v>0</v>
      </c>
      <c r="CB229" s="35">
        <f t="shared" si="496"/>
        <v>29442</v>
      </c>
      <c r="CC229" s="35">
        <f t="shared" si="496"/>
        <v>0</v>
      </c>
      <c r="CD229" s="35">
        <f t="shared" si="496"/>
        <v>141065907</v>
      </c>
      <c r="CE229" s="35">
        <f t="shared" si="496"/>
        <v>61141823</v>
      </c>
      <c r="CF229" s="35">
        <f t="shared" si="496"/>
        <v>55038485</v>
      </c>
      <c r="CG229" s="35">
        <f t="shared" si="496"/>
        <v>259180</v>
      </c>
      <c r="CH229" s="35">
        <f t="shared" si="496"/>
        <v>54779305</v>
      </c>
      <c r="CI229" s="35">
        <f t="shared" si="496"/>
        <v>970344</v>
      </c>
      <c r="CJ229" s="35">
        <f t="shared" si="496"/>
        <v>0</v>
      </c>
      <c r="CK229" s="35">
        <f t="shared" si="496"/>
        <v>0</v>
      </c>
      <c r="CL229" s="35">
        <f t="shared" si="496"/>
        <v>970344</v>
      </c>
      <c r="CM229" s="35">
        <f t="shared" si="496"/>
        <v>0</v>
      </c>
      <c r="CN229" s="35">
        <f t="shared" si="496"/>
        <v>5132994</v>
      </c>
      <c r="CO229" s="35">
        <f t="shared" si="496"/>
        <v>0</v>
      </c>
      <c r="CP229" s="35">
        <f t="shared" si="496"/>
        <v>4004141</v>
      </c>
      <c r="CQ229" s="35">
        <f t="shared" si="496"/>
        <v>1128853</v>
      </c>
      <c r="CR229" s="35"/>
      <c r="CS229" s="35"/>
      <c r="CT229" s="35">
        <f t="shared" ref="CT229:CZ229" si="497">SUM(CT230+CT232+CT234+CT283+CT307+CT309)</f>
        <v>0</v>
      </c>
      <c r="CU229" s="35">
        <f t="shared" si="497"/>
        <v>0</v>
      </c>
      <c r="CV229" s="35">
        <f t="shared" si="497"/>
        <v>79924084</v>
      </c>
      <c r="CW229" s="35">
        <f t="shared" si="497"/>
        <v>0</v>
      </c>
      <c r="CX229" s="35">
        <f t="shared" si="497"/>
        <v>0</v>
      </c>
      <c r="CY229" s="35">
        <f t="shared" si="497"/>
        <v>0</v>
      </c>
      <c r="CZ229" s="36">
        <f t="shared" si="497"/>
        <v>0</v>
      </c>
    </row>
    <row r="230" spans="1:218" ht="15.6" x14ac:dyDescent="0.3">
      <c r="A230" s="20"/>
      <c r="B230" s="21" t="s">
        <v>342</v>
      </c>
      <c r="C230" s="21" t="s">
        <v>1</v>
      </c>
      <c r="D230" s="22" t="s">
        <v>343</v>
      </c>
      <c r="E230" s="23">
        <f>SUM(E231)</f>
        <v>15241723</v>
      </c>
      <c r="F230" s="24">
        <f t="shared" ref="F230:BX230" si="498">SUM(F231)</f>
        <v>0</v>
      </c>
      <c r="G230" s="24">
        <f t="shared" si="498"/>
        <v>0</v>
      </c>
      <c r="H230" s="24">
        <f t="shared" si="498"/>
        <v>0</v>
      </c>
      <c r="I230" s="24">
        <f t="shared" si="498"/>
        <v>0</v>
      </c>
      <c r="J230" s="24">
        <f t="shared" si="498"/>
        <v>0</v>
      </c>
      <c r="K230" s="24">
        <f t="shared" si="498"/>
        <v>0</v>
      </c>
      <c r="L230" s="24">
        <f t="shared" si="498"/>
        <v>0</v>
      </c>
      <c r="M230" s="24">
        <f t="shared" si="498"/>
        <v>0</v>
      </c>
      <c r="N230" s="24">
        <f t="shared" si="498"/>
        <v>0</v>
      </c>
      <c r="O230" s="24">
        <f t="shared" si="498"/>
        <v>0</v>
      </c>
      <c r="P230" s="24">
        <f t="shared" si="498"/>
        <v>0</v>
      </c>
      <c r="Q230" s="24">
        <f t="shared" si="498"/>
        <v>0</v>
      </c>
      <c r="R230" s="24">
        <f t="shared" si="498"/>
        <v>0</v>
      </c>
      <c r="S230" s="24">
        <f t="shared" si="498"/>
        <v>0</v>
      </c>
      <c r="T230" s="24">
        <f t="shared" si="498"/>
        <v>0</v>
      </c>
      <c r="U230" s="24">
        <f t="shared" si="498"/>
        <v>0</v>
      </c>
      <c r="V230" s="24">
        <f t="shared" si="498"/>
        <v>0</v>
      </c>
      <c r="W230" s="24">
        <f t="shared" si="498"/>
        <v>0</v>
      </c>
      <c r="X230" s="24">
        <f t="shared" si="498"/>
        <v>0</v>
      </c>
      <c r="Y230" s="24">
        <f t="shared" si="498"/>
        <v>0</v>
      </c>
      <c r="Z230" s="24">
        <f t="shared" si="498"/>
        <v>0</v>
      </c>
      <c r="AA230" s="24">
        <f t="shared" si="498"/>
        <v>0</v>
      </c>
      <c r="AB230" s="24">
        <f t="shared" si="498"/>
        <v>0</v>
      </c>
      <c r="AC230" s="24">
        <f t="shared" si="498"/>
        <v>0</v>
      </c>
      <c r="AD230" s="24">
        <f t="shared" si="498"/>
        <v>0</v>
      </c>
      <c r="AE230" s="24">
        <f t="shared" si="498"/>
        <v>0</v>
      </c>
      <c r="AF230" s="24">
        <f t="shared" si="498"/>
        <v>0</v>
      </c>
      <c r="AG230" s="24">
        <f t="shared" si="498"/>
        <v>0</v>
      </c>
      <c r="AH230" s="24">
        <f t="shared" si="498"/>
        <v>0</v>
      </c>
      <c r="AI230" s="24">
        <f t="shared" si="498"/>
        <v>0</v>
      </c>
      <c r="AJ230" s="24">
        <f t="shared" si="498"/>
        <v>0</v>
      </c>
      <c r="AK230" s="24">
        <f t="shared" si="498"/>
        <v>0</v>
      </c>
      <c r="AL230" s="24">
        <f t="shared" si="498"/>
        <v>0</v>
      </c>
      <c r="AM230" s="24">
        <f t="shared" si="498"/>
        <v>0</v>
      </c>
      <c r="AN230" s="24">
        <f t="shared" si="498"/>
        <v>0</v>
      </c>
      <c r="AO230" s="24">
        <f t="shared" si="498"/>
        <v>0</v>
      </c>
      <c r="AP230" s="24">
        <f t="shared" si="498"/>
        <v>0</v>
      </c>
      <c r="AQ230" s="24">
        <f t="shared" si="498"/>
        <v>0</v>
      </c>
      <c r="AR230" s="24"/>
      <c r="AS230" s="24">
        <f t="shared" si="498"/>
        <v>0</v>
      </c>
      <c r="AT230" s="24">
        <f t="shared" si="498"/>
        <v>0</v>
      </c>
      <c r="AU230" s="24">
        <f t="shared" si="498"/>
        <v>0</v>
      </c>
      <c r="AV230" s="24"/>
      <c r="AW230" s="24"/>
      <c r="AX230" s="24">
        <f t="shared" si="498"/>
        <v>0</v>
      </c>
      <c r="AY230" s="24">
        <f t="shared" si="498"/>
        <v>0</v>
      </c>
      <c r="AZ230" s="24">
        <f t="shared" si="498"/>
        <v>0</v>
      </c>
      <c r="BA230" s="24">
        <f t="shared" si="498"/>
        <v>0</v>
      </c>
      <c r="BB230" s="24"/>
      <c r="BC230" s="24">
        <f t="shared" si="498"/>
        <v>0</v>
      </c>
      <c r="BD230" s="24">
        <f t="shared" si="498"/>
        <v>0</v>
      </c>
      <c r="BE230" s="24">
        <f t="shared" si="498"/>
        <v>0</v>
      </c>
      <c r="BF230" s="24">
        <f t="shared" si="498"/>
        <v>0</v>
      </c>
      <c r="BG230" s="24">
        <f t="shared" si="498"/>
        <v>0</v>
      </c>
      <c r="BH230" s="24">
        <f t="shared" si="498"/>
        <v>0</v>
      </c>
      <c r="BI230" s="24">
        <f t="shared" si="498"/>
        <v>0</v>
      </c>
      <c r="BJ230" s="24">
        <f t="shared" si="498"/>
        <v>0</v>
      </c>
      <c r="BK230" s="24">
        <f t="shared" si="498"/>
        <v>0</v>
      </c>
      <c r="BL230" s="24">
        <f t="shared" si="498"/>
        <v>0</v>
      </c>
      <c r="BM230" s="24">
        <f t="shared" si="498"/>
        <v>0</v>
      </c>
      <c r="BN230" s="24">
        <f t="shared" si="498"/>
        <v>0</v>
      </c>
      <c r="BO230" s="24">
        <f t="shared" si="498"/>
        <v>0</v>
      </c>
      <c r="BP230" s="24">
        <f t="shared" si="498"/>
        <v>0</v>
      </c>
      <c r="BQ230" s="24">
        <f t="shared" si="498"/>
        <v>0</v>
      </c>
      <c r="BR230" s="24">
        <f t="shared" si="498"/>
        <v>0</v>
      </c>
      <c r="BS230" s="24">
        <f t="shared" si="498"/>
        <v>0</v>
      </c>
      <c r="BT230" s="24">
        <f t="shared" si="498"/>
        <v>0</v>
      </c>
      <c r="BU230" s="24">
        <f t="shared" si="498"/>
        <v>0</v>
      </c>
      <c r="BV230" s="24">
        <f t="shared" si="498"/>
        <v>0</v>
      </c>
      <c r="BW230" s="24">
        <f t="shared" si="498"/>
        <v>0</v>
      </c>
      <c r="BX230" s="24">
        <f t="shared" si="498"/>
        <v>0</v>
      </c>
      <c r="BY230" s="24">
        <f t="shared" ref="BY230:CZ230" si="499">SUM(BY231)</f>
        <v>0</v>
      </c>
      <c r="BZ230" s="24">
        <f t="shared" si="499"/>
        <v>0</v>
      </c>
      <c r="CA230" s="24">
        <f t="shared" si="499"/>
        <v>0</v>
      </c>
      <c r="CB230" s="24">
        <f t="shared" si="499"/>
        <v>0</v>
      </c>
      <c r="CC230" s="24">
        <f t="shared" si="499"/>
        <v>0</v>
      </c>
      <c r="CD230" s="24">
        <f t="shared" si="499"/>
        <v>15241723</v>
      </c>
      <c r="CE230" s="24">
        <f t="shared" si="499"/>
        <v>0</v>
      </c>
      <c r="CF230" s="24">
        <f t="shared" si="499"/>
        <v>0</v>
      </c>
      <c r="CG230" s="24">
        <f t="shared" si="499"/>
        <v>0</v>
      </c>
      <c r="CH230" s="24">
        <f t="shared" si="499"/>
        <v>0</v>
      </c>
      <c r="CI230" s="24">
        <f t="shared" si="499"/>
        <v>0</v>
      </c>
      <c r="CJ230" s="24">
        <f t="shared" si="499"/>
        <v>0</v>
      </c>
      <c r="CK230" s="24">
        <f t="shared" si="499"/>
        <v>0</v>
      </c>
      <c r="CL230" s="24">
        <f t="shared" si="499"/>
        <v>0</v>
      </c>
      <c r="CM230" s="24">
        <f t="shared" si="499"/>
        <v>0</v>
      </c>
      <c r="CN230" s="24">
        <f t="shared" si="499"/>
        <v>0</v>
      </c>
      <c r="CO230" s="24">
        <f t="shared" si="499"/>
        <v>0</v>
      </c>
      <c r="CP230" s="24">
        <f t="shared" si="499"/>
        <v>0</v>
      </c>
      <c r="CQ230" s="24">
        <f t="shared" si="499"/>
        <v>0</v>
      </c>
      <c r="CR230" s="24"/>
      <c r="CS230" s="24"/>
      <c r="CT230" s="24">
        <f t="shared" si="499"/>
        <v>0</v>
      </c>
      <c r="CU230" s="24">
        <f t="shared" si="499"/>
        <v>0</v>
      </c>
      <c r="CV230" s="24">
        <f t="shared" si="499"/>
        <v>15241723</v>
      </c>
      <c r="CW230" s="24">
        <f t="shared" si="499"/>
        <v>0</v>
      </c>
      <c r="CX230" s="24">
        <f t="shared" si="499"/>
        <v>0</v>
      </c>
      <c r="CY230" s="24">
        <f t="shared" si="499"/>
        <v>0</v>
      </c>
      <c r="CZ230" s="25">
        <f t="shared" si="499"/>
        <v>0</v>
      </c>
    </row>
    <row r="231" spans="1:218" ht="15.6" x14ac:dyDescent="0.3">
      <c r="A231" s="26"/>
      <c r="B231" s="27" t="s">
        <v>1</v>
      </c>
      <c r="C231" s="27" t="s">
        <v>344</v>
      </c>
      <c r="D231" s="28" t="s">
        <v>343</v>
      </c>
      <c r="E231" s="23">
        <f>SUM(F231+CD231+CW231)</f>
        <v>15241723</v>
      </c>
      <c r="F231" s="24">
        <f>SUM(G231+BD231)</f>
        <v>0</v>
      </c>
      <c r="G231" s="24">
        <f>SUM(H231+I231+J231+Q231+T231+U231+V231+AF231+AE231)</f>
        <v>0</v>
      </c>
      <c r="H231" s="24">
        <v>0</v>
      </c>
      <c r="I231" s="24">
        <v>0</v>
      </c>
      <c r="J231" s="24">
        <f t="shared" si="297"/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f t="shared" si="298"/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f t="shared" ref="V231" si="500">SUM(W231:AD231)</f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f>SUM(AG231:BC231)</f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0</v>
      </c>
      <c r="AO231" s="24">
        <v>0</v>
      </c>
      <c r="AP231" s="24">
        <v>0</v>
      </c>
      <c r="AQ231" s="24">
        <v>0</v>
      </c>
      <c r="AR231" s="24"/>
      <c r="AS231" s="24">
        <v>0</v>
      </c>
      <c r="AT231" s="24">
        <v>0</v>
      </c>
      <c r="AU231" s="24">
        <v>0</v>
      </c>
      <c r="AV231" s="24"/>
      <c r="AW231" s="24"/>
      <c r="AX231" s="24">
        <v>0</v>
      </c>
      <c r="AY231" s="24">
        <v>0</v>
      </c>
      <c r="AZ231" s="24">
        <v>0</v>
      </c>
      <c r="BA231" s="24">
        <v>0</v>
      </c>
      <c r="BB231" s="24"/>
      <c r="BC231" s="24">
        <v>0</v>
      </c>
      <c r="BD231" s="24">
        <f>SUM(BE231+BI231+BM231+BO231+BR231)</f>
        <v>0</v>
      </c>
      <c r="BE231" s="24">
        <f>SUM(BF231:BH231)</f>
        <v>0</v>
      </c>
      <c r="BF231" s="24">
        <v>0</v>
      </c>
      <c r="BG231" s="24">
        <v>0</v>
      </c>
      <c r="BH231" s="24">
        <v>0</v>
      </c>
      <c r="BI231" s="24">
        <f>SUM(BL231:BL231)</f>
        <v>0</v>
      </c>
      <c r="BJ231" s="24">
        <v>0</v>
      </c>
      <c r="BK231" s="24">
        <v>0</v>
      </c>
      <c r="BL231" s="24">
        <v>0</v>
      </c>
      <c r="BM231" s="24">
        <v>0</v>
      </c>
      <c r="BN231" s="24">
        <v>0</v>
      </c>
      <c r="BO231" s="24">
        <f t="shared" si="300"/>
        <v>0</v>
      </c>
      <c r="BP231" s="24">
        <v>0</v>
      </c>
      <c r="BQ231" s="24">
        <v>0</v>
      </c>
      <c r="BR231" s="24">
        <f>SUM(BS231:CC231)</f>
        <v>0</v>
      </c>
      <c r="BS231" s="24">
        <v>0</v>
      </c>
      <c r="BT231" s="24">
        <v>0</v>
      </c>
      <c r="BU231" s="24">
        <v>0</v>
      </c>
      <c r="BV231" s="24">
        <v>0</v>
      </c>
      <c r="BW231" s="24">
        <v>0</v>
      </c>
      <c r="BX231" s="24">
        <v>0</v>
      </c>
      <c r="BY231" s="24">
        <v>0</v>
      </c>
      <c r="BZ231" s="24">
        <v>0</v>
      </c>
      <c r="CA231" s="24">
        <v>0</v>
      </c>
      <c r="CB231" s="24">
        <v>0</v>
      </c>
      <c r="CC231" s="24">
        <v>0</v>
      </c>
      <c r="CD231" s="24">
        <f>SUM(CE231+CV231)</f>
        <v>15241723</v>
      </c>
      <c r="CE231" s="24">
        <f>SUM(CF231+CI231+CN231)</f>
        <v>0</v>
      </c>
      <c r="CF231" s="24">
        <f t="shared" si="301"/>
        <v>0</v>
      </c>
      <c r="CG231" s="24">
        <v>0</v>
      </c>
      <c r="CH231" s="24">
        <v>0</v>
      </c>
      <c r="CI231" s="24">
        <f>SUM(CJ231:CM231)</f>
        <v>0</v>
      </c>
      <c r="CJ231" s="24">
        <v>0</v>
      </c>
      <c r="CK231" s="24">
        <v>0</v>
      </c>
      <c r="CL231" s="24">
        <v>0</v>
      </c>
      <c r="CM231" s="24">
        <v>0</v>
      </c>
      <c r="CN231" s="24">
        <f>SUM(CO231:CS231)</f>
        <v>0</v>
      </c>
      <c r="CO231" s="24">
        <v>0</v>
      </c>
      <c r="CP231" s="24">
        <v>0</v>
      </c>
      <c r="CQ231" s="24">
        <v>0</v>
      </c>
      <c r="CR231" s="24"/>
      <c r="CS231" s="24"/>
      <c r="CT231" s="24">
        <v>0</v>
      </c>
      <c r="CU231" s="24">
        <v>0</v>
      </c>
      <c r="CV231" s="24">
        <f>11000000+10367220-6090529-34968</f>
        <v>15241723</v>
      </c>
      <c r="CW231" s="24">
        <f t="shared" si="302"/>
        <v>0</v>
      </c>
      <c r="CX231" s="24">
        <f t="shared" si="303"/>
        <v>0</v>
      </c>
      <c r="CY231" s="24">
        <v>0</v>
      </c>
      <c r="CZ231" s="25">
        <v>0</v>
      </c>
    </row>
    <row r="232" spans="1:218" ht="15.6" x14ac:dyDescent="0.3">
      <c r="A232" s="20"/>
      <c r="B232" s="21" t="s">
        <v>345</v>
      </c>
      <c r="C232" s="21" t="s">
        <v>1</v>
      </c>
      <c r="D232" s="22" t="s">
        <v>346</v>
      </c>
      <c r="E232" s="23">
        <f t="shared" ref="E232:AU232" si="501">SUM(E233:E233)</f>
        <v>2542471</v>
      </c>
      <c r="F232" s="24">
        <f t="shared" si="501"/>
        <v>1681437</v>
      </c>
      <c r="G232" s="24">
        <f t="shared" si="501"/>
        <v>1677603</v>
      </c>
      <c r="H232" s="24">
        <f t="shared" si="501"/>
        <v>1080522</v>
      </c>
      <c r="I232" s="24">
        <f t="shared" si="501"/>
        <v>287614</v>
      </c>
      <c r="J232" s="24">
        <f t="shared" si="501"/>
        <v>106653</v>
      </c>
      <c r="K232" s="24">
        <f t="shared" si="501"/>
        <v>0</v>
      </c>
      <c r="L232" s="24">
        <f t="shared" si="501"/>
        <v>0</v>
      </c>
      <c r="M232" s="24">
        <f t="shared" si="501"/>
        <v>0</v>
      </c>
      <c r="N232" s="24">
        <f t="shared" si="501"/>
        <v>0</v>
      </c>
      <c r="O232" s="24">
        <f t="shared" si="501"/>
        <v>60309</v>
      </c>
      <c r="P232" s="24">
        <f t="shared" si="501"/>
        <v>46344</v>
      </c>
      <c r="Q232" s="24">
        <f t="shared" si="501"/>
        <v>30000</v>
      </c>
      <c r="R232" s="24">
        <f t="shared" si="501"/>
        <v>0</v>
      </c>
      <c r="S232" s="24">
        <f t="shared" si="501"/>
        <v>30000</v>
      </c>
      <c r="T232" s="24">
        <f t="shared" si="501"/>
        <v>0</v>
      </c>
      <c r="U232" s="24">
        <f t="shared" si="501"/>
        <v>37806</v>
      </c>
      <c r="V232" s="24">
        <f t="shared" si="501"/>
        <v>49211</v>
      </c>
      <c r="W232" s="24">
        <f t="shared" si="501"/>
        <v>1900</v>
      </c>
      <c r="X232" s="24">
        <f t="shared" si="501"/>
        <v>31947</v>
      </c>
      <c r="Y232" s="24">
        <f t="shared" si="501"/>
        <v>13613</v>
      </c>
      <c r="Z232" s="24">
        <f t="shared" si="501"/>
        <v>1751</v>
      </c>
      <c r="AA232" s="24">
        <f t="shared" si="501"/>
        <v>0</v>
      </c>
      <c r="AB232" s="24">
        <f t="shared" si="501"/>
        <v>0</v>
      </c>
      <c r="AC232" s="24">
        <f t="shared" si="501"/>
        <v>0</v>
      </c>
      <c r="AD232" s="24">
        <f t="shared" si="501"/>
        <v>0</v>
      </c>
      <c r="AE232" s="24">
        <f t="shared" si="501"/>
        <v>0</v>
      </c>
      <c r="AF232" s="24">
        <f t="shared" si="501"/>
        <v>85797</v>
      </c>
      <c r="AG232" s="24">
        <f t="shared" si="501"/>
        <v>0</v>
      </c>
      <c r="AH232" s="24">
        <f t="shared" si="501"/>
        <v>0</v>
      </c>
      <c r="AI232" s="24">
        <f t="shared" si="501"/>
        <v>4751</v>
      </c>
      <c r="AJ232" s="24">
        <f t="shared" si="501"/>
        <v>600</v>
      </c>
      <c r="AK232" s="24">
        <f t="shared" si="501"/>
        <v>0</v>
      </c>
      <c r="AL232" s="24">
        <f t="shared" si="501"/>
        <v>290</v>
      </c>
      <c r="AM232" s="24">
        <f t="shared" si="501"/>
        <v>0</v>
      </c>
      <c r="AN232" s="24">
        <f t="shared" si="501"/>
        <v>0</v>
      </c>
      <c r="AO232" s="24">
        <f t="shared" si="501"/>
        <v>0</v>
      </c>
      <c r="AP232" s="24">
        <f t="shared" si="501"/>
        <v>6833</v>
      </c>
      <c r="AQ232" s="24">
        <f t="shared" si="501"/>
        <v>0</v>
      </c>
      <c r="AR232" s="24"/>
      <c r="AS232" s="24">
        <f t="shared" si="501"/>
        <v>0</v>
      </c>
      <c r="AT232" s="24">
        <f t="shared" si="501"/>
        <v>70146</v>
      </c>
      <c r="AU232" s="24">
        <f t="shared" si="501"/>
        <v>1100</v>
      </c>
      <c r="AV232" s="24"/>
      <c r="AW232" s="24"/>
      <c r="AX232" s="24">
        <f>SUM(AX233:AX233)</f>
        <v>0</v>
      </c>
      <c r="AY232" s="24">
        <f>SUM(AY233:AY233)</f>
        <v>0</v>
      </c>
      <c r="AZ232" s="24">
        <f>SUM(AZ233:AZ233)</f>
        <v>0</v>
      </c>
      <c r="BA232" s="24">
        <f>SUM(BA233:BA233)</f>
        <v>2000</v>
      </c>
      <c r="BB232" s="24"/>
      <c r="BC232" s="24">
        <f t="shared" ref="BC232:CQ232" si="502">SUM(BC233:BC233)</f>
        <v>77</v>
      </c>
      <c r="BD232" s="24">
        <f t="shared" si="502"/>
        <v>3834</v>
      </c>
      <c r="BE232" s="24">
        <f t="shared" si="502"/>
        <v>0</v>
      </c>
      <c r="BF232" s="24">
        <f t="shared" si="502"/>
        <v>0</v>
      </c>
      <c r="BG232" s="24">
        <f t="shared" si="502"/>
        <v>0</v>
      </c>
      <c r="BH232" s="24">
        <f t="shared" si="502"/>
        <v>0</v>
      </c>
      <c r="BI232" s="24">
        <f t="shared" si="502"/>
        <v>0</v>
      </c>
      <c r="BJ232" s="24">
        <f t="shared" si="502"/>
        <v>0</v>
      </c>
      <c r="BK232" s="24">
        <f t="shared" si="502"/>
        <v>0</v>
      </c>
      <c r="BL232" s="24">
        <f t="shared" si="502"/>
        <v>0</v>
      </c>
      <c r="BM232" s="24">
        <f t="shared" si="502"/>
        <v>0</v>
      </c>
      <c r="BN232" s="24">
        <f t="shared" si="502"/>
        <v>0</v>
      </c>
      <c r="BO232" s="24">
        <f t="shared" si="502"/>
        <v>0</v>
      </c>
      <c r="BP232" s="24">
        <f t="shared" si="502"/>
        <v>0</v>
      </c>
      <c r="BQ232" s="24">
        <f t="shared" si="502"/>
        <v>0</v>
      </c>
      <c r="BR232" s="24">
        <f t="shared" si="502"/>
        <v>3834</v>
      </c>
      <c r="BS232" s="24">
        <f t="shared" si="502"/>
        <v>0</v>
      </c>
      <c r="BT232" s="24">
        <f t="shared" si="502"/>
        <v>0</v>
      </c>
      <c r="BU232" s="24">
        <f t="shared" si="502"/>
        <v>0</v>
      </c>
      <c r="BV232" s="24">
        <f t="shared" si="502"/>
        <v>0</v>
      </c>
      <c r="BW232" s="24">
        <f t="shared" si="502"/>
        <v>0</v>
      </c>
      <c r="BX232" s="24">
        <f t="shared" si="502"/>
        <v>0</v>
      </c>
      <c r="BY232" s="24">
        <f t="shared" si="502"/>
        <v>0</v>
      </c>
      <c r="BZ232" s="24">
        <f t="shared" si="502"/>
        <v>0</v>
      </c>
      <c r="CA232" s="24">
        <f t="shared" si="502"/>
        <v>0</v>
      </c>
      <c r="CB232" s="24">
        <f t="shared" si="502"/>
        <v>3834</v>
      </c>
      <c r="CC232" s="24">
        <f t="shared" si="502"/>
        <v>0</v>
      </c>
      <c r="CD232" s="24">
        <f t="shared" si="502"/>
        <v>861034</v>
      </c>
      <c r="CE232" s="24">
        <f t="shared" si="502"/>
        <v>861034</v>
      </c>
      <c r="CF232" s="24">
        <f t="shared" si="502"/>
        <v>124932</v>
      </c>
      <c r="CG232" s="24">
        <f t="shared" si="502"/>
        <v>0</v>
      </c>
      <c r="CH232" s="24">
        <f t="shared" si="502"/>
        <v>124932</v>
      </c>
      <c r="CI232" s="24">
        <f t="shared" si="502"/>
        <v>0</v>
      </c>
      <c r="CJ232" s="24">
        <f t="shared" si="502"/>
        <v>0</v>
      </c>
      <c r="CK232" s="24">
        <f t="shared" si="502"/>
        <v>0</v>
      </c>
      <c r="CL232" s="24">
        <f t="shared" si="502"/>
        <v>0</v>
      </c>
      <c r="CM232" s="24">
        <f t="shared" si="502"/>
        <v>0</v>
      </c>
      <c r="CN232" s="24">
        <f t="shared" si="502"/>
        <v>736102</v>
      </c>
      <c r="CO232" s="24">
        <f t="shared" si="502"/>
        <v>0</v>
      </c>
      <c r="CP232" s="24">
        <f t="shared" si="502"/>
        <v>0</v>
      </c>
      <c r="CQ232" s="24">
        <f t="shared" si="502"/>
        <v>736102</v>
      </c>
      <c r="CR232" s="24"/>
      <c r="CS232" s="24"/>
      <c r="CT232" s="24">
        <f t="shared" ref="CT232:CZ232" si="503">SUM(CT233:CT233)</f>
        <v>0</v>
      </c>
      <c r="CU232" s="24">
        <f t="shared" si="503"/>
        <v>0</v>
      </c>
      <c r="CV232" s="24">
        <f t="shared" si="503"/>
        <v>0</v>
      </c>
      <c r="CW232" s="24">
        <f t="shared" si="503"/>
        <v>0</v>
      </c>
      <c r="CX232" s="24">
        <f t="shared" si="503"/>
        <v>0</v>
      </c>
      <c r="CY232" s="24">
        <f t="shared" si="503"/>
        <v>0</v>
      </c>
      <c r="CZ232" s="25">
        <f t="shared" si="503"/>
        <v>0</v>
      </c>
    </row>
    <row r="233" spans="1:218" ht="15.6" x14ac:dyDescent="0.3">
      <c r="A233" s="26"/>
      <c r="B233" s="27" t="s">
        <v>1</v>
      </c>
      <c r="C233" s="27" t="s">
        <v>347</v>
      </c>
      <c r="D233" s="28" t="s">
        <v>348</v>
      </c>
      <c r="E233" s="23">
        <f>SUM(F233+CD233+CW233)</f>
        <v>2542471</v>
      </c>
      <c r="F233" s="24">
        <f>SUM(G233+BD233)</f>
        <v>1681437</v>
      </c>
      <c r="G233" s="24">
        <f>SUM(H233+I233+J233+Q233+T233+U233+V233+AF233+AE233)</f>
        <v>1677603</v>
      </c>
      <c r="H233" s="29">
        <f>968750+111772</f>
        <v>1080522</v>
      </c>
      <c r="I233" s="29">
        <v>287614</v>
      </c>
      <c r="J233" s="24">
        <f t="shared" ref="J233:J313" si="504">SUM(K233:P233)</f>
        <v>106653</v>
      </c>
      <c r="K233" s="24">
        <v>0</v>
      </c>
      <c r="L233" s="24">
        <v>0</v>
      </c>
      <c r="M233" s="24">
        <v>0</v>
      </c>
      <c r="N233" s="24">
        <v>0</v>
      </c>
      <c r="O233" s="29">
        <v>60309</v>
      </c>
      <c r="P233" s="29">
        <v>46344</v>
      </c>
      <c r="Q233" s="24">
        <f t="shared" ref="Q233:Q313" si="505">SUM(R233:S233)</f>
        <v>30000</v>
      </c>
      <c r="R233" s="24">
        <v>0</v>
      </c>
      <c r="S233" s="29">
        <v>30000</v>
      </c>
      <c r="T233" s="29">
        <v>0</v>
      </c>
      <c r="U233" s="29">
        <v>37806</v>
      </c>
      <c r="V233" s="24">
        <f t="shared" ref="V233" si="506">SUM(W233:AD233)</f>
        <v>49211</v>
      </c>
      <c r="W233" s="29">
        <v>1900</v>
      </c>
      <c r="X233" s="29">
        <f>31782+165</f>
        <v>31947</v>
      </c>
      <c r="Y233" s="29">
        <v>13613</v>
      </c>
      <c r="Z233" s="29">
        <v>1751</v>
      </c>
      <c r="AA233" s="29">
        <v>0</v>
      </c>
      <c r="AB233" s="29">
        <v>0</v>
      </c>
      <c r="AC233" s="29">
        <v>0</v>
      </c>
      <c r="AD233" s="29">
        <v>0</v>
      </c>
      <c r="AE233" s="29">
        <v>0</v>
      </c>
      <c r="AF233" s="24">
        <f>SUM(AG233:BC233)</f>
        <v>85797</v>
      </c>
      <c r="AG233" s="24">
        <v>0</v>
      </c>
      <c r="AH233" s="24"/>
      <c r="AI233" s="29">
        <v>4751</v>
      </c>
      <c r="AJ233" s="29">
        <v>600</v>
      </c>
      <c r="AK233" s="29">
        <v>0</v>
      </c>
      <c r="AL233" s="29">
        <v>290</v>
      </c>
      <c r="AM233" s="29">
        <v>0</v>
      </c>
      <c r="AN233" s="29">
        <v>0</v>
      </c>
      <c r="AO233" s="29">
        <v>0</v>
      </c>
      <c r="AP233" s="29">
        <v>6833</v>
      </c>
      <c r="AQ233" s="29">
        <v>0</v>
      </c>
      <c r="AR233" s="42">
        <v>0</v>
      </c>
      <c r="AS233" s="29">
        <v>0</v>
      </c>
      <c r="AT233" s="42">
        <v>70146</v>
      </c>
      <c r="AU233" s="42">
        <v>1100</v>
      </c>
      <c r="AV233" s="42">
        <v>0</v>
      </c>
      <c r="AW233" s="42">
        <v>0</v>
      </c>
      <c r="AX233" s="42">
        <v>0</v>
      </c>
      <c r="AY233" s="42">
        <v>0</v>
      </c>
      <c r="AZ233" s="29">
        <v>0</v>
      </c>
      <c r="BA233" s="29">
        <v>2000</v>
      </c>
      <c r="BB233" s="29">
        <v>0</v>
      </c>
      <c r="BC233" s="29">
        <v>77</v>
      </c>
      <c r="BD233" s="24">
        <f>SUM(BE233+BI233+BM233+BO233+BR233)</f>
        <v>3834</v>
      </c>
      <c r="BE233" s="24">
        <f>SUM(BF233:BH233)</f>
        <v>0</v>
      </c>
      <c r="BF233" s="24">
        <v>0</v>
      </c>
      <c r="BG233" s="24">
        <v>0</v>
      </c>
      <c r="BH233" s="24">
        <v>0</v>
      </c>
      <c r="BI233" s="24">
        <f>SUM(BL233:BL233)</f>
        <v>0</v>
      </c>
      <c r="BJ233" s="24">
        <v>0</v>
      </c>
      <c r="BK233" s="24">
        <v>0</v>
      </c>
      <c r="BL233" s="24">
        <v>0</v>
      </c>
      <c r="BM233" s="24">
        <v>0</v>
      </c>
      <c r="BN233" s="24">
        <v>0</v>
      </c>
      <c r="BO233" s="24">
        <f t="shared" ref="BO233:BO313" si="507">SUM(BP233)</f>
        <v>0</v>
      </c>
      <c r="BP233" s="24">
        <v>0</v>
      </c>
      <c r="BQ233" s="24">
        <v>0</v>
      </c>
      <c r="BR233" s="24">
        <f>SUM(BS233:CC233)</f>
        <v>3834</v>
      </c>
      <c r="BS233" s="24">
        <v>0</v>
      </c>
      <c r="BT233" s="24">
        <v>0</v>
      </c>
      <c r="BU233" s="24">
        <v>0</v>
      </c>
      <c r="BV233" s="24">
        <v>0</v>
      </c>
      <c r="BW233" s="24">
        <v>0</v>
      </c>
      <c r="BX233" s="24">
        <v>0</v>
      </c>
      <c r="BY233" s="24">
        <v>0</v>
      </c>
      <c r="BZ233" s="24">
        <v>0</v>
      </c>
      <c r="CA233" s="24">
        <v>0</v>
      </c>
      <c r="CB233" s="24">
        <v>3834</v>
      </c>
      <c r="CC233" s="24">
        <v>0</v>
      </c>
      <c r="CD233" s="24">
        <f>SUM(CE233+CV233)</f>
        <v>861034</v>
      </c>
      <c r="CE233" s="24">
        <f>SUM(CF233+CI233+CN233)</f>
        <v>861034</v>
      </c>
      <c r="CF233" s="24">
        <f t="shared" ref="CF233:CF313" si="508">SUM(CG233:CH233)</f>
        <v>124932</v>
      </c>
      <c r="CG233" s="24">
        <v>0</v>
      </c>
      <c r="CH233" s="29">
        <f>40000+84932</f>
        <v>124932</v>
      </c>
      <c r="CI233" s="24">
        <f>SUM(CJ233:CM233)</f>
        <v>0</v>
      </c>
      <c r="CJ233" s="24">
        <v>0</v>
      </c>
      <c r="CK233" s="24">
        <v>0</v>
      </c>
      <c r="CL233" s="24">
        <v>0</v>
      </c>
      <c r="CM233" s="24">
        <v>0</v>
      </c>
      <c r="CN233" s="24">
        <f>SUM(CO233:CS233)</f>
        <v>736102</v>
      </c>
      <c r="CO233" s="24">
        <v>0</v>
      </c>
      <c r="CP233" s="24">
        <v>0</v>
      </c>
      <c r="CQ233" s="24">
        <f>736102</f>
        <v>736102</v>
      </c>
      <c r="CR233" s="24"/>
      <c r="CS233" s="24"/>
      <c r="CT233" s="24">
        <v>0</v>
      </c>
      <c r="CU233" s="24">
        <v>0</v>
      </c>
      <c r="CV233" s="24">
        <v>0</v>
      </c>
      <c r="CW233" s="24">
        <f t="shared" ref="CW233:CW313" si="509">SUM(CX233)</f>
        <v>0</v>
      </c>
      <c r="CX233" s="24">
        <f t="shared" ref="CX233:CX313" si="510">SUM(CY233:CZ233)</f>
        <v>0</v>
      </c>
      <c r="CY233" s="24">
        <v>0</v>
      </c>
      <c r="CZ233" s="25">
        <v>0</v>
      </c>
    </row>
    <row r="234" spans="1:218" s="63" customFormat="1" ht="31.2" x14ac:dyDescent="0.3">
      <c r="A234" s="20"/>
      <c r="B234" s="21" t="s">
        <v>349</v>
      </c>
      <c r="C234" s="21" t="s">
        <v>1</v>
      </c>
      <c r="D234" s="22" t="s">
        <v>350</v>
      </c>
      <c r="E234" s="23">
        <f t="shared" ref="E234:AJ234" si="511">SUM(E235:E256)</f>
        <v>469785613</v>
      </c>
      <c r="F234" s="24">
        <f t="shared" si="511"/>
        <v>409504824</v>
      </c>
      <c r="G234" s="24">
        <f t="shared" si="511"/>
        <v>407029839</v>
      </c>
      <c r="H234" s="24">
        <f t="shared" si="511"/>
        <v>100788308</v>
      </c>
      <c r="I234" s="24">
        <f t="shared" si="511"/>
        <v>20386115</v>
      </c>
      <c r="J234" s="24">
        <f t="shared" si="511"/>
        <v>57169431</v>
      </c>
      <c r="K234" s="24">
        <f t="shared" si="511"/>
        <v>17125423</v>
      </c>
      <c r="L234" s="24">
        <f t="shared" si="511"/>
        <v>2064873</v>
      </c>
      <c r="M234" s="24">
        <f t="shared" si="511"/>
        <v>2431988</v>
      </c>
      <c r="N234" s="24">
        <f t="shared" si="511"/>
        <v>2500</v>
      </c>
      <c r="O234" s="24">
        <f t="shared" si="511"/>
        <v>9913118</v>
      </c>
      <c r="P234" s="24">
        <f t="shared" si="511"/>
        <v>25631529</v>
      </c>
      <c r="Q234" s="24">
        <f t="shared" si="511"/>
        <v>856249</v>
      </c>
      <c r="R234" s="24">
        <f t="shared" si="511"/>
        <v>126223</v>
      </c>
      <c r="S234" s="24">
        <f t="shared" si="511"/>
        <v>730026</v>
      </c>
      <c r="T234" s="24">
        <f t="shared" si="511"/>
        <v>141872</v>
      </c>
      <c r="U234" s="24">
        <f t="shared" si="511"/>
        <v>1889652</v>
      </c>
      <c r="V234" s="24">
        <f t="shared" si="511"/>
        <v>12391364</v>
      </c>
      <c r="W234" s="24">
        <f t="shared" si="511"/>
        <v>2984667</v>
      </c>
      <c r="X234" s="24">
        <f t="shared" si="511"/>
        <v>4889554</v>
      </c>
      <c r="Y234" s="24">
        <f t="shared" si="511"/>
        <v>2040698</v>
      </c>
      <c r="Z234" s="24">
        <f t="shared" si="511"/>
        <v>1080248</v>
      </c>
      <c r="AA234" s="24">
        <f t="shared" si="511"/>
        <v>846190</v>
      </c>
      <c r="AB234" s="24">
        <f t="shared" si="511"/>
        <v>374561</v>
      </c>
      <c r="AC234" s="24">
        <f t="shared" si="511"/>
        <v>0</v>
      </c>
      <c r="AD234" s="24">
        <f t="shared" si="511"/>
        <v>175446</v>
      </c>
      <c r="AE234" s="24">
        <f t="shared" si="511"/>
        <v>0</v>
      </c>
      <c r="AF234" s="24">
        <f t="shared" si="511"/>
        <v>213406848</v>
      </c>
      <c r="AG234" s="24">
        <f t="shared" si="511"/>
        <v>371063</v>
      </c>
      <c r="AH234" s="24">
        <f t="shared" si="511"/>
        <v>0</v>
      </c>
      <c r="AI234" s="24">
        <f t="shared" si="511"/>
        <v>6157217</v>
      </c>
      <c r="AJ234" s="24">
        <f t="shared" si="511"/>
        <v>9794104</v>
      </c>
      <c r="AK234" s="24">
        <f t="shared" ref="AK234:BP234" si="512">SUM(AK235:AK256)</f>
        <v>787314</v>
      </c>
      <c r="AL234" s="24">
        <f t="shared" si="512"/>
        <v>1927105</v>
      </c>
      <c r="AM234" s="24">
        <f t="shared" si="512"/>
        <v>5000</v>
      </c>
      <c r="AN234" s="24">
        <f t="shared" si="512"/>
        <v>508432</v>
      </c>
      <c r="AO234" s="24">
        <f t="shared" si="512"/>
        <v>3107596</v>
      </c>
      <c r="AP234" s="24">
        <f t="shared" si="512"/>
        <v>10000</v>
      </c>
      <c r="AQ234" s="24">
        <f t="shared" si="512"/>
        <v>25966</v>
      </c>
      <c r="AR234" s="24">
        <f t="shared" si="512"/>
        <v>164946</v>
      </c>
      <c r="AS234" s="24">
        <f t="shared" si="512"/>
        <v>7611282</v>
      </c>
      <c r="AT234" s="24">
        <f t="shared" si="512"/>
        <v>775992</v>
      </c>
      <c r="AU234" s="24">
        <f t="shared" si="512"/>
        <v>721601</v>
      </c>
      <c r="AV234" s="24">
        <f t="shared" si="512"/>
        <v>0</v>
      </c>
      <c r="AW234" s="24">
        <f t="shared" si="512"/>
        <v>5737</v>
      </c>
      <c r="AX234" s="24">
        <f t="shared" si="512"/>
        <v>60291</v>
      </c>
      <c r="AY234" s="24">
        <f t="shared" si="512"/>
        <v>1417892</v>
      </c>
      <c r="AZ234" s="24">
        <f t="shared" si="512"/>
        <v>0</v>
      </c>
      <c r="BA234" s="24">
        <f t="shared" si="512"/>
        <v>659301</v>
      </c>
      <c r="BB234" s="24">
        <f t="shared" si="512"/>
        <v>72000</v>
      </c>
      <c r="BC234" s="24">
        <f t="shared" si="512"/>
        <v>179224009</v>
      </c>
      <c r="BD234" s="24">
        <f t="shared" si="512"/>
        <v>2474985</v>
      </c>
      <c r="BE234" s="24">
        <f t="shared" si="512"/>
        <v>0</v>
      </c>
      <c r="BF234" s="24">
        <f t="shared" si="512"/>
        <v>0</v>
      </c>
      <c r="BG234" s="24">
        <f t="shared" si="512"/>
        <v>0</v>
      </c>
      <c r="BH234" s="24">
        <f t="shared" si="512"/>
        <v>0</v>
      </c>
      <c r="BI234" s="24">
        <f t="shared" si="512"/>
        <v>0</v>
      </c>
      <c r="BJ234" s="24">
        <f t="shared" si="512"/>
        <v>0</v>
      </c>
      <c r="BK234" s="24">
        <f t="shared" si="512"/>
        <v>0</v>
      </c>
      <c r="BL234" s="24">
        <f t="shared" si="512"/>
        <v>0</v>
      </c>
      <c r="BM234" s="24">
        <f t="shared" si="512"/>
        <v>2444377</v>
      </c>
      <c r="BN234" s="24">
        <f t="shared" si="512"/>
        <v>2444377</v>
      </c>
      <c r="BO234" s="24">
        <f t="shared" si="512"/>
        <v>0</v>
      </c>
      <c r="BP234" s="24">
        <f t="shared" si="512"/>
        <v>0</v>
      </c>
      <c r="BQ234" s="24">
        <f t="shared" ref="BQ234:CQ234" si="513">SUM(BQ235:BQ256)</f>
        <v>0</v>
      </c>
      <c r="BR234" s="24">
        <f t="shared" si="513"/>
        <v>30608</v>
      </c>
      <c r="BS234" s="24">
        <f t="shared" si="513"/>
        <v>0</v>
      </c>
      <c r="BT234" s="24">
        <f t="shared" si="513"/>
        <v>0</v>
      </c>
      <c r="BU234" s="24">
        <f t="shared" si="513"/>
        <v>5000</v>
      </c>
      <c r="BV234" s="24">
        <f t="shared" si="513"/>
        <v>0</v>
      </c>
      <c r="BW234" s="24">
        <f t="shared" si="513"/>
        <v>0</v>
      </c>
      <c r="BX234" s="24">
        <f t="shared" si="513"/>
        <v>0</v>
      </c>
      <c r="BY234" s="24">
        <f t="shared" si="513"/>
        <v>0</v>
      </c>
      <c r="BZ234" s="24">
        <f t="shared" si="513"/>
        <v>0</v>
      </c>
      <c r="CA234" s="24">
        <f t="shared" si="513"/>
        <v>0</v>
      </c>
      <c r="CB234" s="24">
        <f t="shared" si="513"/>
        <v>25608</v>
      </c>
      <c r="CC234" s="24">
        <f t="shared" si="513"/>
        <v>0</v>
      </c>
      <c r="CD234" s="24">
        <f t="shared" si="513"/>
        <v>60280789</v>
      </c>
      <c r="CE234" s="24">
        <f t="shared" si="513"/>
        <v>60280789</v>
      </c>
      <c r="CF234" s="24">
        <f t="shared" si="513"/>
        <v>54913553</v>
      </c>
      <c r="CG234" s="24">
        <f t="shared" si="513"/>
        <v>259180</v>
      </c>
      <c r="CH234" s="24">
        <f t="shared" si="513"/>
        <v>54654373</v>
      </c>
      <c r="CI234" s="24">
        <f t="shared" si="513"/>
        <v>970344</v>
      </c>
      <c r="CJ234" s="24">
        <f t="shared" si="513"/>
        <v>0</v>
      </c>
      <c r="CK234" s="24">
        <f t="shared" si="513"/>
        <v>0</v>
      </c>
      <c r="CL234" s="24">
        <f t="shared" si="513"/>
        <v>970344</v>
      </c>
      <c r="CM234" s="24">
        <f t="shared" si="513"/>
        <v>0</v>
      </c>
      <c r="CN234" s="24">
        <f t="shared" si="513"/>
        <v>4396892</v>
      </c>
      <c r="CO234" s="24">
        <f t="shared" si="513"/>
        <v>0</v>
      </c>
      <c r="CP234" s="24">
        <f t="shared" si="513"/>
        <v>4004141</v>
      </c>
      <c r="CQ234" s="24">
        <f t="shared" si="513"/>
        <v>392751</v>
      </c>
      <c r="CR234" s="24"/>
      <c r="CS234" s="24"/>
      <c r="CT234" s="24">
        <f t="shared" ref="CT234:CZ234" si="514">SUM(CT235:CT256)</f>
        <v>0</v>
      </c>
      <c r="CU234" s="24">
        <f t="shared" si="514"/>
        <v>0</v>
      </c>
      <c r="CV234" s="24">
        <f t="shared" si="514"/>
        <v>0</v>
      </c>
      <c r="CW234" s="24">
        <f t="shared" si="514"/>
        <v>0</v>
      </c>
      <c r="CX234" s="24">
        <f t="shared" si="514"/>
        <v>0</v>
      </c>
      <c r="CY234" s="24">
        <f t="shared" si="514"/>
        <v>0</v>
      </c>
      <c r="CZ234" s="25">
        <f t="shared" si="514"/>
        <v>0</v>
      </c>
      <c r="HJ234" s="61"/>
    </row>
    <row r="235" spans="1:218" ht="15.6" x14ac:dyDescent="0.3">
      <c r="A235" s="26" t="s">
        <v>1</v>
      </c>
      <c r="B235" s="27" t="s">
        <v>1</v>
      </c>
      <c r="C235" s="27" t="s">
        <v>71</v>
      </c>
      <c r="D235" s="28" t="s">
        <v>351</v>
      </c>
      <c r="E235" s="23">
        <f t="shared" ref="E235:E255" si="515">SUM(F235+CD235+CW235)</f>
        <v>7500000</v>
      </c>
      <c r="F235" s="24">
        <f t="shared" ref="F235:F255" si="516">SUM(G235+BD235)</f>
        <v>7500000</v>
      </c>
      <c r="G235" s="24">
        <f t="shared" ref="G235:G255" si="517">SUM(H235+I235+J235+Q235+T235+U235+V235+AF235+AE235)</f>
        <v>7500000</v>
      </c>
      <c r="H235" s="24">
        <v>0</v>
      </c>
      <c r="I235" s="24">
        <v>0</v>
      </c>
      <c r="J235" s="24">
        <f t="shared" si="504"/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f t="shared" si="505"/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f t="shared" ref="V235:V255" si="518">SUM(W235:AD235)</f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4">
        <f t="shared" ref="AF235:AF255" si="519">SUM(AG235:BC235)</f>
        <v>7500000</v>
      </c>
      <c r="AG235" s="24">
        <v>0</v>
      </c>
      <c r="AH235" s="24">
        <v>0</v>
      </c>
      <c r="AI235" s="24">
        <v>0</v>
      </c>
      <c r="AJ235" s="24">
        <v>0</v>
      </c>
      <c r="AK235" s="29">
        <v>0</v>
      </c>
      <c r="AL235" s="29">
        <v>0</v>
      </c>
      <c r="AM235" s="24">
        <v>0</v>
      </c>
      <c r="AN235" s="24">
        <v>0</v>
      </c>
      <c r="AO235" s="24">
        <v>0</v>
      </c>
      <c r="AP235" s="24">
        <v>0</v>
      </c>
      <c r="AQ235" s="24">
        <v>0</v>
      </c>
      <c r="AR235" s="24"/>
      <c r="AS235" s="29">
        <v>7500000</v>
      </c>
      <c r="AT235" s="24">
        <v>0</v>
      </c>
      <c r="AU235" s="24">
        <v>0</v>
      </c>
      <c r="AV235" s="24"/>
      <c r="AW235" s="24"/>
      <c r="AX235" s="24">
        <v>0</v>
      </c>
      <c r="AY235" s="24">
        <v>0</v>
      </c>
      <c r="AZ235" s="24">
        <v>0</v>
      </c>
      <c r="BA235" s="24">
        <v>0</v>
      </c>
      <c r="BB235" s="24"/>
      <c r="BC235" s="30"/>
      <c r="BD235" s="24">
        <f t="shared" ref="BD235:BD255" si="520">SUM(BE235+BI235+BM235+BO235+BR235)</f>
        <v>0</v>
      </c>
      <c r="BE235" s="24">
        <f t="shared" ref="BE235:BE255" si="521">SUM(BF235:BH235)</f>
        <v>0</v>
      </c>
      <c r="BF235" s="24">
        <v>0</v>
      </c>
      <c r="BG235" s="24">
        <v>0</v>
      </c>
      <c r="BH235" s="24">
        <v>0</v>
      </c>
      <c r="BI235" s="24">
        <f t="shared" ref="BI235:BI255" si="522">SUM(BL235:BL235)</f>
        <v>0</v>
      </c>
      <c r="BJ235" s="24">
        <v>0</v>
      </c>
      <c r="BK235" s="24">
        <v>0</v>
      </c>
      <c r="BL235" s="24">
        <v>0</v>
      </c>
      <c r="BM235" s="24">
        <v>0</v>
      </c>
      <c r="BN235" s="24">
        <v>0</v>
      </c>
      <c r="BO235" s="24">
        <f t="shared" si="507"/>
        <v>0</v>
      </c>
      <c r="BP235" s="24">
        <v>0</v>
      </c>
      <c r="BQ235" s="24">
        <v>0</v>
      </c>
      <c r="BR235" s="24">
        <f t="shared" ref="BR235:BR255" si="523">SUM(BS235:CC235)</f>
        <v>0</v>
      </c>
      <c r="BS235" s="24">
        <v>0</v>
      </c>
      <c r="BT235" s="24">
        <v>0</v>
      </c>
      <c r="BU235" s="24">
        <v>0</v>
      </c>
      <c r="BV235" s="24">
        <v>0</v>
      </c>
      <c r="BW235" s="24">
        <v>0</v>
      </c>
      <c r="BX235" s="24">
        <v>0</v>
      </c>
      <c r="BY235" s="24">
        <v>0</v>
      </c>
      <c r="BZ235" s="24">
        <v>0</v>
      </c>
      <c r="CA235" s="24">
        <v>0</v>
      </c>
      <c r="CB235" s="24">
        <v>0</v>
      </c>
      <c r="CC235" s="24">
        <v>0</v>
      </c>
      <c r="CD235" s="24">
        <f t="shared" ref="CD235:CD255" si="524">SUM(CE235+CV235)</f>
        <v>0</v>
      </c>
      <c r="CE235" s="24">
        <f t="shared" ref="CE235:CE255" si="525">SUM(CF235+CI235+CN235)</f>
        <v>0</v>
      </c>
      <c r="CF235" s="24">
        <f t="shared" si="508"/>
        <v>0</v>
      </c>
      <c r="CG235" s="24">
        <v>0</v>
      </c>
      <c r="CH235" s="24">
        <v>0</v>
      </c>
      <c r="CI235" s="24">
        <f t="shared" ref="CI235:CI255" si="526">SUM(CJ235:CM235)</f>
        <v>0</v>
      </c>
      <c r="CJ235" s="24">
        <v>0</v>
      </c>
      <c r="CK235" s="24">
        <v>0</v>
      </c>
      <c r="CL235" s="24">
        <v>0</v>
      </c>
      <c r="CM235" s="24">
        <v>0</v>
      </c>
      <c r="CN235" s="24">
        <f t="shared" ref="CN235:CN255" si="527">SUM(CO235:CS235)</f>
        <v>0</v>
      </c>
      <c r="CO235" s="24">
        <v>0</v>
      </c>
      <c r="CP235" s="24">
        <v>0</v>
      </c>
      <c r="CQ235" s="24">
        <v>0</v>
      </c>
      <c r="CR235" s="24"/>
      <c r="CS235" s="24"/>
      <c r="CT235" s="24">
        <v>0</v>
      </c>
      <c r="CU235" s="24">
        <v>0</v>
      </c>
      <c r="CV235" s="24">
        <v>0</v>
      </c>
      <c r="CW235" s="24">
        <f t="shared" si="509"/>
        <v>0</v>
      </c>
      <c r="CX235" s="24">
        <f t="shared" si="510"/>
        <v>0</v>
      </c>
      <c r="CY235" s="24">
        <v>0</v>
      </c>
      <c r="CZ235" s="25">
        <v>0</v>
      </c>
      <c r="HJ235" s="63"/>
    </row>
    <row r="236" spans="1:218" s="63" customFormat="1" ht="31.2" x14ac:dyDescent="0.3">
      <c r="A236" s="26" t="s">
        <v>1</v>
      </c>
      <c r="B236" s="27" t="s">
        <v>1</v>
      </c>
      <c r="C236" s="44" t="s">
        <v>82</v>
      </c>
      <c r="D236" s="45" t="s">
        <v>606</v>
      </c>
      <c r="E236" s="23">
        <f t="shared" si="515"/>
        <v>1445613</v>
      </c>
      <c r="F236" s="24">
        <f t="shared" si="516"/>
        <v>1445613</v>
      </c>
      <c r="G236" s="24">
        <f>SUM(H236+I236+J236+Q236+T236+U236+V236+AF236+AE236)</f>
        <v>1445613</v>
      </c>
      <c r="H236" s="24">
        <v>0</v>
      </c>
      <c r="I236" s="24">
        <v>0</v>
      </c>
      <c r="J236" s="24">
        <f>SUM(K236:P236)</f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f>32507-32507</f>
        <v>0</v>
      </c>
      <c r="Q236" s="24">
        <f>SUM(R236:S236)</f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f>SUM(W236:AD236)</f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  <c r="AF236" s="24">
        <f t="shared" si="519"/>
        <v>1445613</v>
      </c>
      <c r="AG236" s="24">
        <v>0</v>
      </c>
      <c r="AH236" s="24">
        <v>0</v>
      </c>
      <c r="AI236" s="24">
        <v>0</v>
      </c>
      <c r="AJ236" s="24">
        <v>0</v>
      </c>
      <c r="AK236" s="30"/>
      <c r="AL236" s="30"/>
      <c r="AM236" s="24">
        <v>0</v>
      </c>
      <c r="AN236" s="24">
        <v>0</v>
      </c>
      <c r="AO236" s="24">
        <v>0</v>
      </c>
      <c r="AP236" s="24">
        <v>0</v>
      </c>
      <c r="AQ236" s="24">
        <v>0</v>
      </c>
      <c r="AR236" s="24"/>
      <c r="AS236" s="24">
        <v>0</v>
      </c>
      <c r="AT236" s="24">
        <v>0</v>
      </c>
      <c r="AU236" s="24">
        <v>0</v>
      </c>
      <c r="AV236" s="24"/>
      <c r="AW236" s="24"/>
      <c r="AX236" s="24">
        <v>0</v>
      </c>
      <c r="AY236" s="24">
        <v>0</v>
      </c>
      <c r="AZ236" s="24">
        <v>0</v>
      </c>
      <c r="BA236" s="24">
        <v>0</v>
      </c>
      <c r="BB236" s="24"/>
      <c r="BC236" s="30">
        <v>1445613</v>
      </c>
      <c r="BD236" s="24">
        <f t="shared" ref="BD236" si="528">SUM(BE236+BI236+BM236+BO236+BR236)</f>
        <v>0</v>
      </c>
      <c r="BE236" s="24">
        <f>SUM(BF236:BH236)</f>
        <v>0</v>
      </c>
      <c r="BF236" s="24">
        <v>0</v>
      </c>
      <c r="BG236" s="24">
        <v>0</v>
      </c>
      <c r="BH236" s="24">
        <v>0</v>
      </c>
      <c r="BI236" s="24">
        <f>SUM(BL236:BL236)</f>
        <v>0</v>
      </c>
      <c r="BJ236" s="24">
        <v>0</v>
      </c>
      <c r="BK236" s="24">
        <v>0</v>
      </c>
      <c r="BL236" s="24">
        <v>0</v>
      </c>
      <c r="BM236" s="24">
        <f>BN236</f>
        <v>0</v>
      </c>
      <c r="BN236" s="30"/>
      <c r="BO236" s="24">
        <f>SUM(BP236)</f>
        <v>0</v>
      </c>
      <c r="BP236" s="24">
        <v>0</v>
      </c>
      <c r="BQ236" s="24">
        <v>0</v>
      </c>
      <c r="BR236" s="24">
        <f t="shared" si="523"/>
        <v>0</v>
      </c>
      <c r="BS236" s="24">
        <v>0</v>
      </c>
      <c r="BT236" s="24">
        <v>0</v>
      </c>
      <c r="BU236" s="24">
        <v>0</v>
      </c>
      <c r="BV236" s="24">
        <v>0</v>
      </c>
      <c r="BW236" s="24">
        <v>0</v>
      </c>
      <c r="BX236" s="24">
        <v>0</v>
      </c>
      <c r="BY236" s="24">
        <v>0</v>
      </c>
      <c r="BZ236" s="24">
        <v>0</v>
      </c>
      <c r="CA236" s="24">
        <v>0</v>
      </c>
      <c r="CB236" s="24">
        <v>0</v>
      </c>
      <c r="CC236" s="24">
        <v>0</v>
      </c>
      <c r="CD236" s="24">
        <f>SUM(CE236+CV236)</f>
        <v>0</v>
      </c>
      <c r="CE236" s="24">
        <f>SUM(CF236+CI236+CN236)</f>
        <v>0</v>
      </c>
      <c r="CF236" s="24">
        <f>SUM(CG236:CH236)</f>
        <v>0</v>
      </c>
      <c r="CG236" s="24">
        <v>0</v>
      </c>
      <c r="CH236" s="24">
        <v>0</v>
      </c>
      <c r="CI236" s="24">
        <f>SUM(CJ236:CM236)</f>
        <v>0</v>
      </c>
      <c r="CJ236" s="24">
        <v>0</v>
      </c>
      <c r="CK236" s="24">
        <v>0</v>
      </c>
      <c r="CL236" s="24">
        <v>0</v>
      </c>
      <c r="CM236" s="24">
        <v>0</v>
      </c>
      <c r="CN236" s="24">
        <f>SUM(CO236:CS236)</f>
        <v>0</v>
      </c>
      <c r="CO236" s="24">
        <v>0</v>
      </c>
      <c r="CP236" s="24">
        <v>0</v>
      </c>
      <c r="CQ236" s="24">
        <v>0</v>
      </c>
      <c r="CR236" s="24"/>
      <c r="CS236" s="24"/>
      <c r="CT236" s="24">
        <v>0</v>
      </c>
      <c r="CU236" s="24">
        <v>0</v>
      </c>
      <c r="CV236" s="24">
        <v>0</v>
      </c>
      <c r="CW236" s="24">
        <f>SUM(CX236)</f>
        <v>0</v>
      </c>
      <c r="CX236" s="24">
        <f>SUM(CY236:CZ236)</f>
        <v>0</v>
      </c>
      <c r="CY236" s="24">
        <v>0</v>
      </c>
      <c r="CZ236" s="25">
        <v>0</v>
      </c>
      <c r="HJ236" s="61"/>
    </row>
    <row r="237" spans="1:218" s="63" customFormat="1" ht="15.6" x14ac:dyDescent="0.3">
      <c r="A237" s="43" t="s">
        <v>1</v>
      </c>
      <c r="B237" s="44" t="s">
        <v>1</v>
      </c>
      <c r="C237" s="44" t="s">
        <v>82</v>
      </c>
      <c r="D237" s="45" t="s">
        <v>352</v>
      </c>
      <c r="E237" s="46">
        <f t="shared" si="515"/>
        <v>3021168</v>
      </c>
      <c r="F237" s="47">
        <f t="shared" si="516"/>
        <v>3021168</v>
      </c>
      <c r="G237" s="24">
        <f>SUM(H237+I237+J237+Q237+T237+U237+V237+AF237+AE237)</f>
        <v>3021168</v>
      </c>
      <c r="H237" s="47">
        <v>0</v>
      </c>
      <c r="I237" s="47">
        <v>0</v>
      </c>
      <c r="J237" s="47">
        <f>SUM(K237:P237)</f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f>SUM(R237:S237)</f>
        <v>0</v>
      </c>
      <c r="R237" s="47">
        <v>0</v>
      </c>
      <c r="S237" s="47">
        <v>0</v>
      </c>
      <c r="T237" s="47">
        <v>0</v>
      </c>
      <c r="U237" s="47">
        <v>0</v>
      </c>
      <c r="V237" s="24">
        <f>SUM(W237:AD237)</f>
        <v>0</v>
      </c>
      <c r="W237" s="47">
        <v>0</v>
      </c>
      <c r="X237" s="47">
        <v>0</v>
      </c>
      <c r="Y237" s="47">
        <v>0</v>
      </c>
      <c r="Z237" s="47">
        <v>0</v>
      </c>
      <c r="AA237" s="47">
        <v>0</v>
      </c>
      <c r="AB237" s="47">
        <v>0</v>
      </c>
      <c r="AC237" s="47">
        <v>0</v>
      </c>
      <c r="AD237" s="47">
        <v>0</v>
      </c>
      <c r="AE237" s="47">
        <v>0</v>
      </c>
      <c r="AF237" s="47">
        <f t="shared" si="519"/>
        <v>3021168</v>
      </c>
      <c r="AG237" s="47">
        <v>0</v>
      </c>
      <c r="AH237" s="47">
        <v>0</v>
      </c>
      <c r="AI237" s="47">
        <v>0</v>
      </c>
      <c r="AJ237" s="47">
        <v>0</v>
      </c>
      <c r="AK237" s="42">
        <v>0</v>
      </c>
      <c r="AL237" s="42">
        <v>0</v>
      </c>
      <c r="AM237" s="47">
        <v>0</v>
      </c>
      <c r="AN237" s="47">
        <v>0</v>
      </c>
      <c r="AO237" s="47">
        <v>0</v>
      </c>
      <c r="AP237" s="47">
        <v>0</v>
      </c>
      <c r="AQ237" s="47">
        <v>0</v>
      </c>
      <c r="AR237" s="47"/>
      <c r="AS237" s="47">
        <v>0</v>
      </c>
      <c r="AT237" s="47">
        <v>0</v>
      </c>
      <c r="AU237" s="47">
        <v>0</v>
      </c>
      <c r="AV237" s="47"/>
      <c r="AW237" s="47"/>
      <c r="AX237" s="47">
        <v>0</v>
      </c>
      <c r="AY237" s="47">
        <v>0</v>
      </c>
      <c r="AZ237" s="47">
        <v>0</v>
      </c>
      <c r="BA237" s="47">
        <v>0</v>
      </c>
      <c r="BB237" s="47"/>
      <c r="BC237" s="48">
        <f>6053337-3032169</f>
        <v>3021168</v>
      </c>
      <c r="BD237" s="47">
        <f>SUM(BE237+BI237+BM237+BO237+BR237)</f>
        <v>0</v>
      </c>
      <c r="BE237" s="47">
        <f>SUM(BF237:BH237)</f>
        <v>0</v>
      </c>
      <c r="BF237" s="47">
        <v>0</v>
      </c>
      <c r="BG237" s="47">
        <v>0</v>
      </c>
      <c r="BH237" s="47">
        <v>0</v>
      </c>
      <c r="BI237" s="47">
        <f>SUM(BL237:BL237)</f>
        <v>0</v>
      </c>
      <c r="BJ237" s="47">
        <v>0</v>
      </c>
      <c r="BK237" s="47">
        <v>0</v>
      </c>
      <c r="BL237" s="47">
        <v>0</v>
      </c>
      <c r="BM237" s="47">
        <v>0</v>
      </c>
      <c r="BN237" s="47">
        <v>0</v>
      </c>
      <c r="BO237" s="47">
        <f>SUM(BP237)</f>
        <v>0</v>
      </c>
      <c r="BP237" s="47">
        <v>0</v>
      </c>
      <c r="BQ237" s="47">
        <v>0</v>
      </c>
      <c r="BR237" s="47">
        <f>SUM(BS237:CC237)</f>
        <v>0</v>
      </c>
      <c r="BS237" s="47">
        <v>0</v>
      </c>
      <c r="BT237" s="47">
        <v>0</v>
      </c>
      <c r="BU237" s="47">
        <v>0</v>
      </c>
      <c r="BV237" s="47">
        <v>0</v>
      </c>
      <c r="BW237" s="47">
        <v>0</v>
      </c>
      <c r="BX237" s="47">
        <v>0</v>
      </c>
      <c r="BY237" s="47">
        <v>0</v>
      </c>
      <c r="BZ237" s="47">
        <v>0</v>
      </c>
      <c r="CA237" s="47">
        <v>0</v>
      </c>
      <c r="CB237" s="47">
        <v>0</v>
      </c>
      <c r="CC237" s="47">
        <v>0</v>
      </c>
      <c r="CD237" s="47">
        <f>SUM(CE237+CV237)</f>
        <v>0</v>
      </c>
      <c r="CE237" s="47">
        <f>SUM(CF237+CI237+CN237)</f>
        <v>0</v>
      </c>
      <c r="CF237" s="47">
        <f>SUM(CG237:CH237)</f>
        <v>0</v>
      </c>
      <c r="CG237" s="47">
        <v>0</v>
      </c>
      <c r="CH237" s="47">
        <v>0</v>
      </c>
      <c r="CI237" s="47">
        <f>SUM(CJ237:CM237)</f>
        <v>0</v>
      </c>
      <c r="CJ237" s="47">
        <v>0</v>
      </c>
      <c r="CK237" s="47">
        <v>0</v>
      </c>
      <c r="CL237" s="47">
        <v>0</v>
      </c>
      <c r="CM237" s="47">
        <v>0</v>
      </c>
      <c r="CN237" s="47">
        <f>SUM(CO237:CS237)</f>
        <v>0</v>
      </c>
      <c r="CO237" s="47">
        <v>0</v>
      </c>
      <c r="CP237" s="47">
        <v>0</v>
      </c>
      <c r="CQ237" s="47">
        <v>0</v>
      </c>
      <c r="CR237" s="47"/>
      <c r="CS237" s="47"/>
      <c r="CT237" s="47">
        <v>0</v>
      </c>
      <c r="CU237" s="47">
        <v>0</v>
      </c>
      <c r="CV237" s="47">
        <v>0</v>
      </c>
      <c r="CW237" s="47">
        <f>SUM(CX237)</f>
        <v>0</v>
      </c>
      <c r="CX237" s="47">
        <f>SUM(CY237:CZ237)</f>
        <v>0</v>
      </c>
      <c r="CY237" s="47">
        <v>0</v>
      </c>
      <c r="CZ237" s="49">
        <v>0</v>
      </c>
    </row>
    <row r="238" spans="1:218" s="63" customFormat="1" ht="15.6" x14ac:dyDescent="0.3">
      <c r="A238" s="43"/>
      <c r="B238" s="44"/>
      <c r="C238" s="44" t="s">
        <v>82</v>
      </c>
      <c r="D238" s="45" t="s">
        <v>650</v>
      </c>
      <c r="E238" s="46">
        <f t="shared" ref="E238" si="529">SUM(F238+CD238+CW238)</f>
        <v>28063494</v>
      </c>
      <c r="F238" s="47">
        <f t="shared" ref="F238" si="530">SUM(G238+BD238)</f>
        <v>28063494</v>
      </c>
      <c r="G238" s="47">
        <f t="shared" ref="G238" si="531">SUM(H238+I238+J238+Q238+T238+U238+V238+AF238+AE238)</f>
        <v>28063494</v>
      </c>
      <c r="H238" s="47">
        <v>0</v>
      </c>
      <c r="I238" s="47">
        <v>0</v>
      </c>
      <c r="J238" s="47">
        <f t="shared" ref="J238" si="532">SUM(K238:P238)</f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f t="shared" ref="Q238" si="533">SUM(R238:S238)</f>
        <v>0</v>
      </c>
      <c r="R238" s="47">
        <v>0</v>
      </c>
      <c r="S238" s="47">
        <v>0</v>
      </c>
      <c r="T238" s="47">
        <v>0</v>
      </c>
      <c r="U238" s="47">
        <v>0</v>
      </c>
      <c r="V238" s="47">
        <f t="shared" ref="V238" si="534">SUM(W238:AD238)</f>
        <v>0</v>
      </c>
      <c r="W238" s="47">
        <v>0</v>
      </c>
      <c r="X238" s="47">
        <v>0</v>
      </c>
      <c r="Y238" s="47">
        <v>0</v>
      </c>
      <c r="Z238" s="47">
        <v>0</v>
      </c>
      <c r="AA238" s="47">
        <v>0</v>
      </c>
      <c r="AB238" s="47">
        <v>0</v>
      </c>
      <c r="AC238" s="47">
        <v>0</v>
      </c>
      <c r="AD238" s="47">
        <v>0</v>
      </c>
      <c r="AE238" s="47">
        <v>0</v>
      </c>
      <c r="AF238" s="47">
        <f t="shared" ref="AF238" si="535">SUM(AG238:BC238)</f>
        <v>28063494</v>
      </c>
      <c r="AG238" s="48"/>
      <c r="AH238" s="48"/>
      <c r="AI238" s="47">
        <v>0</v>
      </c>
      <c r="AJ238" s="47">
        <v>0</v>
      </c>
      <c r="AK238" s="42">
        <v>0</v>
      </c>
      <c r="AL238" s="42"/>
      <c r="AM238" s="47">
        <v>0</v>
      </c>
      <c r="AN238" s="47">
        <v>0</v>
      </c>
      <c r="AO238" s="47">
        <v>0</v>
      </c>
      <c r="AP238" s="47">
        <v>0</v>
      </c>
      <c r="AQ238" s="47">
        <v>0</v>
      </c>
      <c r="AR238" s="47"/>
      <c r="AS238" s="47">
        <v>0</v>
      </c>
      <c r="AT238" s="47">
        <v>0</v>
      </c>
      <c r="AU238" s="47">
        <v>0</v>
      </c>
      <c r="AV238" s="47"/>
      <c r="AW238" s="47"/>
      <c r="AX238" s="47">
        <v>0</v>
      </c>
      <c r="AY238" s="47">
        <v>0</v>
      </c>
      <c r="AZ238" s="47">
        <v>0</v>
      </c>
      <c r="BA238" s="47">
        <v>0</v>
      </c>
      <c r="BB238" s="47"/>
      <c r="BC238" s="47">
        <f>0+28063494</f>
        <v>28063494</v>
      </c>
      <c r="BD238" s="47">
        <f t="shared" ref="BD238" si="536">SUM(BE238+BI238+BM238+BO238+BR238)</f>
        <v>0</v>
      </c>
      <c r="BE238" s="47">
        <f t="shared" ref="BE238" si="537">SUM(BF238:BH238)</f>
        <v>0</v>
      </c>
      <c r="BF238" s="47">
        <v>0</v>
      </c>
      <c r="BG238" s="47">
        <v>0</v>
      </c>
      <c r="BH238" s="47">
        <v>0</v>
      </c>
      <c r="BI238" s="47">
        <f t="shared" ref="BI238" si="538">SUM(BL238:BL238)</f>
        <v>0</v>
      </c>
      <c r="BJ238" s="47">
        <v>0</v>
      </c>
      <c r="BK238" s="47">
        <v>0</v>
      </c>
      <c r="BL238" s="47">
        <v>0</v>
      </c>
      <c r="BM238" s="47">
        <v>0</v>
      </c>
      <c r="BN238" s="47">
        <v>0</v>
      </c>
      <c r="BO238" s="47">
        <f t="shared" ref="BO238" si="539">SUM(BP238)</f>
        <v>0</v>
      </c>
      <c r="BP238" s="47">
        <v>0</v>
      </c>
      <c r="BQ238" s="47">
        <v>0</v>
      </c>
      <c r="BR238" s="47">
        <f t="shared" ref="BR238" si="540">SUM(BS238:CC238)</f>
        <v>0</v>
      </c>
      <c r="BS238" s="47">
        <v>0</v>
      </c>
      <c r="BT238" s="47">
        <v>0</v>
      </c>
      <c r="BU238" s="47">
        <v>0</v>
      </c>
      <c r="BV238" s="47">
        <v>0</v>
      </c>
      <c r="BW238" s="47">
        <v>0</v>
      </c>
      <c r="BX238" s="47">
        <v>0</v>
      </c>
      <c r="BY238" s="47">
        <v>0</v>
      </c>
      <c r="BZ238" s="47">
        <v>0</v>
      </c>
      <c r="CA238" s="47">
        <v>0</v>
      </c>
      <c r="CB238" s="47">
        <v>0</v>
      </c>
      <c r="CC238" s="47">
        <v>0</v>
      </c>
      <c r="CD238" s="47">
        <f t="shared" ref="CD238" si="541">SUM(CE238+CV238)</f>
        <v>0</v>
      </c>
      <c r="CE238" s="47">
        <f t="shared" ref="CE238" si="542">SUM(CF238+CI238+CN238)</f>
        <v>0</v>
      </c>
      <c r="CF238" s="47">
        <f t="shared" ref="CF238" si="543">SUM(CG238:CH238)</f>
        <v>0</v>
      </c>
      <c r="CG238" s="47">
        <v>0</v>
      </c>
      <c r="CH238" s="47">
        <v>0</v>
      </c>
      <c r="CI238" s="47">
        <f t="shared" ref="CI238" si="544">SUM(CJ238:CM238)</f>
        <v>0</v>
      </c>
      <c r="CJ238" s="47">
        <v>0</v>
      </c>
      <c r="CK238" s="47">
        <v>0</v>
      </c>
      <c r="CL238" s="47">
        <v>0</v>
      </c>
      <c r="CM238" s="47">
        <v>0</v>
      </c>
      <c r="CN238" s="47">
        <f t="shared" ref="CN238" si="545">SUM(CO238:CS238)</f>
        <v>0</v>
      </c>
      <c r="CO238" s="47">
        <v>0</v>
      </c>
      <c r="CP238" s="47">
        <v>0</v>
      </c>
      <c r="CQ238" s="47">
        <v>0</v>
      </c>
      <c r="CR238" s="47"/>
      <c r="CS238" s="47"/>
      <c r="CT238" s="47">
        <v>0</v>
      </c>
      <c r="CU238" s="47">
        <v>0</v>
      </c>
      <c r="CV238" s="47">
        <v>0</v>
      </c>
      <c r="CW238" s="47">
        <f t="shared" ref="CW238" si="546">SUM(CX238)</f>
        <v>0</v>
      </c>
      <c r="CX238" s="47">
        <f t="shared" ref="CX238" si="547">SUM(CY238:CZ238)</f>
        <v>0</v>
      </c>
      <c r="CY238" s="47">
        <v>0</v>
      </c>
      <c r="CZ238" s="49">
        <v>0</v>
      </c>
    </row>
    <row r="239" spans="1:218" s="63" customFormat="1" ht="31.2" x14ac:dyDescent="0.3">
      <c r="A239" s="43"/>
      <c r="B239" s="44"/>
      <c r="C239" s="50" t="s">
        <v>84</v>
      </c>
      <c r="D239" s="51" t="s">
        <v>575</v>
      </c>
      <c r="E239" s="46">
        <f t="shared" si="515"/>
        <v>60400</v>
      </c>
      <c r="F239" s="47">
        <f t="shared" si="516"/>
        <v>60400</v>
      </c>
      <c r="G239" s="47">
        <f t="shared" si="517"/>
        <v>60400</v>
      </c>
      <c r="H239" s="47">
        <v>0</v>
      </c>
      <c r="I239" s="47">
        <v>0</v>
      </c>
      <c r="J239" s="47">
        <f t="shared" ref="J239:J241" si="548">SUM(K239:P239)</f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0</v>
      </c>
      <c r="Q239" s="47">
        <f t="shared" ref="Q239:Q241" si="549">SUM(R239:S239)</f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f t="shared" si="518"/>
        <v>0</v>
      </c>
      <c r="W239" s="47">
        <v>0</v>
      </c>
      <c r="X239" s="47">
        <v>0</v>
      </c>
      <c r="Y239" s="47">
        <v>0</v>
      </c>
      <c r="Z239" s="47">
        <v>0</v>
      </c>
      <c r="AA239" s="47">
        <v>0</v>
      </c>
      <c r="AB239" s="47">
        <v>0</v>
      </c>
      <c r="AC239" s="47">
        <v>0</v>
      </c>
      <c r="AD239" s="47">
        <v>0</v>
      </c>
      <c r="AE239" s="47">
        <v>0</v>
      </c>
      <c r="AF239" s="47">
        <f t="shared" si="519"/>
        <v>60400</v>
      </c>
      <c r="AG239" s="48"/>
      <c r="AH239" s="48"/>
      <c r="AI239" s="47">
        <v>0</v>
      </c>
      <c r="AJ239" s="47">
        <v>0</v>
      </c>
      <c r="AK239" s="42">
        <v>0</v>
      </c>
      <c r="AL239" s="42">
        <v>60400</v>
      </c>
      <c r="AM239" s="47">
        <v>0</v>
      </c>
      <c r="AN239" s="47">
        <v>0</v>
      </c>
      <c r="AO239" s="47">
        <v>0</v>
      </c>
      <c r="AP239" s="47">
        <v>0</v>
      </c>
      <c r="AQ239" s="47">
        <v>0</v>
      </c>
      <c r="AR239" s="47"/>
      <c r="AS239" s="47">
        <v>0</v>
      </c>
      <c r="AT239" s="47">
        <v>0</v>
      </c>
      <c r="AU239" s="47">
        <v>0</v>
      </c>
      <c r="AV239" s="47"/>
      <c r="AW239" s="47"/>
      <c r="AX239" s="47">
        <v>0</v>
      </c>
      <c r="AY239" s="47">
        <v>0</v>
      </c>
      <c r="AZ239" s="47">
        <v>0</v>
      </c>
      <c r="BA239" s="47">
        <v>0</v>
      </c>
      <c r="BB239" s="47"/>
      <c r="BC239" s="47">
        <v>0</v>
      </c>
      <c r="BD239" s="47">
        <f t="shared" si="520"/>
        <v>0</v>
      </c>
      <c r="BE239" s="47">
        <f t="shared" si="521"/>
        <v>0</v>
      </c>
      <c r="BF239" s="47">
        <v>0</v>
      </c>
      <c r="BG239" s="47">
        <v>0</v>
      </c>
      <c r="BH239" s="47">
        <v>0</v>
      </c>
      <c r="BI239" s="47">
        <f t="shared" si="522"/>
        <v>0</v>
      </c>
      <c r="BJ239" s="47">
        <v>0</v>
      </c>
      <c r="BK239" s="47">
        <v>0</v>
      </c>
      <c r="BL239" s="47">
        <v>0</v>
      </c>
      <c r="BM239" s="47">
        <v>0</v>
      </c>
      <c r="BN239" s="47">
        <v>0</v>
      </c>
      <c r="BO239" s="47">
        <f t="shared" si="507"/>
        <v>0</v>
      </c>
      <c r="BP239" s="47">
        <v>0</v>
      </c>
      <c r="BQ239" s="47">
        <v>0</v>
      </c>
      <c r="BR239" s="47">
        <f t="shared" si="523"/>
        <v>0</v>
      </c>
      <c r="BS239" s="47">
        <v>0</v>
      </c>
      <c r="BT239" s="47">
        <v>0</v>
      </c>
      <c r="BU239" s="47">
        <v>0</v>
      </c>
      <c r="BV239" s="47">
        <v>0</v>
      </c>
      <c r="BW239" s="47">
        <v>0</v>
      </c>
      <c r="BX239" s="47">
        <v>0</v>
      </c>
      <c r="BY239" s="47">
        <v>0</v>
      </c>
      <c r="BZ239" s="47">
        <v>0</v>
      </c>
      <c r="CA239" s="47">
        <v>0</v>
      </c>
      <c r="CB239" s="47">
        <v>0</v>
      </c>
      <c r="CC239" s="47">
        <v>0</v>
      </c>
      <c r="CD239" s="47">
        <f t="shared" si="524"/>
        <v>0</v>
      </c>
      <c r="CE239" s="47">
        <f t="shared" si="525"/>
        <v>0</v>
      </c>
      <c r="CF239" s="47">
        <f t="shared" ref="CF239:CF241" si="550">SUM(CG239:CH239)</f>
        <v>0</v>
      </c>
      <c r="CG239" s="47">
        <v>0</v>
      </c>
      <c r="CH239" s="47">
        <v>0</v>
      </c>
      <c r="CI239" s="47">
        <f t="shared" si="526"/>
        <v>0</v>
      </c>
      <c r="CJ239" s="47">
        <v>0</v>
      </c>
      <c r="CK239" s="47">
        <v>0</v>
      </c>
      <c r="CL239" s="47">
        <v>0</v>
      </c>
      <c r="CM239" s="47">
        <v>0</v>
      </c>
      <c r="CN239" s="47">
        <f t="shared" si="527"/>
        <v>0</v>
      </c>
      <c r="CO239" s="47">
        <v>0</v>
      </c>
      <c r="CP239" s="47">
        <v>0</v>
      </c>
      <c r="CQ239" s="47">
        <v>0</v>
      </c>
      <c r="CR239" s="47"/>
      <c r="CS239" s="47"/>
      <c r="CT239" s="47">
        <v>0</v>
      </c>
      <c r="CU239" s="47">
        <v>0</v>
      </c>
      <c r="CV239" s="47">
        <v>0</v>
      </c>
      <c r="CW239" s="47">
        <f t="shared" si="509"/>
        <v>0</v>
      </c>
      <c r="CX239" s="47">
        <f t="shared" si="510"/>
        <v>0</v>
      </c>
      <c r="CY239" s="47">
        <v>0</v>
      </c>
      <c r="CZ239" s="49">
        <v>0</v>
      </c>
    </row>
    <row r="240" spans="1:218" s="63" customFormat="1" ht="31.2" x14ac:dyDescent="0.3">
      <c r="A240" s="43"/>
      <c r="B240" s="44"/>
      <c r="C240" s="50" t="s">
        <v>84</v>
      </c>
      <c r="D240" s="51" t="s">
        <v>583</v>
      </c>
      <c r="E240" s="46">
        <f t="shared" si="515"/>
        <v>31258</v>
      </c>
      <c r="F240" s="47">
        <f t="shared" si="516"/>
        <v>31258</v>
      </c>
      <c r="G240" s="47">
        <f t="shared" si="517"/>
        <v>31258</v>
      </c>
      <c r="H240" s="47">
        <v>0</v>
      </c>
      <c r="I240" s="47">
        <v>0</v>
      </c>
      <c r="J240" s="47">
        <f t="shared" si="548"/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f t="shared" si="549"/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f t="shared" si="518"/>
        <v>0</v>
      </c>
      <c r="W240" s="47">
        <v>0</v>
      </c>
      <c r="X240" s="47">
        <v>0</v>
      </c>
      <c r="Y240" s="47">
        <v>0</v>
      </c>
      <c r="Z240" s="47">
        <v>0</v>
      </c>
      <c r="AA240" s="47">
        <v>0</v>
      </c>
      <c r="AB240" s="47">
        <v>0</v>
      </c>
      <c r="AC240" s="47">
        <v>0</v>
      </c>
      <c r="AD240" s="47">
        <v>0</v>
      </c>
      <c r="AE240" s="47">
        <v>0</v>
      </c>
      <c r="AF240" s="47">
        <f t="shared" si="519"/>
        <v>31258</v>
      </c>
      <c r="AG240" s="48"/>
      <c r="AH240" s="48"/>
      <c r="AI240" s="47">
        <v>0</v>
      </c>
      <c r="AJ240" s="47">
        <v>0</v>
      </c>
      <c r="AK240" s="42">
        <v>31258</v>
      </c>
      <c r="AL240" s="42">
        <v>0</v>
      </c>
      <c r="AM240" s="47">
        <v>0</v>
      </c>
      <c r="AN240" s="47">
        <v>0</v>
      </c>
      <c r="AO240" s="47">
        <v>0</v>
      </c>
      <c r="AP240" s="47">
        <v>0</v>
      </c>
      <c r="AQ240" s="47">
        <v>0</v>
      </c>
      <c r="AR240" s="47"/>
      <c r="AS240" s="47">
        <v>0</v>
      </c>
      <c r="AT240" s="47">
        <v>0</v>
      </c>
      <c r="AU240" s="47">
        <v>0</v>
      </c>
      <c r="AV240" s="47"/>
      <c r="AW240" s="47"/>
      <c r="AX240" s="47">
        <v>0</v>
      </c>
      <c r="AY240" s="47">
        <v>0</v>
      </c>
      <c r="AZ240" s="47">
        <v>0</v>
      </c>
      <c r="BA240" s="47">
        <v>0</v>
      </c>
      <c r="BB240" s="47"/>
      <c r="BC240" s="47">
        <v>0</v>
      </c>
      <c r="BD240" s="47">
        <f t="shared" si="520"/>
        <v>0</v>
      </c>
      <c r="BE240" s="47">
        <f t="shared" si="521"/>
        <v>0</v>
      </c>
      <c r="BF240" s="47">
        <v>0</v>
      </c>
      <c r="BG240" s="47">
        <v>0</v>
      </c>
      <c r="BH240" s="47">
        <v>0</v>
      </c>
      <c r="BI240" s="47">
        <f t="shared" si="522"/>
        <v>0</v>
      </c>
      <c r="BJ240" s="47">
        <v>0</v>
      </c>
      <c r="BK240" s="47">
        <v>0</v>
      </c>
      <c r="BL240" s="47">
        <v>0</v>
      </c>
      <c r="BM240" s="47">
        <v>0</v>
      </c>
      <c r="BN240" s="47">
        <v>0</v>
      </c>
      <c r="BO240" s="47">
        <f t="shared" si="507"/>
        <v>0</v>
      </c>
      <c r="BP240" s="47">
        <v>0</v>
      </c>
      <c r="BQ240" s="47">
        <v>0</v>
      </c>
      <c r="BR240" s="47">
        <f t="shared" si="523"/>
        <v>0</v>
      </c>
      <c r="BS240" s="47">
        <v>0</v>
      </c>
      <c r="BT240" s="47">
        <v>0</v>
      </c>
      <c r="BU240" s="47">
        <v>0</v>
      </c>
      <c r="BV240" s="47">
        <v>0</v>
      </c>
      <c r="BW240" s="47">
        <v>0</v>
      </c>
      <c r="BX240" s="47">
        <v>0</v>
      </c>
      <c r="BY240" s="47">
        <v>0</v>
      </c>
      <c r="BZ240" s="47">
        <v>0</v>
      </c>
      <c r="CA240" s="47">
        <v>0</v>
      </c>
      <c r="CB240" s="47">
        <v>0</v>
      </c>
      <c r="CC240" s="47">
        <v>0</v>
      </c>
      <c r="CD240" s="47">
        <f t="shared" si="524"/>
        <v>0</v>
      </c>
      <c r="CE240" s="47">
        <f t="shared" si="525"/>
        <v>0</v>
      </c>
      <c r="CF240" s="47">
        <f t="shared" si="550"/>
        <v>0</v>
      </c>
      <c r="CG240" s="47">
        <v>0</v>
      </c>
      <c r="CH240" s="47">
        <v>0</v>
      </c>
      <c r="CI240" s="47">
        <f t="shared" si="526"/>
        <v>0</v>
      </c>
      <c r="CJ240" s="47">
        <v>0</v>
      </c>
      <c r="CK240" s="47">
        <v>0</v>
      </c>
      <c r="CL240" s="47">
        <v>0</v>
      </c>
      <c r="CM240" s="47">
        <v>0</v>
      </c>
      <c r="CN240" s="47">
        <f t="shared" si="527"/>
        <v>0</v>
      </c>
      <c r="CO240" s="47">
        <v>0</v>
      </c>
      <c r="CP240" s="47">
        <v>0</v>
      </c>
      <c r="CQ240" s="47">
        <v>0</v>
      </c>
      <c r="CR240" s="47"/>
      <c r="CS240" s="47"/>
      <c r="CT240" s="47">
        <v>0</v>
      </c>
      <c r="CU240" s="47">
        <v>0</v>
      </c>
      <c r="CV240" s="47">
        <v>0</v>
      </c>
      <c r="CW240" s="47">
        <f t="shared" si="509"/>
        <v>0</v>
      </c>
      <c r="CX240" s="47">
        <f t="shared" si="510"/>
        <v>0</v>
      </c>
      <c r="CY240" s="47">
        <v>0</v>
      </c>
      <c r="CZ240" s="49">
        <v>0</v>
      </c>
    </row>
    <row r="241" spans="1:218" s="63" customFormat="1" ht="46.8" x14ac:dyDescent="0.3">
      <c r="A241" s="43"/>
      <c r="B241" s="44"/>
      <c r="C241" s="50" t="s">
        <v>84</v>
      </c>
      <c r="D241" s="51" t="s">
        <v>584</v>
      </c>
      <c r="E241" s="46">
        <f t="shared" si="515"/>
        <v>0</v>
      </c>
      <c r="F241" s="47">
        <f t="shared" si="516"/>
        <v>0</v>
      </c>
      <c r="G241" s="47">
        <f t="shared" si="517"/>
        <v>0</v>
      </c>
      <c r="H241" s="47">
        <v>0</v>
      </c>
      <c r="I241" s="47">
        <v>0</v>
      </c>
      <c r="J241" s="47">
        <f t="shared" si="548"/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2">
        <f>39328-39328</f>
        <v>0</v>
      </c>
      <c r="Q241" s="47">
        <f t="shared" si="549"/>
        <v>0</v>
      </c>
      <c r="R241" s="47">
        <v>0</v>
      </c>
      <c r="S241" s="47">
        <v>0</v>
      </c>
      <c r="T241" s="47">
        <v>0</v>
      </c>
      <c r="U241" s="47">
        <v>0</v>
      </c>
      <c r="V241" s="47">
        <f t="shared" si="518"/>
        <v>0</v>
      </c>
      <c r="W241" s="47">
        <v>0</v>
      </c>
      <c r="X241" s="47">
        <v>0</v>
      </c>
      <c r="Y241" s="47">
        <v>0</v>
      </c>
      <c r="Z241" s="47">
        <v>0</v>
      </c>
      <c r="AA241" s="47">
        <v>0</v>
      </c>
      <c r="AB241" s="47">
        <v>0</v>
      </c>
      <c r="AC241" s="47">
        <v>0</v>
      </c>
      <c r="AD241" s="47">
        <v>0</v>
      </c>
      <c r="AE241" s="47">
        <v>0</v>
      </c>
      <c r="AF241" s="47">
        <f t="shared" si="519"/>
        <v>0</v>
      </c>
      <c r="AG241" s="48"/>
      <c r="AH241" s="48"/>
      <c r="AI241" s="47">
        <v>0</v>
      </c>
      <c r="AJ241" s="47">
        <v>0</v>
      </c>
      <c r="AK241" s="42">
        <f>11198-11198</f>
        <v>0</v>
      </c>
      <c r="AL241" s="42">
        <v>0</v>
      </c>
      <c r="AM241" s="47">
        <v>0</v>
      </c>
      <c r="AN241" s="47">
        <v>0</v>
      </c>
      <c r="AO241" s="47">
        <v>0</v>
      </c>
      <c r="AP241" s="47">
        <v>0</v>
      </c>
      <c r="AQ241" s="47">
        <v>0</v>
      </c>
      <c r="AR241" s="47"/>
      <c r="AS241" s="47">
        <v>0</v>
      </c>
      <c r="AT241" s="47">
        <v>0</v>
      </c>
      <c r="AU241" s="47">
        <v>0</v>
      </c>
      <c r="AV241" s="47"/>
      <c r="AW241" s="47"/>
      <c r="AX241" s="47">
        <v>0</v>
      </c>
      <c r="AY241" s="47">
        <v>0</v>
      </c>
      <c r="AZ241" s="47">
        <v>0</v>
      </c>
      <c r="BA241" s="47">
        <v>0</v>
      </c>
      <c r="BB241" s="47"/>
      <c r="BC241" s="47">
        <v>0</v>
      </c>
      <c r="BD241" s="47">
        <f t="shared" si="520"/>
        <v>0</v>
      </c>
      <c r="BE241" s="47">
        <f t="shared" si="521"/>
        <v>0</v>
      </c>
      <c r="BF241" s="47">
        <v>0</v>
      </c>
      <c r="BG241" s="47">
        <v>0</v>
      </c>
      <c r="BH241" s="47">
        <v>0</v>
      </c>
      <c r="BI241" s="47">
        <f t="shared" si="522"/>
        <v>0</v>
      </c>
      <c r="BJ241" s="47">
        <v>0</v>
      </c>
      <c r="BK241" s="47">
        <v>0</v>
      </c>
      <c r="BL241" s="47">
        <v>0</v>
      </c>
      <c r="BM241" s="47">
        <v>0</v>
      </c>
      <c r="BN241" s="47">
        <v>0</v>
      </c>
      <c r="BO241" s="47">
        <f t="shared" si="507"/>
        <v>0</v>
      </c>
      <c r="BP241" s="47">
        <v>0</v>
      </c>
      <c r="BQ241" s="47">
        <v>0</v>
      </c>
      <c r="BR241" s="47">
        <f t="shared" si="523"/>
        <v>0</v>
      </c>
      <c r="BS241" s="47">
        <v>0</v>
      </c>
      <c r="BT241" s="47">
        <v>0</v>
      </c>
      <c r="BU241" s="47">
        <v>0</v>
      </c>
      <c r="BV241" s="47">
        <v>0</v>
      </c>
      <c r="BW241" s="47">
        <v>0</v>
      </c>
      <c r="BX241" s="47">
        <v>0</v>
      </c>
      <c r="BY241" s="47">
        <v>0</v>
      </c>
      <c r="BZ241" s="47">
        <v>0</v>
      </c>
      <c r="CA241" s="47">
        <v>0</v>
      </c>
      <c r="CB241" s="47">
        <v>0</v>
      </c>
      <c r="CC241" s="47">
        <v>0</v>
      </c>
      <c r="CD241" s="47">
        <f t="shared" si="524"/>
        <v>0</v>
      </c>
      <c r="CE241" s="47">
        <f t="shared" si="525"/>
        <v>0</v>
      </c>
      <c r="CF241" s="47">
        <f t="shared" si="550"/>
        <v>0</v>
      </c>
      <c r="CG241" s="47">
        <v>0</v>
      </c>
      <c r="CH241" s="47">
        <v>0</v>
      </c>
      <c r="CI241" s="47">
        <f t="shared" si="526"/>
        <v>0</v>
      </c>
      <c r="CJ241" s="47">
        <v>0</v>
      </c>
      <c r="CK241" s="47">
        <v>0</v>
      </c>
      <c r="CL241" s="47">
        <v>0</v>
      </c>
      <c r="CM241" s="47">
        <v>0</v>
      </c>
      <c r="CN241" s="47">
        <f t="shared" si="527"/>
        <v>0</v>
      </c>
      <c r="CO241" s="47">
        <v>0</v>
      </c>
      <c r="CP241" s="47">
        <v>0</v>
      </c>
      <c r="CQ241" s="47">
        <v>0</v>
      </c>
      <c r="CR241" s="47"/>
      <c r="CS241" s="47"/>
      <c r="CT241" s="47">
        <v>0</v>
      </c>
      <c r="CU241" s="47">
        <v>0</v>
      </c>
      <c r="CV241" s="47">
        <v>0</v>
      </c>
      <c r="CW241" s="47">
        <f t="shared" si="509"/>
        <v>0</v>
      </c>
      <c r="CX241" s="47">
        <f t="shared" si="510"/>
        <v>0</v>
      </c>
      <c r="CY241" s="47">
        <v>0</v>
      </c>
      <c r="CZ241" s="49">
        <v>0</v>
      </c>
    </row>
    <row r="242" spans="1:218" s="63" customFormat="1" ht="15.6" x14ac:dyDescent="0.3">
      <c r="A242" s="43" t="s">
        <v>1</v>
      </c>
      <c r="B242" s="44" t="s">
        <v>1</v>
      </c>
      <c r="C242" s="50">
        <v>113</v>
      </c>
      <c r="D242" s="51" t="s">
        <v>353</v>
      </c>
      <c r="E242" s="46">
        <f t="shared" si="515"/>
        <v>120000000</v>
      </c>
      <c r="F242" s="47">
        <f t="shared" si="516"/>
        <v>120000000</v>
      </c>
      <c r="G242" s="47">
        <f t="shared" si="517"/>
        <v>120000000</v>
      </c>
      <c r="H242" s="47">
        <v>0</v>
      </c>
      <c r="I242" s="47">
        <v>0</v>
      </c>
      <c r="J242" s="47">
        <f t="shared" si="504"/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7">
        <f t="shared" si="505"/>
        <v>0</v>
      </c>
      <c r="R242" s="47">
        <v>0</v>
      </c>
      <c r="S242" s="47">
        <v>0</v>
      </c>
      <c r="T242" s="47">
        <v>0</v>
      </c>
      <c r="U242" s="47">
        <v>0</v>
      </c>
      <c r="V242" s="47">
        <f t="shared" si="518"/>
        <v>0</v>
      </c>
      <c r="W242" s="47">
        <v>0</v>
      </c>
      <c r="X242" s="47">
        <v>0</v>
      </c>
      <c r="Y242" s="47">
        <v>0</v>
      </c>
      <c r="Z242" s="47">
        <v>0</v>
      </c>
      <c r="AA242" s="47">
        <v>0</v>
      </c>
      <c r="AB242" s="47">
        <v>0</v>
      </c>
      <c r="AC242" s="47">
        <v>0</v>
      </c>
      <c r="AD242" s="47">
        <v>0</v>
      </c>
      <c r="AE242" s="47">
        <v>0</v>
      </c>
      <c r="AF242" s="47">
        <f t="shared" si="519"/>
        <v>120000000</v>
      </c>
      <c r="AG242" s="47">
        <v>0</v>
      </c>
      <c r="AH242" s="47">
        <v>0</v>
      </c>
      <c r="AI242" s="42">
        <v>0</v>
      </c>
      <c r="AJ242" s="42">
        <v>0</v>
      </c>
      <c r="AK242" s="42">
        <v>0</v>
      </c>
      <c r="AL242" s="42">
        <v>0</v>
      </c>
      <c r="AM242" s="42">
        <v>0</v>
      </c>
      <c r="AN242" s="42">
        <v>0</v>
      </c>
      <c r="AO242" s="42">
        <v>0</v>
      </c>
      <c r="AP242" s="42">
        <v>0</v>
      </c>
      <c r="AQ242" s="42">
        <v>0</v>
      </c>
      <c r="AR242" s="42">
        <v>0</v>
      </c>
      <c r="AS242" s="42">
        <v>0</v>
      </c>
      <c r="AT242" s="42">
        <v>0</v>
      </c>
      <c r="AU242" s="42">
        <v>0</v>
      </c>
      <c r="AV242" s="42">
        <v>0</v>
      </c>
      <c r="AW242" s="42">
        <v>0</v>
      </c>
      <c r="AX242" s="42">
        <v>0</v>
      </c>
      <c r="AY242" s="42">
        <v>0</v>
      </c>
      <c r="AZ242" s="42">
        <v>0</v>
      </c>
      <c r="BA242" s="42">
        <v>0</v>
      </c>
      <c r="BB242" s="42">
        <v>0</v>
      </c>
      <c r="BC242" s="42">
        <v>120000000</v>
      </c>
      <c r="BD242" s="47">
        <f t="shared" si="520"/>
        <v>0</v>
      </c>
      <c r="BE242" s="47">
        <f t="shared" si="521"/>
        <v>0</v>
      </c>
      <c r="BF242" s="47">
        <v>0</v>
      </c>
      <c r="BG242" s="47">
        <v>0</v>
      </c>
      <c r="BH242" s="47">
        <v>0</v>
      </c>
      <c r="BI242" s="47">
        <f t="shared" si="522"/>
        <v>0</v>
      </c>
      <c r="BJ242" s="47">
        <v>0</v>
      </c>
      <c r="BK242" s="47">
        <v>0</v>
      </c>
      <c r="BL242" s="47">
        <v>0</v>
      </c>
      <c r="BM242" s="47">
        <v>0</v>
      </c>
      <c r="BN242" s="47">
        <v>0</v>
      </c>
      <c r="BO242" s="47">
        <f t="shared" si="507"/>
        <v>0</v>
      </c>
      <c r="BP242" s="47">
        <v>0</v>
      </c>
      <c r="BQ242" s="47">
        <v>0</v>
      </c>
      <c r="BR242" s="47">
        <f t="shared" si="523"/>
        <v>0</v>
      </c>
      <c r="BS242" s="47">
        <v>0</v>
      </c>
      <c r="BT242" s="47">
        <v>0</v>
      </c>
      <c r="BU242" s="47">
        <v>0</v>
      </c>
      <c r="BV242" s="47">
        <v>0</v>
      </c>
      <c r="BW242" s="47">
        <v>0</v>
      </c>
      <c r="BX242" s="47">
        <v>0</v>
      </c>
      <c r="BY242" s="47">
        <v>0</v>
      </c>
      <c r="BZ242" s="47">
        <v>0</v>
      </c>
      <c r="CA242" s="47">
        <v>0</v>
      </c>
      <c r="CB242" s="47">
        <v>0</v>
      </c>
      <c r="CC242" s="47">
        <v>0</v>
      </c>
      <c r="CD242" s="47">
        <f t="shared" si="524"/>
        <v>0</v>
      </c>
      <c r="CE242" s="47">
        <f t="shared" si="525"/>
        <v>0</v>
      </c>
      <c r="CF242" s="47">
        <f t="shared" ref="CF242" si="551">SUM(CG242:CH242)</f>
        <v>0</v>
      </c>
      <c r="CG242" s="47">
        <v>0</v>
      </c>
      <c r="CH242" s="47">
        <v>0</v>
      </c>
      <c r="CI242" s="47">
        <f t="shared" si="526"/>
        <v>0</v>
      </c>
      <c r="CJ242" s="47">
        <v>0</v>
      </c>
      <c r="CK242" s="47">
        <v>0</v>
      </c>
      <c r="CL242" s="47">
        <v>0</v>
      </c>
      <c r="CM242" s="47">
        <v>0</v>
      </c>
      <c r="CN242" s="47">
        <f t="shared" si="527"/>
        <v>0</v>
      </c>
      <c r="CO242" s="47">
        <v>0</v>
      </c>
      <c r="CP242" s="47">
        <v>0</v>
      </c>
      <c r="CQ242" s="47">
        <v>0</v>
      </c>
      <c r="CR242" s="47"/>
      <c r="CS242" s="47"/>
      <c r="CT242" s="47">
        <v>0</v>
      </c>
      <c r="CU242" s="47">
        <v>0</v>
      </c>
      <c r="CV242" s="47">
        <v>0</v>
      </c>
      <c r="CW242" s="47">
        <f t="shared" ref="CW242" si="552">SUM(CX242)</f>
        <v>0</v>
      </c>
      <c r="CX242" s="47">
        <f t="shared" si="510"/>
        <v>0</v>
      </c>
      <c r="CY242" s="47">
        <v>0</v>
      </c>
      <c r="CZ242" s="49">
        <v>0</v>
      </c>
    </row>
    <row r="243" spans="1:218" s="63" customFormat="1" ht="46.8" x14ac:dyDescent="0.3">
      <c r="A243" s="43"/>
      <c r="B243" s="44"/>
      <c r="C243" s="50">
        <v>113</v>
      </c>
      <c r="D243" s="51" t="s">
        <v>607</v>
      </c>
      <c r="E243" s="46">
        <f t="shared" si="515"/>
        <v>42636688</v>
      </c>
      <c r="F243" s="47">
        <f t="shared" si="516"/>
        <v>3754399</v>
      </c>
      <c r="G243" s="47">
        <f t="shared" ref="G243" si="553">SUM(H243+I243+J243+Q243+T243+U243+V243+AF243+AE243)</f>
        <v>3754399</v>
      </c>
      <c r="H243" s="47">
        <v>0</v>
      </c>
      <c r="I243" s="47">
        <v>0</v>
      </c>
      <c r="J243" s="47">
        <f t="shared" ref="J243" si="554">SUM(K243:P243)</f>
        <v>1244954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f>1245559-605</f>
        <v>1244954</v>
      </c>
      <c r="Q243" s="47">
        <f t="shared" ref="Q243" si="555">SUM(R243:S243)</f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f t="shared" ref="V243" si="556">SUM(W243:AD243)</f>
        <v>0</v>
      </c>
      <c r="W243" s="47">
        <v>0</v>
      </c>
      <c r="X243" s="47">
        <v>0</v>
      </c>
      <c r="Y243" s="47">
        <v>0</v>
      </c>
      <c r="Z243" s="47">
        <v>0</v>
      </c>
      <c r="AA243" s="47">
        <v>0</v>
      </c>
      <c r="AB243" s="47">
        <v>0</v>
      </c>
      <c r="AC243" s="47">
        <v>0</v>
      </c>
      <c r="AD243" s="47">
        <v>0</v>
      </c>
      <c r="AE243" s="47">
        <v>0</v>
      </c>
      <c r="AF243" s="47">
        <f t="shared" si="519"/>
        <v>2509445</v>
      </c>
      <c r="AG243" s="47">
        <v>0</v>
      </c>
      <c r="AH243" s="47">
        <v>0</v>
      </c>
      <c r="AI243" s="42">
        <v>2509445</v>
      </c>
      <c r="AJ243" s="42">
        <v>0</v>
      </c>
      <c r="AK243" s="42">
        <v>0</v>
      </c>
      <c r="AL243" s="42">
        <v>0</v>
      </c>
      <c r="AM243" s="42">
        <v>0</v>
      </c>
      <c r="AN243" s="42">
        <v>0</v>
      </c>
      <c r="AO243" s="42">
        <v>0</v>
      </c>
      <c r="AP243" s="42">
        <v>0</v>
      </c>
      <c r="AQ243" s="42">
        <v>0</v>
      </c>
      <c r="AR243" s="42">
        <v>0</v>
      </c>
      <c r="AS243" s="42">
        <v>0</v>
      </c>
      <c r="AT243" s="42">
        <v>0</v>
      </c>
      <c r="AU243" s="42">
        <v>0</v>
      </c>
      <c r="AV243" s="42">
        <v>0</v>
      </c>
      <c r="AW243" s="42">
        <v>0</v>
      </c>
      <c r="AX243" s="42">
        <v>0</v>
      </c>
      <c r="AY243" s="42">
        <v>0</v>
      </c>
      <c r="AZ243" s="42">
        <v>0</v>
      </c>
      <c r="BA243" s="42">
        <v>0</v>
      </c>
      <c r="BB243" s="42">
        <v>0</v>
      </c>
      <c r="BC243" s="42"/>
      <c r="BD243" s="47">
        <f t="shared" ref="BD243" si="557">SUM(BE243+BI243+BM243+BO243+BR243)</f>
        <v>0</v>
      </c>
      <c r="BE243" s="47">
        <f t="shared" ref="BE243" si="558">SUM(BF243:BH243)</f>
        <v>0</v>
      </c>
      <c r="BF243" s="47">
        <v>0</v>
      </c>
      <c r="BG243" s="47">
        <v>0</v>
      </c>
      <c r="BH243" s="47">
        <v>0</v>
      </c>
      <c r="BI243" s="47">
        <f t="shared" ref="BI243" si="559">SUM(BL243:BL243)</f>
        <v>0</v>
      </c>
      <c r="BJ243" s="47">
        <v>0</v>
      </c>
      <c r="BK243" s="47">
        <v>0</v>
      </c>
      <c r="BL243" s="47">
        <v>0</v>
      </c>
      <c r="BM243" s="47">
        <v>0</v>
      </c>
      <c r="BN243" s="47">
        <v>0</v>
      </c>
      <c r="BO243" s="47">
        <f t="shared" ref="BO243" si="560">SUM(BP243)</f>
        <v>0</v>
      </c>
      <c r="BP243" s="47">
        <v>0</v>
      </c>
      <c r="BQ243" s="47">
        <v>0</v>
      </c>
      <c r="BR243" s="47">
        <f t="shared" si="523"/>
        <v>0</v>
      </c>
      <c r="BS243" s="47">
        <v>0</v>
      </c>
      <c r="BT243" s="47">
        <v>0</v>
      </c>
      <c r="BU243" s="47">
        <v>0</v>
      </c>
      <c r="BV243" s="47">
        <v>0</v>
      </c>
      <c r="BW243" s="47">
        <v>0</v>
      </c>
      <c r="BX243" s="47">
        <v>0</v>
      </c>
      <c r="BY243" s="47">
        <v>0</v>
      </c>
      <c r="BZ243" s="47">
        <v>0</v>
      </c>
      <c r="CA243" s="47">
        <v>0</v>
      </c>
      <c r="CB243" s="47">
        <v>0</v>
      </c>
      <c r="CC243" s="47">
        <v>0</v>
      </c>
      <c r="CD243" s="47">
        <f t="shared" ref="CD243" si="561">SUM(CE243+CV243)</f>
        <v>38882289</v>
      </c>
      <c r="CE243" s="47">
        <f t="shared" ref="CE243" si="562">SUM(CF243+CI243+CN243)</f>
        <v>38882289</v>
      </c>
      <c r="CF243" s="47">
        <f t="shared" ref="CF243" si="563">SUM(CG243:CH243)</f>
        <v>38882289</v>
      </c>
      <c r="CG243" s="47">
        <v>0</v>
      </c>
      <c r="CH243" s="47">
        <f>38881684+605</f>
        <v>38882289</v>
      </c>
      <c r="CI243" s="47">
        <f t="shared" ref="CI243" si="564">SUM(CJ243:CM243)</f>
        <v>0</v>
      </c>
      <c r="CJ243" s="47">
        <v>0</v>
      </c>
      <c r="CK243" s="47">
        <v>0</v>
      </c>
      <c r="CL243" s="47">
        <v>0</v>
      </c>
      <c r="CM243" s="47">
        <v>0</v>
      </c>
      <c r="CN243" s="47">
        <f t="shared" ref="CN243" si="565">SUM(CO243:CS243)</f>
        <v>0</v>
      </c>
      <c r="CO243" s="47">
        <v>0</v>
      </c>
      <c r="CP243" s="47">
        <v>0</v>
      </c>
      <c r="CQ243" s="47">
        <v>0</v>
      </c>
      <c r="CR243" s="47"/>
      <c r="CS243" s="47"/>
      <c r="CT243" s="47">
        <v>0</v>
      </c>
      <c r="CU243" s="47">
        <v>0</v>
      </c>
      <c r="CV243" s="47">
        <v>0</v>
      </c>
      <c r="CW243" s="47">
        <f t="shared" ref="CW243" si="566">SUM(CX243)</f>
        <v>0</v>
      </c>
      <c r="CX243" s="47">
        <f t="shared" ref="CX243" si="567">SUM(CY243:CZ243)</f>
        <v>0</v>
      </c>
      <c r="CY243" s="47">
        <v>0</v>
      </c>
      <c r="CZ243" s="49">
        <v>0</v>
      </c>
    </row>
    <row r="244" spans="1:218" s="63" customFormat="1" ht="46.8" x14ac:dyDescent="0.3">
      <c r="A244" s="43"/>
      <c r="B244" s="44"/>
      <c r="C244" s="50" t="s">
        <v>88</v>
      </c>
      <c r="D244" s="51" t="s">
        <v>576</v>
      </c>
      <c r="E244" s="46">
        <f t="shared" si="515"/>
        <v>0</v>
      </c>
      <c r="F244" s="47">
        <f t="shared" si="516"/>
        <v>0</v>
      </c>
      <c r="G244" s="47">
        <f t="shared" si="517"/>
        <v>0</v>
      </c>
      <c r="H244" s="47">
        <v>0</v>
      </c>
      <c r="I244" s="47">
        <v>0</v>
      </c>
      <c r="J244" s="47">
        <f t="shared" ref="J244:J246" si="568">SUM(K244:P244)</f>
        <v>0</v>
      </c>
      <c r="K244" s="42">
        <v>0</v>
      </c>
      <c r="L244" s="42">
        <f>57300-57300</f>
        <v>0</v>
      </c>
      <c r="M244" s="42">
        <v>0</v>
      </c>
      <c r="N244" s="42">
        <v>0</v>
      </c>
      <c r="O244" s="42">
        <v>0</v>
      </c>
      <c r="P244" s="42">
        <v>0</v>
      </c>
      <c r="Q244" s="47">
        <f t="shared" ref="Q244:Q246" si="569">SUM(R244:S244)</f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f t="shared" si="518"/>
        <v>0</v>
      </c>
      <c r="W244" s="47">
        <v>0</v>
      </c>
      <c r="X244" s="47">
        <v>0</v>
      </c>
      <c r="Y244" s="47">
        <v>0</v>
      </c>
      <c r="Z244" s="47">
        <v>0</v>
      </c>
      <c r="AA244" s="47">
        <v>0</v>
      </c>
      <c r="AB244" s="47">
        <v>0</v>
      </c>
      <c r="AC244" s="47">
        <v>0</v>
      </c>
      <c r="AD244" s="47">
        <v>0</v>
      </c>
      <c r="AE244" s="47">
        <v>0</v>
      </c>
      <c r="AF244" s="47">
        <f t="shared" si="519"/>
        <v>0</v>
      </c>
      <c r="AG244" s="48"/>
      <c r="AH244" s="48"/>
      <c r="AI244" s="42">
        <v>0</v>
      </c>
      <c r="AJ244" s="42">
        <v>0</v>
      </c>
      <c r="AK244" s="42">
        <v>0</v>
      </c>
      <c r="AL244" s="42">
        <v>0</v>
      </c>
      <c r="AM244" s="42">
        <v>0</v>
      </c>
      <c r="AN244" s="42">
        <v>0</v>
      </c>
      <c r="AO244" s="42">
        <v>0</v>
      </c>
      <c r="AP244" s="42">
        <v>0</v>
      </c>
      <c r="AQ244" s="42">
        <v>0</v>
      </c>
      <c r="AR244" s="42">
        <v>0</v>
      </c>
      <c r="AS244" s="42">
        <v>0</v>
      </c>
      <c r="AT244" s="42">
        <v>0</v>
      </c>
      <c r="AU244" s="42">
        <v>0</v>
      </c>
      <c r="AV244" s="42">
        <v>0</v>
      </c>
      <c r="AW244" s="42">
        <v>0</v>
      </c>
      <c r="AX244" s="42">
        <v>0</v>
      </c>
      <c r="AY244" s="42">
        <v>0</v>
      </c>
      <c r="AZ244" s="42">
        <v>0</v>
      </c>
      <c r="BA244" s="42">
        <v>0</v>
      </c>
      <c r="BB244" s="42">
        <v>0</v>
      </c>
      <c r="BC244" s="42">
        <v>0</v>
      </c>
      <c r="BD244" s="47">
        <f t="shared" si="520"/>
        <v>0</v>
      </c>
      <c r="BE244" s="47">
        <f t="shared" si="521"/>
        <v>0</v>
      </c>
      <c r="BF244" s="47">
        <v>0</v>
      </c>
      <c r="BG244" s="47">
        <v>0</v>
      </c>
      <c r="BH244" s="47">
        <v>0</v>
      </c>
      <c r="BI244" s="47">
        <f t="shared" si="522"/>
        <v>0</v>
      </c>
      <c r="BJ244" s="47">
        <v>0</v>
      </c>
      <c r="BK244" s="47">
        <v>0</v>
      </c>
      <c r="BL244" s="47">
        <v>0</v>
      </c>
      <c r="BM244" s="47">
        <v>0</v>
      </c>
      <c r="BN244" s="47">
        <v>0</v>
      </c>
      <c r="BO244" s="47">
        <f t="shared" si="507"/>
        <v>0</v>
      </c>
      <c r="BP244" s="47">
        <v>0</v>
      </c>
      <c r="BQ244" s="47">
        <v>0</v>
      </c>
      <c r="BR244" s="47">
        <f t="shared" si="523"/>
        <v>0</v>
      </c>
      <c r="BS244" s="47">
        <v>0</v>
      </c>
      <c r="BT244" s="47">
        <v>0</v>
      </c>
      <c r="BU244" s="47">
        <v>0</v>
      </c>
      <c r="BV244" s="47">
        <v>0</v>
      </c>
      <c r="BW244" s="47">
        <v>0</v>
      </c>
      <c r="BX244" s="47">
        <v>0</v>
      </c>
      <c r="BY244" s="47">
        <v>0</v>
      </c>
      <c r="BZ244" s="47">
        <v>0</v>
      </c>
      <c r="CA244" s="47">
        <v>0</v>
      </c>
      <c r="CB244" s="47">
        <v>0</v>
      </c>
      <c r="CC244" s="47">
        <v>0</v>
      </c>
      <c r="CD244" s="47">
        <f t="shared" si="524"/>
        <v>0</v>
      </c>
      <c r="CE244" s="47">
        <f t="shared" si="525"/>
        <v>0</v>
      </c>
      <c r="CF244" s="47">
        <f t="shared" ref="CF244:CF246" si="570">SUM(CG244:CH244)</f>
        <v>0</v>
      </c>
      <c r="CG244" s="47">
        <v>0</v>
      </c>
      <c r="CH244" s="47">
        <v>0</v>
      </c>
      <c r="CI244" s="47">
        <f t="shared" si="526"/>
        <v>0</v>
      </c>
      <c r="CJ244" s="47">
        <v>0</v>
      </c>
      <c r="CK244" s="47">
        <v>0</v>
      </c>
      <c r="CL244" s="47">
        <v>0</v>
      </c>
      <c r="CM244" s="47">
        <v>0</v>
      </c>
      <c r="CN244" s="47">
        <f t="shared" si="527"/>
        <v>0</v>
      </c>
      <c r="CO244" s="47">
        <v>0</v>
      </c>
      <c r="CP244" s="47">
        <v>0</v>
      </c>
      <c r="CQ244" s="47">
        <v>0</v>
      </c>
      <c r="CR244" s="47"/>
      <c r="CS244" s="47"/>
      <c r="CT244" s="47">
        <v>0</v>
      </c>
      <c r="CU244" s="47">
        <v>0</v>
      </c>
      <c r="CV244" s="47">
        <v>0</v>
      </c>
      <c r="CW244" s="47">
        <f t="shared" ref="CW244:CW246" si="571">SUM(CX244)</f>
        <v>0</v>
      </c>
      <c r="CX244" s="47">
        <f t="shared" si="510"/>
        <v>0</v>
      </c>
      <c r="CY244" s="47">
        <v>0</v>
      </c>
      <c r="CZ244" s="49">
        <v>0</v>
      </c>
    </row>
    <row r="245" spans="1:218" s="63" customFormat="1" ht="31.2" x14ac:dyDescent="0.3">
      <c r="A245" s="43"/>
      <c r="B245" s="44"/>
      <c r="C245" s="50" t="s">
        <v>88</v>
      </c>
      <c r="D245" s="51" t="s">
        <v>583</v>
      </c>
      <c r="E245" s="46">
        <f t="shared" si="515"/>
        <v>4927</v>
      </c>
      <c r="F245" s="47">
        <f t="shared" si="516"/>
        <v>4927</v>
      </c>
      <c r="G245" s="47">
        <f t="shared" si="517"/>
        <v>4927</v>
      </c>
      <c r="H245" s="47">
        <v>0</v>
      </c>
      <c r="I245" s="47">
        <v>0</v>
      </c>
      <c r="J245" s="47">
        <f t="shared" si="568"/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7">
        <f t="shared" si="569"/>
        <v>0</v>
      </c>
      <c r="R245" s="47">
        <v>0</v>
      </c>
      <c r="S245" s="47">
        <v>0</v>
      </c>
      <c r="T245" s="47">
        <v>0</v>
      </c>
      <c r="U245" s="47">
        <v>0</v>
      </c>
      <c r="V245" s="47">
        <f t="shared" si="518"/>
        <v>0</v>
      </c>
      <c r="W245" s="47">
        <v>0</v>
      </c>
      <c r="X245" s="47">
        <v>0</v>
      </c>
      <c r="Y245" s="47">
        <v>0</v>
      </c>
      <c r="Z245" s="47">
        <v>0</v>
      </c>
      <c r="AA245" s="47">
        <v>0</v>
      </c>
      <c r="AB245" s="47">
        <v>0</v>
      </c>
      <c r="AC245" s="47">
        <v>0</v>
      </c>
      <c r="AD245" s="47">
        <v>0</v>
      </c>
      <c r="AE245" s="47">
        <v>0</v>
      </c>
      <c r="AF245" s="47">
        <f t="shared" si="519"/>
        <v>4927</v>
      </c>
      <c r="AG245" s="48"/>
      <c r="AH245" s="48"/>
      <c r="AI245" s="42">
        <v>0</v>
      </c>
      <c r="AJ245" s="42">
        <v>0</v>
      </c>
      <c r="AK245" s="42">
        <f>4990-63</f>
        <v>4927</v>
      </c>
      <c r="AL245" s="42">
        <v>0</v>
      </c>
      <c r="AM245" s="42">
        <v>0</v>
      </c>
      <c r="AN245" s="42">
        <v>0</v>
      </c>
      <c r="AO245" s="42">
        <v>0</v>
      </c>
      <c r="AP245" s="42">
        <v>0</v>
      </c>
      <c r="AQ245" s="42">
        <v>0</v>
      </c>
      <c r="AR245" s="42">
        <v>0</v>
      </c>
      <c r="AS245" s="42">
        <v>0</v>
      </c>
      <c r="AT245" s="42">
        <v>0</v>
      </c>
      <c r="AU245" s="42">
        <v>0</v>
      </c>
      <c r="AV245" s="42">
        <v>0</v>
      </c>
      <c r="AW245" s="42">
        <v>0</v>
      </c>
      <c r="AX245" s="42">
        <v>0</v>
      </c>
      <c r="AY245" s="42">
        <v>0</v>
      </c>
      <c r="AZ245" s="42">
        <v>0</v>
      </c>
      <c r="BA245" s="42">
        <v>0</v>
      </c>
      <c r="BB245" s="42">
        <v>0</v>
      </c>
      <c r="BC245" s="42">
        <v>0</v>
      </c>
      <c r="BD245" s="47">
        <f t="shared" si="520"/>
        <v>0</v>
      </c>
      <c r="BE245" s="47">
        <f t="shared" si="521"/>
        <v>0</v>
      </c>
      <c r="BF245" s="47">
        <v>0</v>
      </c>
      <c r="BG245" s="47">
        <v>0</v>
      </c>
      <c r="BH245" s="47">
        <v>0</v>
      </c>
      <c r="BI245" s="47">
        <f t="shared" si="522"/>
        <v>0</v>
      </c>
      <c r="BJ245" s="47">
        <v>0</v>
      </c>
      <c r="BK245" s="47">
        <v>0</v>
      </c>
      <c r="BL245" s="47">
        <v>0</v>
      </c>
      <c r="BM245" s="47">
        <v>0</v>
      </c>
      <c r="BN245" s="47">
        <v>0</v>
      </c>
      <c r="BO245" s="47">
        <f t="shared" si="507"/>
        <v>0</v>
      </c>
      <c r="BP245" s="47">
        <v>0</v>
      </c>
      <c r="BQ245" s="47">
        <v>0</v>
      </c>
      <c r="BR245" s="47">
        <f t="shared" si="523"/>
        <v>0</v>
      </c>
      <c r="BS245" s="47">
        <v>0</v>
      </c>
      <c r="BT245" s="47">
        <v>0</v>
      </c>
      <c r="BU245" s="47">
        <v>0</v>
      </c>
      <c r="BV245" s="47">
        <v>0</v>
      </c>
      <c r="BW245" s="47">
        <v>0</v>
      </c>
      <c r="BX245" s="47">
        <v>0</v>
      </c>
      <c r="BY245" s="47">
        <v>0</v>
      </c>
      <c r="BZ245" s="47">
        <v>0</v>
      </c>
      <c r="CA245" s="47">
        <v>0</v>
      </c>
      <c r="CB245" s="47">
        <v>0</v>
      </c>
      <c r="CC245" s="47">
        <v>0</v>
      </c>
      <c r="CD245" s="47">
        <f t="shared" si="524"/>
        <v>0</v>
      </c>
      <c r="CE245" s="47">
        <f t="shared" si="525"/>
        <v>0</v>
      </c>
      <c r="CF245" s="47">
        <f t="shared" si="570"/>
        <v>0</v>
      </c>
      <c r="CG245" s="47">
        <v>0</v>
      </c>
      <c r="CH245" s="47">
        <v>0</v>
      </c>
      <c r="CI245" s="47">
        <f t="shared" si="526"/>
        <v>0</v>
      </c>
      <c r="CJ245" s="47">
        <v>0</v>
      </c>
      <c r="CK245" s="47">
        <v>0</v>
      </c>
      <c r="CL245" s="47">
        <v>0</v>
      </c>
      <c r="CM245" s="47">
        <v>0</v>
      </c>
      <c r="CN245" s="47">
        <f t="shared" si="527"/>
        <v>0</v>
      </c>
      <c r="CO245" s="47">
        <v>0</v>
      </c>
      <c r="CP245" s="47">
        <v>0</v>
      </c>
      <c r="CQ245" s="47">
        <v>0</v>
      </c>
      <c r="CR245" s="47"/>
      <c r="CS245" s="47"/>
      <c r="CT245" s="47">
        <v>0</v>
      </c>
      <c r="CU245" s="47">
        <v>0</v>
      </c>
      <c r="CV245" s="47">
        <v>0</v>
      </c>
      <c r="CW245" s="47">
        <f t="shared" si="571"/>
        <v>0</v>
      </c>
      <c r="CX245" s="47">
        <f t="shared" si="510"/>
        <v>0</v>
      </c>
      <c r="CY245" s="47">
        <v>0</v>
      </c>
      <c r="CZ245" s="49">
        <v>0</v>
      </c>
    </row>
    <row r="246" spans="1:218" s="63" customFormat="1" ht="46.8" x14ac:dyDescent="0.3">
      <c r="A246" s="43"/>
      <c r="B246" s="44"/>
      <c r="C246" s="50" t="s">
        <v>88</v>
      </c>
      <c r="D246" s="51" t="s">
        <v>584</v>
      </c>
      <c r="E246" s="46">
        <f t="shared" si="515"/>
        <v>0</v>
      </c>
      <c r="F246" s="47">
        <f t="shared" si="516"/>
        <v>0</v>
      </c>
      <c r="G246" s="47">
        <f t="shared" si="517"/>
        <v>0</v>
      </c>
      <c r="H246" s="47">
        <v>0</v>
      </c>
      <c r="I246" s="47">
        <v>0</v>
      </c>
      <c r="J246" s="47">
        <f t="shared" si="568"/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f>16549-16549</f>
        <v>0</v>
      </c>
      <c r="Q246" s="47">
        <f t="shared" si="569"/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f t="shared" si="518"/>
        <v>0</v>
      </c>
      <c r="W246" s="47">
        <v>0</v>
      </c>
      <c r="X246" s="47">
        <v>0</v>
      </c>
      <c r="Y246" s="47">
        <v>0</v>
      </c>
      <c r="Z246" s="47">
        <v>0</v>
      </c>
      <c r="AA246" s="47">
        <v>0</v>
      </c>
      <c r="AB246" s="47">
        <v>0</v>
      </c>
      <c r="AC246" s="47">
        <v>0</v>
      </c>
      <c r="AD246" s="47">
        <v>0</v>
      </c>
      <c r="AE246" s="47">
        <v>0</v>
      </c>
      <c r="AF246" s="47">
        <f t="shared" si="519"/>
        <v>0</v>
      </c>
      <c r="AG246" s="48"/>
      <c r="AH246" s="48"/>
      <c r="AI246" s="42">
        <v>0</v>
      </c>
      <c r="AJ246" s="42">
        <v>0</v>
      </c>
      <c r="AK246" s="42">
        <f>9928-9928</f>
        <v>0</v>
      </c>
      <c r="AL246" s="42">
        <v>0</v>
      </c>
      <c r="AM246" s="42">
        <v>0</v>
      </c>
      <c r="AN246" s="42">
        <v>0</v>
      </c>
      <c r="AO246" s="42">
        <v>0</v>
      </c>
      <c r="AP246" s="42">
        <v>0</v>
      </c>
      <c r="AQ246" s="42">
        <v>0</v>
      </c>
      <c r="AR246" s="42">
        <v>0</v>
      </c>
      <c r="AS246" s="42">
        <v>0</v>
      </c>
      <c r="AT246" s="42">
        <v>0</v>
      </c>
      <c r="AU246" s="42">
        <v>0</v>
      </c>
      <c r="AV246" s="42">
        <v>0</v>
      </c>
      <c r="AW246" s="42">
        <v>0</v>
      </c>
      <c r="AX246" s="42">
        <v>0</v>
      </c>
      <c r="AY246" s="42">
        <v>0</v>
      </c>
      <c r="AZ246" s="42">
        <v>0</v>
      </c>
      <c r="BA246" s="42">
        <v>0</v>
      </c>
      <c r="BB246" s="42">
        <v>0</v>
      </c>
      <c r="BC246" s="42">
        <v>0</v>
      </c>
      <c r="BD246" s="47">
        <f t="shared" si="520"/>
        <v>0</v>
      </c>
      <c r="BE246" s="47">
        <f t="shared" si="521"/>
        <v>0</v>
      </c>
      <c r="BF246" s="47">
        <v>0</v>
      </c>
      <c r="BG246" s="47">
        <v>0</v>
      </c>
      <c r="BH246" s="47">
        <v>0</v>
      </c>
      <c r="BI246" s="47">
        <f t="shared" si="522"/>
        <v>0</v>
      </c>
      <c r="BJ246" s="47">
        <v>0</v>
      </c>
      <c r="BK246" s="47">
        <v>0</v>
      </c>
      <c r="BL246" s="47">
        <v>0</v>
      </c>
      <c r="BM246" s="47">
        <v>0</v>
      </c>
      <c r="BN246" s="47">
        <v>0</v>
      </c>
      <c r="BO246" s="47">
        <f t="shared" si="507"/>
        <v>0</v>
      </c>
      <c r="BP246" s="47">
        <v>0</v>
      </c>
      <c r="BQ246" s="47">
        <v>0</v>
      </c>
      <c r="BR246" s="47">
        <f t="shared" si="523"/>
        <v>0</v>
      </c>
      <c r="BS246" s="47">
        <v>0</v>
      </c>
      <c r="BT246" s="47">
        <v>0</v>
      </c>
      <c r="BU246" s="47">
        <v>0</v>
      </c>
      <c r="BV246" s="47">
        <v>0</v>
      </c>
      <c r="BW246" s="47">
        <v>0</v>
      </c>
      <c r="BX246" s="47">
        <v>0</v>
      </c>
      <c r="BY246" s="47">
        <v>0</v>
      </c>
      <c r="BZ246" s="47">
        <v>0</v>
      </c>
      <c r="CA246" s="47">
        <v>0</v>
      </c>
      <c r="CB246" s="47">
        <v>0</v>
      </c>
      <c r="CC246" s="47">
        <v>0</v>
      </c>
      <c r="CD246" s="47">
        <f t="shared" si="524"/>
        <v>0</v>
      </c>
      <c r="CE246" s="47">
        <f t="shared" si="525"/>
        <v>0</v>
      </c>
      <c r="CF246" s="47">
        <f t="shared" si="570"/>
        <v>0</v>
      </c>
      <c r="CG246" s="47">
        <v>0</v>
      </c>
      <c r="CH246" s="47">
        <v>0</v>
      </c>
      <c r="CI246" s="47">
        <f t="shared" si="526"/>
        <v>0</v>
      </c>
      <c r="CJ246" s="47">
        <v>0</v>
      </c>
      <c r="CK246" s="47">
        <v>0</v>
      </c>
      <c r="CL246" s="47">
        <v>0</v>
      </c>
      <c r="CM246" s="47">
        <v>0</v>
      </c>
      <c r="CN246" s="47">
        <f t="shared" si="527"/>
        <v>0</v>
      </c>
      <c r="CO246" s="47">
        <v>0</v>
      </c>
      <c r="CP246" s="47">
        <v>0</v>
      </c>
      <c r="CQ246" s="47">
        <v>0</v>
      </c>
      <c r="CR246" s="47"/>
      <c r="CS246" s="47"/>
      <c r="CT246" s="47">
        <v>0</v>
      </c>
      <c r="CU246" s="47">
        <v>0</v>
      </c>
      <c r="CV246" s="47">
        <v>0</v>
      </c>
      <c r="CW246" s="47">
        <f t="shared" si="571"/>
        <v>0</v>
      </c>
      <c r="CX246" s="47">
        <f t="shared" si="510"/>
        <v>0</v>
      </c>
      <c r="CY246" s="47">
        <v>0</v>
      </c>
      <c r="CZ246" s="49">
        <v>0</v>
      </c>
    </row>
    <row r="247" spans="1:218" s="63" customFormat="1" ht="31.2" x14ac:dyDescent="0.3">
      <c r="A247" s="43"/>
      <c r="B247" s="44"/>
      <c r="C247" s="44" t="s">
        <v>88</v>
      </c>
      <c r="D247" s="45" t="s">
        <v>585</v>
      </c>
      <c r="E247" s="46">
        <f t="shared" si="515"/>
        <v>889161</v>
      </c>
      <c r="F247" s="47">
        <f t="shared" si="516"/>
        <v>889161</v>
      </c>
      <c r="G247" s="47">
        <f t="shared" si="517"/>
        <v>889161</v>
      </c>
      <c r="H247" s="47"/>
      <c r="I247" s="47"/>
      <c r="J247" s="47">
        <f t="shared" si="504"/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7">
        <f t="shared" si="505"/>
        <v>0</v>
      </c>
      <c r="R247" s="47"/>
      <c r="S247" s="47"/>
      <c r="T247" s="47">
        <v>0</v>
      </c>
      <c r="U247" s="47"/>
      <c r="V247" s="47">
        <f t="shared" si="518"/>
        <v>0</v>
      </c>
      <c r="W247" s="47"/>
      <c r="X247" s="47"/>
      <c r="Y247" s="47"/>
      <c r="Z247" s="47"/>
      <c r="AA247" s="47"/>
      <c r="AB247" s="47">
        <v>0</v>
      </c>
      <c r="AC247" s="47">
        <v>0</v>
      </c>
      <c r="AD247" s="47"/>
      <c r="AE247" s="47"/>
      <c r="AF247" s="47">
        <f t="shared" si="519"/>
        <v>889161</v>
      </c>
      <c r="AG247" s="47">
        <v>0</v>
      </c>
      <c r="AH247" s="47"/>
      <c r="AI247" s="42">
        <v>0</v>
      </c>
      <c r="AJ247" s="42">
        <v>0</v>
      </c>
      <c r="AK247" s="42">
        <v>0</v>
      </c>
      <c r="AL247" s="42">
        <f>911618-22457</f>
        <v>889161</v>
      </c>
      <c r="AM247" s="42">
        <v>0</v>
      </c>
      <c r="AN247" s="42">
        <v>0</v>
      </c>
      <c r="AO247" s="42">
        <v>0</v>
      </c>
      <c r="AP247" s="42">
        <v>0</v>
      </c>
      <c r="AQ247" s="42">
        <v>0</v>
      </c>
      <c r="AR247" s="42">
        <v>0</v>
      </c>
      <c r="AS247" s="42">
        <v>0</v>
      </c>
      <c r="AT247" s="42">
        <v>0</v>
      </c>
      <c r="AU247" s="42">
        <v>0</v>
      </c>
      <c r="AV247" s="42">
        <v>0</v>
      </c>
      <c r="AW247" s="42">
        <v>0</v>
      </c>
      <c r="AX247" s="42">
        <v>0</v>
      </c>
      <c r="AY247" s="42">
        <v>0</v>
      </c>
      <c r="AZ247" s="42">
        <v>0</v>
      </c>
      <c r="BA247" s="42">
        <v>0</v>
      </c>
      <c r="BB247" s="42">
        <v>0</v>
      </c>
      <c r="BC247" s="42">
        <v>0</v>
      </c>
      <c r="BD247" s="47">
        <f t="shared" si="520"/>
        <v>0</v>
      </c>
      <c r="BE247" s="47">
        <f t="shared" si="521"/>
        <v>0</v>
      </c>
      <c r="BF247" s="47">
        <v>0</v>
      </c>
      <c r="BG247" s="47">
        <v>0</v>
      </c>
      <c r="BH247" s="47">
        <v>0</v>
      </c>
      <c r="BI247" s="47">
        <f t="shared" si="522"/>
        <v>0</v>
      </c>
      <c r="BJ247" s="47">
        <v>0</v>
      </c>
      <c r="BK247" s="47">
        <v>0</v>
      </c>
      <c r="BL247" s="47">
        <v>0</v>
      </c>
      <c r="BM247" s="47">
        <v>0</v>
      </c>
      <c r="BN247" s="47">
        <v>0</v>
      </c>
      <c r="BO247" s="47">
        <f t="shared" si="507"/>
        <v>0</v>
      </c>
      <c r="BP247" s="47">
        <v>0</v>
      </c>
      <c r="BQ247" s="47">
        <v>0</v>
      </c>
      <c r="BR247" s="47">
        <f t="shared" si="523"/>
        <v>0</v>
      </c>
      <c r="BS247" s="47">
        <v>0</v>
      </c>
      <c r="BT247" s="47">
        <v>0</v>
      </c>
      <c r="BU247" s="47">
        <v>0</v>
      </c>
      <c r="BV247" s="47">
        <v>0</v>
      </c>
      <c r="BW247" s="47">
        <v>0</v>
      </c>
      <c r="BX247" s="47">
        <v>0</v>
      </c>
      <c r="BY247" s="47">
        <v>0</v>
      </c>
      <c r="BZ247" s="47">
        <v>0</v>
      </c>
      <c r="CA247" s="47">
        <v>0</v>
      </c>
      <c r="CB247" s="47"/>
      <c r="CC247" s="47">
        <v>0</v>
      </c>
      <c r="CD247" s="47">
        <f t="shared" si="524"/>
        <v>0</v>
      </c>
      <c r="CE247" s="47">
        <f t="shared" si="525"/>
        <v>0</v>
      </c>
      <c r="CF247" s="47">
        <f t="shared" si="508"/>
        <v>0</v>
      </c>
      <c r="CG247" s="47">
        <v>0</v>
      </c>
      <c r="CH247" s="47"/>
      <c r="CI247" s="47">
        <f t="shared" si="526"/>
        <v>0</v>
      </c>
      <c r="CJ247" s="47">
        <v>0</v>
      </c>
      <c r="CK247" s="47">
        <v>0</v>
      </c>
      <c r="CL247" s="47">
        <v>0</v>
      </c>
      <c r="CM247" s="47">
        <v>0</v>
      </c>
      <c r="CN247" s="47">
        <f t="shared" si="527"/>
        <v>0</v>
      </c>
      <c r="CO247" s="47">
        <v>0</v>
      </c>
      <c r="CP247" s="47">
        <v>0</v>
      </c>
      <c r="CQ247" s="47"/>
      <c r="CR247" s="47"/>
      <c r="CS247" s="47"/>
      <c r="CT247" s="47">
        <f>SUM(CU247)</f>
        <v>0</v>
      </c>
      <c r="CU247" s="47"/>
      <c r="CV247" s="47">
        <v>0</v>
      </c>
      <c r="CW247" s="47">
        <f t="shared" ref="CW247" si="572">SUM(CX247)</f>
        <v>0</v>
      </c>
      <c r="CX247" s="47">
        <f t="shared" si="510"/>
        <v>0</v>
      </c>
      <c r="CY247" s="47">
        <v>0</v>
      </c>
      <c r="CZ247" s="49">
        <v>0</v>
      </c>
    </row>
    <row r="248" spans="1:218" ht="31.2" x14ac:dyDescent="0.3">
      <c r="A248" s="43"/>
      <c r="B248" s="44"/>
      <c r="C248" s="50" t="s">
        <v>159</v>
      </c>
      <c r="D248" s="51" t="s">
        <v>588</v>
      </c>
      <c r="E248" s="46">
        <f t="shared" si="515"/>
        <v>60400</v>
      </c>
      <c r="F248" s="47">
        <f t="shared" si="516"/>
        <v>60400</v>
      </c>
      <c r="G248" s="47">
        <f t="shared" ref="G248:G251" si="573">SUM(H248+I248+J248+Q248+T248+U248+V248+AF248+AE248)</f>
        <v>60400</v>
      </c>
      <c r="H248" s="47">
        <v>0</v>
      </c>
      <c r="I248" s="47">
        <v>0</v>
      </c>
      <c r="J248" s="47">
        <f t="shared" ref="J248:J249" si="574">SUM(K248:P248)</f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/>
      <c r="Q248" s="47">
        <f t="shared" si="505"/>
        <v>0</v>
      </c>
      <c r="R248" s="47">
        <v>0</v>
      </c>
      <c r="S248" s="47">
        <v>0</v>
      </c>
      <c r="T248" s="47">
        <v>0</v>
      </c>
      <c r="U248" s="47">
        <v>0</v>
      </c>
      <c r="V248" s="47">
        <f t="shared" ref="V248:V251" si="575">SUM(W248:AD248)</f>
        <v>0</v>
      </c>
      <c r="W248" s="47">
        <v>0</v>
      </c>
      <c r="X248" s="47">
        <v>0</v>
      </c>
      <c r="Y248" s="47">
        <v>0</v>
      </c>
      <c r="Z248" s="47">
        <v>0</v>
      </c>
      <c r="AA248" s="47">
        <v>0</v>
      </c>
      <c r="AB248" s="47">
        <v>0</v>
      </c>
      <c r="AC248" s="47">
        <v>0</v>
      </c>
      <c r="AD248" s="47">
        <v>0</v>
      </c>
      <c r="AE248" s="47">
        <v>0</v>
      </c>
      <c r="AF248" s="47">
        <f t="shared" si="519"/>
        <v>60400</v>
      </c>
      <c r="AG248" s="48"/>
      <c r="AH248" s="48"/>
      <c r="AI248" s="42">
        <v>0</v>
      </c>
      <c r="AJ248" s="42">
        <v>0</v>
      </c>
      <c r="AK248" s="42"/>
      <c r="AL248" s="42">
        <v>60400</v>
      </c>
      <c r="AM248" s="42">
        <v>0</v>
      </c>
      <c r="AN248" s="42">
        <v>0</v>
      </c>
      <c r="AO248" s="42">
        <v>0</v>
      </c>
      <c r="AP248" s="42">
        <v>0</v>
      </c>
      <c r="AQ248" s="42">
        <v>0</v>
      </c>
      <c r="AR248" s="42">
        <v>0</v>
      </c>
      <c r="AS248" s="42">
        <v>0</v>
      </c>
      <c r="AT248" s="42">
        <v>0</v>
      </c>
      <c r="AU248" s="42">
        <v>0</v>
      </c>
      <c r="AV248" s="42">
        <v>0</v>
      </c>
      <c r="AW248" s="42">
        <v>0</v>
      </c>
      <c r="AX248" s="42">
        <v>0</v>
      </c>
      <c r="AY248" s="42">
        <v>0</v>
      </c>
      <c r="AZ248" s="42">
        <v>0</v>
      </c>
      <c r="BA248" s="42">
        <v>0</v>
      </c>
      <c r="BB248" s="42">
        <v>0</v>
      </c>
      <c r="BC248" s="42">
        <v>0</v>
      </c>
      <c r="BD248" s="47">
        <f t="shared" si="520"/>
        <v>0</v>
      </c>
      <c r="BE248" s="47">
        <f t="shared" ref="BE248:BE249" si="576">SUM(BF248:BH248)</f>
        <v>0</v>
      </c>
      <c r="BF248" s="47">
        <v>0</v>
      </c>
      <c r="BG248" s="47">
        <v>0</v>
      </c>
      <c r="BH248" s="47">
        <v>0</v>
      </c>
      <c r="BI248" s="47">
        <f t="shared" si="522"/>
        <v>0</v>
      </c>
      <c r="BJ248" s="47">
        <v>0</v>
      </c>
      <c r="BK248" s="47">
        <v>0</v>
      </c>
      <c r="BL248" s="47">
        <v>0</v>
      </c>
      <c r="BM248" s="47">
        <v>0</v>
      </c>
      <c r="BN248" s="47">
        <v>0</v>
      </c>
      <c r="BO248" s="47">
        <f t="shared" ref="BO248:BO251" si="577">SUM(BP248)</f>
        <v>0</v>
      </c>
      <c r="BP248" s="47">
        <v>0</v>
      </c>
      <c r="BQ248" s="47">
        <v>0</v>
      </c>
      <c r="BR248" s="47">
        <f t="shared" si="523"/>
        <v>0</v>
      </c>
      <c r="BS248" s="47">
        <v>0</v>
      </c>
      <c r="BT248" s="47">
        <v>0</v>
      </c>
      <c r="BU248" s="47">
        <v>0</v>
      </c>
      <c r="BV248" s="47">
        <v>0</v>
      </c>
      <c r="BW248" s="47">
        <v>0</v>
      </c>
      <c r="BX248" s="47">
        <v>0</v>
      </c>
      <c r="BY248" s="47">
        <v>0</v>
      </c>
      <c r="BZ248" s="47">
        <v>0</v>
      </c>
      <c r="CA248" s="47">
        <v>0</v>
      </c>
      <c r="CB248" s="47">
        <v>0</v>
      </c>
      <c r="CC248" s="47">
        <v>0</v>
      </c>
      <c r="CD248" s="47">
        <f t="shared" si="524"/>
        <v>0</v>
      </c>
      <c r="CE248" s="47">
        <f t="shared" si="525"/>
        <v>0</v>
      </c>
      <c r="CF248" s="47">
        <f t="shared" ref="CF248:CF249" si="578">SUM(CG248:CH248)</f>
        <v>0</v>
      </c>
      <c r="CG248" s="47">
        <v>0</v>
      </c>
      <c r="CH248" s="47">
        <v>0</v>
      </c>
      <c r="CI248" s="47">
        <f t="shared" si="526"/>
        <v>0</v>
      </c>
      <c r="CJ248" s="47">
        <v>0</v>
      </c>
      <c r="CK248" s="47">
        <v>0</v>
      </c>
      <c r="CL248" s="47">
        <v>0</v>
      </c>
      <c r="CM248" s="47">
        <v>0</v>
      </c>
      <c r="CN248" s="47">
        <f t="shared" si="527"/>
        <v>0</v>
      </c>
      <c r="CO248" s="47">
        <v>0</v>
      </c>
      <c r="CP248" s="47">
        <v>0</v>
      </c>
      <c r="CQ248" s="47">
        <v>0</v>
      </c>
      <c r="CR248" s="47"/>
      <c r="CS248" s="47"/>
      <c r="CT248" s="47">
        <v>0</v>
      </c>
      <c r="CU248" s="47">
        <v>0</v>
      </c>
      <c r="CV248" s="47">
        <v>0</v>
      </c>
      <c r="CW248" s="47">
        <f t="shared" ref="CW248:CW251" si="579">SUM(CX248)</f>
        <v>0</v>
      </c>
      <c r="CX248" s="47">
        <f t="shared" ref="CX248:CX251" si="580">SUM(CY248:CZ248)</f>
        <v>0</v>
      </c>
      <c r="CY248" s="47">
        <v>0</v>
      </c>
      <c r="CZ248" s="49">
        <v>0</v>
      </c>
      <c r="HJ248" s="63"/>
    </row>
    <row r="249" spans="1:218" s="63" customFormat="1" ht="31.2" x14ac:dyDescent="0.3">
      <c r="A249" s="43"/>
      <c r="B249" s="44"/>
      <c r="C249" s="50">
        <v>147</v>
      </c>
      <c r="D249" s="51" t="s">
        <v>654</v>
      </c>
      <c r="E249" s="46">
        <f t="shared" ref="E249" si="581">SUM(F249+CD249+CW249)</f>
        <v>40922</v>
      </c>
      <c r="F249" s="47">
        <f t="shared" ref="F249" si="582">SUM(G249+BD249)</f>
        <v>40922</v>
      </c>
      <c r="G249" s="47">
        <f t="shared" si="573"/>
        <v>40922</v>
      </c>
      <c r="H249" s="47">
        <v>0</v>
      </c>
      <c r="I249" s="47">
        <v>0</v>
      </c>
      <c r="J249" s="47">
        <f t="shared" si="574"/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/>
      <c r="Q249" s="47">
        <f t="shared" ref="Q249" si="583">SUM(R249:S249)</f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f t="shared" si="575"/>
        <v>0</v>
      </c>
      <c r="W249" s="47">
        <v>0</v>
      </c>
      <c r="X249" s="47">
        <v>0</v>
      </c>
      <c r="Y249" s="47">
        <v>0</v>
      </c>
      <c r="Z249" s="47">
        <v>0</v>
      </c>
      <c r="AA249" s="47">
        <v>0</v>
      </c>
      <c r="AB249" s="47">
        <v>0</v>
      </c>
      <c r="AC249" s="47">
        <v>0</v>
      </c>
      <c r="AD249" s="47">
        <v>0</v>
      </c>
      <c r="AE249" s="47">
        <v>0</v>
      </c>
      <c r="AF249" s="47">
        <f t="shared" ref="AF249" si="584">SUM(AG249:BC249)</f>
        <v>40922</v>
      </c>
      <c r="AG249" s="48"/>
      <c r="AH249" s="48"/>
      <c r="AI249" s="42">
        <v>0</v>
      </c>
      <c r="AJ249" s="42">
        <v>0</v>
      </c>
      <c r="AK249" s="42"/>
      <c r="AL249" s="42"/>
      <c r="AM249" s="42">
        <v>0</v>
      </c>
      <c r="AN249" s="42">
        <v>0</v>
      </c>
      <c r="AO249" s="42">
        <v>0</v>
      </c>
      <c r="AP249" s="42">
        <v>0</v>
      </c>
      <c r="AQ249" s="42">
        <v>0</v>
      </c>
      <c r="AR249" s="42">
        <v>0</v>
      </c>
      <c r="AS249" s="42">
        <v>0</v>
      </c>
      <c r="AT249" s="42">
        <v>0</v>
      </c>
      <c r="AU249" s="42">
        <v>0</v>
      </c>
      <c r="AV249" s="42">
        <v>0</v>
      </c>
      <c r="AW249" s="42">
        <v>0</v>
      </c>
      <c r="AX249" s="42">
        <v>0</v>
      </c>
      <c r="AY249" s="42">
        <v>0</v>
      </c>
      <c r="AZ249" s="42">
        <v>0</v>
      </c>
      <c r="BA249" s="42">
        <v>0</v>
      </c>
      <c r="BB249" s="42">
        <v>0</v>
      </c>
      <c r="BC249" s="42">
        <f>0+40922</f>
        <v>40922</v>
      </c>
      <c r="BD249" s="47">
        <f t="shared" si="520"/>
        <v>0</v>
      </c>
      <c r="BE249" s="47">
        <f t="shared" si="576"/>
        <v>0</v>
      </c>
      <c r="BF249" s="47">
        <v>0</v>
      </c>
      <c r="BG249" s="47">
        <v>0</v>
      </c>
      <c r="BH249" s="47">
        <v>0</v>
      </c>
      <c r="BI249" s="47">
        <f t="shared" si="522"/>
        <v>0</v>
      </c>
      <c r="BJ249" s="47">
        <v>0</v>
      </c>
      <c r="BK249" s="47">
        <v>0</v>
      </c>
      <c r="BL249" s="47">
        <v>0</v>
      </c>
      <c r="BM249" s="47">
        <v>0</v>
      </c>
      <c r="BN249" s="47">
        <v>0</v>
      </c>
      <c r="BO249" s="47">
        <f t="shared" si="577"/>
        <v>0</v>
      </c>
      <c r="BP249" s="47">
        <v>0</v>
      </c>
      <c r="BQ249" s="47">
        <v>0</v>
      </c>
      <c r="BR249" s="47">
        <f t="shared" ref="BR249" si="585">SUM(BS249:CC249)</f>
        <v>0</v>
      </c>
      <c r="BS249" s="47">
        <v>0</v>
      </c>
      <c r="BT249" s="47">
        <v>0</v>
      </c>
      <c r="BU249" s="47">
        <v>0</v>
      </c>
      <c r="BV249" s="47">
        <v>0</v>
      </c>
      <c r="BW249" s="47">
        <v>0</v>
      </c>
      <c r="BX249" s="47">
        <v>0</v>
      </c>
      <c r="BY249" s="47">
        <v>0</v>
      </c>
      <c r="BZ249" s="47">
        <v>0</v>
      </c>
      <c r="CA249" s="47">
        <v>0</v>
      </c>
      <c r="CB249" s="47">
        <v>0</v>
      </c>
      <c r="CC249" s="47">
        <v>0</v>
      </c>
      <c r="CD249" s="47">
        <f t="shared" si="524"/>
        <v>0</v>
      </c>
      <c r="CE249" s="47">
        <f t="shared" si="525"/>
        <v>0</v>
      </c>
      <c r="CF249" s="47">
        <f t="shared" si="578"/>
        <v>0</v>
      </c>
      <c r="CG249" s="47">
        <v>0</v>
      </c>
      <c r="CH249" s="47">
        <v>0</v>
      </c>
      <c r="CI249" s="47">
        <f t="shared" si="526"/>
        <v>0</v>
      </c>
      <c r="CJ249" s="47">
        <v>0</v>
      </c>
      <c r="CK249" s="47">
        <v>0</v>
      </c>
      <c r="CL249" s="47">
        <v>0</v>
      </c>
      <c r="CM249" s="47">
        <v>0</v>
      </c>
      <c r="CN249" s="47">
        <f t="shared" si="527"/>
        <v>0</v>
      </c>
      <c r="CO249" s="47">
        <v>0</v>
      </c>
      <c r="CP249" s="47">
        <v>0</v>
      </c>
      <c r="CQ249" s="47">
        <v>0</v>
      </c>
      <c r="CR249" s="47"/>
      <c r="CS249" s="47"/>
      <c r="CT249" s="47">
        <v>0</v>
      </c>
      <c r="CU249" s="47">
        <v>0</v>
      </c>
      <c r="CV249" s="47">
        <v>0</v>
      </c>
      <c r="CW249" s="47">
        <f t="shared" ref="CW249" si="586">SUM(CX249)</f>
        <v>0</v>
      </c>
      <c r="CX249" s="47">
        <f t="shared" si="580"/>
        <v>0</v>
      </c>
      <c r="CY249" s="47">
        <v>0</v>
      </c>
      <c r="CZ249" s="49">
        <v>0</v>
      </c>
    </row>
    <row r="250" spans="1:218" s="63" customFormat="1" ht="46.8" x14ac:dyDescent="0.3">
      <c r="A250" s="43"/>
      <c r="B250" s="44"/>
      <c r="C250" s="50">
        <v>147</v>
      </c>
      <c r="D250" s="51" t="s">
        <v>655</v>
      </c>
      <c r="E250" s="46">
        <f t="shared" si="515"/>
        <v>821924</v>
      </c>
      <c r="F250" s="47">
        <f t="shared" si="516"/>
        <v>821924</v>
      </c>
      <c r="G250" s="47">
        <f t="shared" ref="G250" si="587">SUM(H250+I250+J250+Q250+T250+U250+V250+AF250+AE250)</f>
        <v>821924</v>
      </c>
      <c r="H250" s="47">
        <v>0</v>
      </c>
      <c r="I250" s="47">
        <v>0</v>
      </c>
      <c r="J250" s="47">
        <f t="shared" ref="J250" si="588">SUM(K250:P250)</f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/>
      <c r="Q250" s="47">
        <f t="shared" ref="Q250" si="589">SUM(R250:S250)</f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f t="shared" ref="V250" si="590">SUM(W250:AD250)</f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0</v>
      </c>
      <c r="AB250" s="47">
        <v>0</v>
      </c>
      <c r="AC250" s="47">
        <v>0</v>
      </c>
      <c r="AD250" s="47">
        <v>0</v>
      </c>
      <c r="AE250" s="47">
        <v>0</v>
      </c>
      <c r="AF250" s="47">
        <f t="shared" si="519"/>
        <v>821924</v>
      </c>
      <c r="AG250" s="48"/>
      <c r="AH250" s="48"/>
      <c r="AI250" s="42">
        <v>0</v>
      </c>
      <c r="AJ250" s="42">
        <v>0</v>
      </c>
      <c r="AK250" s="42"/>
      <c r="AL250" s="42"/>
      <c r="AM250" s="42">
        <v>0</v>
      </c>
      <c r="AN250" s="42">
        <v>0</v>
      </c>
      <c r="AO250" s="42">
        <v>0</v>
      </c>
      <c r="AP250" s="42">
        <v>0</v>
      </c>
      <c r="AQ250" s="42">
        <v>0</v>
      </c>
      <c r="AR250" s="42">
        <v>0</v>
      </c>
      <c r="AS250" s="42">
        <v>0</v>
      </c>
      <c r="AT250" s="42">
        <v>0</v>
      </c>
      <c r="AU250" s="42">
        <v>0</v>
      </c>
      <c r="AV250" s="42">
        <v>0</v>
      </c>
      <c r="AW250" s="42">
        <v>0</v>
      </c>
      <c r="AX250" s="42">
        <v>0</v>
      </c>
      <c r="AY250" s="42">
        <v>0</v>
      </c>
      <c r="AZ250" s="42">
        <v>0</v>
      </c>
      <c r="BA250" s="42">
        <v>0</v>
      </c>
      <c r="BB250" s="42">
        <v>0</v>
      </c>
      <c r="BC250" s="42">
        <v>821924</v>
      </c>
      <c r="BD250" s="47">
        <f t="shared" ref="BD250" si="591">SUM(BE250+BI250+BM250+BO250+BR250)</f>
        <v>0</v>
      </c>
      <c r="BE250" s="47">
        <f t="shared" ref="BE250" si="592">SUM(BF250:BH250)</f>
        <v>0</v>
      </c>
      <c r="BF250" s="47">
        <v>0</v>
      </c>
      <c r="BG250" s="47">
        <v>0</v>
      </c>
      <c r="BH250" s="47">
        <v>0</v>
      </c>
      <c r="BI250" s="47">
        <f t="shared" ref="BI250" si="593">SUM(BL250:BL250)</f>
        <v>0</v>
      </c>
      <c r="BJ250" s="47">
        <v>0</v>
      </c>
      <c r="BK250" s="47">
        <v>0</v>
      </c>
      <c r="BL250" s="47">
        <v>0</v>
      </c>
      <c r="BM250" s="47">
        <v>0</v>
      </c>
      <c r="BN250" s="47">
        <v>0</v>
      </c>
      <c r="BO250" s="47">
        <f t="shared" ref="BO250" si="594">SUM(BP250)</f>
        <v>0</v>
      </c>
      <c r="BP250" s="47">
        <v>0</v>
      </c>
      <c r="BQ250" s="47">
        <v>0</v>
      </c>
      <c r="BR250" s="47">
        <f t="shared" si="523"/>
        <v>0</v>
      </c>
      <c r="BS250" s="47">
        <v>0</v>
      </c>
      <c r="BT250" s="47">
        <v>0</v>
      </c>
      <c r="BU250" s="47">
        <v>0</v>
      </c>
      <c r="BV250" s="47">
        <v>0</v>
      </c>
      <c r="BW250" s="47">
        <v>0</v>
      </c>
      <c r="BX250" s="47">
        <v>0</v>
      </c>
      <c r="BY250" s="47">
        <v>0</v>
      </c>
      <c r="BZ250" s="47">
        <v>0</v>
      </c>
      <c r="CA250" s="47">
        <v>0</v>
      </c>
      <c r="CB250" s="47">
        <v>0</v>
      </c>
      <c r="CC250" s="47">
        <v>0</v>
      </c>
      <c r="CD250" s="47">
        <f t="shared" ref="CD250" si="595">SUM(CE250+CV250)</f>
        <v>0</v>
      </c>
      <c r="CE250" s="47">
        <f t="shared" ref="CE250" si="596">SUM(CF250+CI250+CN250)</f>
        <v>0</v>
      </c>
      <c r="CF250" s="47">
        <f t="shared" ref="CF250" si="597">SUM(CG250:CH250)</f>
        <v>0</v>
      </c>
      <c r="CG250" s="47">
        <v>0</v>
      </c>
      <c r="CH250" s="47">
        <v>0</v>
      </c>
      <c r="CI250" s="47">
        <f t="shared" ref="CI250" si="598">SUM(CJ250:CM250)</f>
        <v>0</v>
      </c>
      <c r="CJ250" s="47">
        <v>0</v>
      </c>
      <c r="CK250" s="47">
        <v>0</v>
      </c>
      <c r="CL250" s="47">
        <v>0</v>
      </c>
      <c r="CM250" s="47">
        <v>0</v>
      </c>
      <c r="CN250" s="47">
        <f t="shared" ref="CN250" si="599">SUM(CO250:CS250)</f>
        <v>0</v>
      </c>
      <c r="CO250" s="47">
        <v>0</v>
      </c>
      <c r="CP250" s="47">
        <v>0</v>
      </c>
      <c r="CQ250" s="47">
        <v>0</v>
      </c>
      <c r="CR250" s="47"/>
      <c r="CS250" s="47"/>
      <c r="CT250" s="47">
        <v>0</v>
      </c>
      <c r="CU250" s="47">
        <v>0</v>
      </c>
      <c r="CV250" s="47">
        <v>0</v>
      </c>
      <c r="CW250" s="47">
        <f t="shared" ref="CW250" si="600">SUM(CX250)</f>
        <v>0</v>
      </c>
      <c r="CX250" s="47">
        <f t="shared" ref="CX250" si="601">SUM(CY250:CZ250)</f>
        <v>0</v>
      </c>
      <c r="CY250" s="47">
        <v>0</v>
      </c>
      <c r="CZ250" s="49">
        <v>0</v>
      </c>
      <c r="HJ250" s="61"/>
    </row>
    <row r="251" spans="1:218" s="63" customFormat="1" ht="46.8" x14ac:dyDescent="0.3">
      <c r="A251" s="26" t="s">
        <v>1</v>
      </c>
      <c r="B251" s="27" t="s">
        <v>1</v>
      </c>
      <c r="C251" s="44" t="s">
        <v>329</v>
      </c>
      <c r="D251" s="45" t="s">
        <v>591</v>
      </c>
      <c r="E251" s="23">
        <f t="shared" si="515"/>
        <v>0</v>
      </c>
      <c r="F251" s="24">
        <f t="shared" si="516"/>
        <v>0</v>
      </c>
      <c r="G251" s="24">
        <f t="shared" si="573"/>
        <v>0</v>
      </c>
      <c r="H251" s="24">
        <v>0</v>
      </c>
      <c r="I251" s="24">
        <v>0</v>
      </c>
      <c r="J251" s="24">
        <f t="shared" ref="J251" si="602">SUM(K251:P251)</f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f>32507-32507</f>
        <v>0</v>
      </c>
      <c r="Q251" s="24">
        <f t="shared" ref="Q251" si="603">SUM(R251:S251)</f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f t="shared" si="575"/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f t="shared" si="519"/>
        <v>0</v>
      </c>
      <c r="AG251" s="24">
        <v>0</v>
      </c>
      <c r="AH251" s="24">
        <v>0</v>
      </c>
      <c r="AI251" s="24">
        <v>0</v>
      </c>
      <c r="AJ251" s="24">
        <v>0</v>
      </c>
      <c r="AK251" s="30"/>
      <c r="AL251" s="30"/>
      <c r="AM251" s="24">
        <v>0</v>
      </c>
      <c r="AN251" s="24">
        <v>0</v>
      </c>
      <c r="AO251" s="24">
        <v>0</v>
      </c>
      <c r="AP251" s="24">
        <v>0</v>
      </c>
      <c r="AQ251" s="24">
        <v>0</v>
      </c>
      <c r="AR251" s="24"/>
      <c r="AS251" s="24">
        <v>0</v>
      </c>
      <c r="AT251" s="24">
        <v>0</v>
      </c>
      <c r="AU251" s="24">
        <v>0</v>
      </c>
      <c r="AV251" s="24"/>
      <c r="AW251" s="24"/>
      <c r="AX251" s="24">
        <v>0</v>
      </c>
      <c r="AY251" s="24">
        <v>0</v>
      </c>
      <c r="AZ251" s="24">
        <v>0</v>
      </c>
      <c r="BA251" s="24">
        <v>0</v>
      </c>
      <c r="BB251" s="24"/>
      <c r="BC251" s="24">
        <f>52860127-52860127</f>
        <v>0</v>
      </c>
      <c r="BD251" s="24"/>
      <c r="BE251" s="24">
        <f t="shared" ref="BE251" si="604">SUM(BF251:BH251)</f>
        <v>0</v>
      </c>
      <c r="BF251" s="24">
        <v>0</v>
      </c>
      <c r="BG251" s="24">
        <v>0</v>
      </c>
      <c r="BH251" s="24">
        <v>0</v>
      </c>
      <c r="BI251" s="24">
        <f t="shared" ref="BI251" si="605">SUM(BL251:BL251)</f>
        <v>0</v>
      </c>
      <c r="BJ251" s="24">
        <v>0</v>
      </c>
      <c r="BK251" s="24">
        <v>0</v>
      </c>
      <c r="BL251" s="24">
        <v>0</v>
      </c>
      <c r="BM251" s="24">
        <f>BN251</f>
        <v>0</v>
      </c>
      <c r="BN251" s="30"/>
      <c r="BO251" s="24">
        <f t="shared" si="577"/>
        <v>0</v>
      </c>
      <c r="BP251" s="24">
        <v>0</v>
      </c>
      <c r="BQ251" s="24">
        <v>0</v>
      </c>
      <c r="BR251" s="24">
        <f t="shared" si="523"/>
        <v>0</v>
      </c>
      <c r="BS251" s="24">
        <v>0</v>
      </c>
      <c r="BT251" s="24">
        <v>0</v>
      </c>
      <c r="BU251" s="24">
        <v>0</v>
      </c>
      <c r="BV251" s="24">
        <v>0</v>
      </c>
      <c r="BW251" s="24">
        <v>0</v>
      </c>
      <c r="BX251" s="24">
        <v>0</v>
      </c>
      <c r="BY251" s="24">
        <v>0</v>
      </c>
      <c r="BZ251" s="24">
        <v>0</v>
      </c>
      <c r="CA251" s="24">
        <v>0</v>
      </c>
      <c r="CB251" s="24">
        <v>0</v>
      </c>
      <c r="CC251" s="24">
        <v>0</v>
      </c>
      <c r="CD251" s="24">
        <f t="shared" ref="CD251" si="606">SUM(CE251+CV251)</f>
        <v>0</v>
      </c>
      <c r="CE251" s="24">
        <f t="shared" ref="CE251" si="607">SUM(CF251+CI251+CN251)</f>
        <v>0</v>
      </c>
      <c r="CF251" s="24">
        <f t="shared" ref="CF251" si="608">SUM(CG251:CH251)</f>
        <v>0</v>
      </c>
      <c r="CG251" s="24">
        <v>0</v>
      </c>
      <c r="CH251" s="24">
        <v>0</v>
      </c>
      <c r="CI251" s="24">
        <f t="shared" ref="CI251" si="609">SUM(CJ251:CM251)</f>
        <v>0</v>
      </c>
      <c r="CJ251" s="24">
        <v>0</v>
      </c>
      <c r="CK251" s="24">
        <v>0</v>
      </c>
      <c r="CL251" s="24">
        <v>0</v>
      </c>
      <c r="CM251" s="24">
        <v>0</v>
      </c>
      <c r="CN251" s="24">
        <f t="shared" ref="CN251" si="610">SUM(CO251:CS251)</f>
        <v>0</v>
      </c>
      <c r="CO251" s="24">
        <v>0</v>
      </c>
      <c r="CP251" s="24">
        <v>0</v>
      </c>
      <c r="CQ251" s="24">
        <v>0</v>
      </c>
      <c r="CR251" s="24"/>
      <c r="CS251" s="24"/>
      <c r="CT251" s="24">
        <v>0</v>
      </c>
      <c r="CU251" s="24">
        <v>0</v>
      </c>
      <c r="CV251" s="24"/>
      <c r="CW251" s="24">
        <f t="shared" si="579"/>
        <v>0</v>
      </c>
      <c r="CX251" s="24">
        <f t="shared" si="580"/>
        <v>0</v>
      </c>
      <c r="CY251" s="24">
        <v>0</v>
      </c>
      <c r="CZ251" s="25">
        <v>0</v>
      </c>
    </row>
    <row r="252" spans="1:218" ht="31.2" x14ac:dyDescent="0.3">
      <c r="A252" s="26" t="s">
        <v>1</v>
      </c>
      <c r="B252" s="27" t="s">
        <v>1</v>
      </c>
      <c r="C252" s="44" t="s">
        <v>105</v>
      </c>
      <c r="D252" s="45" t="s">
        <v>442</v>
      </c>
      <c r="E252" s="23">
        <f t="shared" si="515"/>
        <v>2444377</v>
      </c>
      <c r="F252" s="24">
        <f t="shared" si="516"/>
        <v>2444377</v>
      </c>
      <c r="G252" s="24">
        <f t="shared" si="517"/>
        <v>0</v>
      </c>
      <c r="H252" s="24">
        <v>0</v>
      </c>
      <c r="I252" s="24">
        <v>0</v>
      </c>
      <c r="J252" s="24">
        <f t="shared" ref="J252:J253" si="611">SUM(K252:P252)</f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f>32507-32507</f>
        <v>0</v>
      </c>
      <c r="Q252" s="24">
        <f t="shared" si="505"/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f t="shared" si="518"/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f t="shared" si="519"/>
        <v>0</v>
      </c>
      <c r="AG252" s="24">
        <v>0</v>
      </c>
      <c r="AH252" s="24">
        <v>0</v>
      </c>
      <c r="AI252" s="24">
        <v>0</v>
      </c>
      <c r="AJ252" s="24">
        <v>0</v>
      </c>
      <c r="AK252" s="30"/>
      <c r="AL252" s="30"/>
      <c r="AM252" s="24">
        <v>0</v>
      </c>
      <c r="AN252" s="24">
        <v>0</v>
      </c>
      <c r="AO252" s="24">
        <v>0</v>
      </c>
      <c r="AP252" s="24">
        <v>0</v>
      </c>
      <c r="AQ252" s="24">
        <v>0</v>
      </c>
      <c r="AR252" s="24"/>
      <c r="AS252" s="24">
        <v>0</v>
      </c>
      <c r="AT252" s="24">
        <v>0</v>
      </c>
      <c r="AU252" s="24">
        <v>0</v>
      </c>
      <c r="AV252" s="24"/>
      <c r="AW252" s="24"/>
      <c r="AX252" s="24">
        <v>0</v>
      </c>
      <c r="AY252" s="24">
        <v>0</v>
      </c>
      <c r="AZ252" s="24">
        <v>0</v>
      </c>
      <c r="BA252" s="24">
        <v>0</v>
      </c>
      <c r="BB252" s="24"/>
      <c r="BC252" s="30"/>
      <c r="BD252" s="24">
        <f t="shared" si="520"/>
        <v>2444377</v>
      </c>
      <c r="BE252" s="24">
        <f t="shared" si="521"/>
        <v>0</v>
      </c>
      <c r="BF252" s="24">
        <v>0</v>
      </c>
      <c r="BG252" s="24">
        <v>0</v>
      </c>
      <c r="BH252" s="24">
        <v>0</v>
      </c>
      <c r="BI252" s="24">
        <f t="shared" si="522"/>
        <v>0</v>
      </c>
      <c r="BJ252" s="24">
        <v>0</v>
      </c>
      <c r="BK252" s="24">
        <v>0</v>
      </c>
      <c r="BL252" s="24">
        <v>0</v>
      </c>
      <c r="BM252" s="24">
        <f>BN252</f>
        <v>2444377</v>
      </c>
      <c r="BN252" s="30">
        <f>3999587-1681700+126490</f>
        <v>2444377</v>
      </c>
      <c r="BO252" s="24">
        <f t="shared" si="507"/>
        <v>0</v>
      </c>
      <c r="BP252" s="24">
        <v>0</v>
      </c>
      <c r="BQ252" s="24">
        <v>0</v>
      </c>
      <c r="BR252" s="24">
        <f t="shared" si="523"/>
        <v>0</v>
      </c>
      <c r="BS252" s="24">
        <v>0</v>
      </c>
      <c r="BT252" s="24">
        <v>0</v>
      </c>
      <c r="BU252" s="24">
        <v>0</v>
      </c>
      <c r="BV252" s="24">
        <v>0</v>
      </c>
      <c r="BW252" s="24">
        <v>0</v>
      </c>
      <c r="BX252" s="24">
        <v>0</v>
      </c>
      <c r="BY252" s="24">
        <v>0</v>
      </c>
      <c r="BZ252" s="24">
        <v>0</v>
      </c>
      <c r="CA252" s="24">
        <v>0</v>
      </c>
      <c r="CB252" s="24">
        <v>0</v>
      </c>
      <c r="CC252" s="24">
        <v>0</v>
      </c>
      <c r="CD252" s="24">
        <f t="shared" si="524"/>
        <v>0</v>
      </c>
      <c r="CE252" s="24">
        <f t="shared" si="525"/>
        <v>0</v>
      </c>
      <c r="CF252" s="24">
        <f t="shared" ref="CF252:CF253" si="612">SUM(CG252:CH252)</f>
        <v>0</v>
      </c>
      <c r="CG252" s="24">
        <v>0</v>
      </c>
      <c r="CH252" s="24">
        <v>0</v>
      </c>
      <c r="CI252" s="24">
        <f t="shared" si="526"/>
        <v>0</v>
      </c>
      <c r="CJ252" s="24">
        <v>0</v>
      </c>
      <c r="CK252" s="24">
        <v>0</v>
      </c>
      <c r="CL252" s="24">
        <v>0</v>
      </c>
      <c r="CM252" s="24">
        <v>0</v>
      </c>
      <c r="CN252" s="24">
        <f t="shared" si="527"/>
        <v>0</v>
      </c>
      <c r="CO252" s="24">
        <v>0</v>
      </c>
      <c r="CP252" s="24">
        <v>0</v>
      </c>
      <c r="CQ252" s="24">
        <v>0</v>
      </c>
      <c r="CR252" s="24"/>
      <c r="CS252" s="24"/>
      <c r="CT252" s="24">
        <v>0</v>
      </c>
      <c r="CU252" s="24">
        <v>0</v>
      </c>
      <c r="CV252" s="24">
        <v>0</v>
      </c>
      <c r="CW252" s="24">
        <f t="shared" si="509"/>
        <v>0</v>
      </c>
      <c r="CX252" s="24">
        <f t="shared" si="510"/>
        <v>0</v>
      </c>
      <c r="CY252" s="24">
        <v>0</v>
      </c>
      <c r="CZ252" s="25">
        <v>0</v>
      </c>
      <c r="HJ252" s="63"/>
    </row>
    <row r="253" spans="1:218" ht="46.8" x14ac:dyDescent="0.3">
      <c r="A253" s="26" t="s">
        <v>1</v>
      </c>
      <c r="B253" s="27" t="s">
        <v>1</v>
      </c>
      <c r="C253" s="52" t="s">
        <v>105</v>
      </c>
      <c r="D253" s="53" t="s">
        <v>354</v>
      </c>
      <c r="E253" s="23">
        <f t="shared" si="515"/>
        <v>377448</v>
      </c>
      <c r="F253" s="24">
        <f t="shared" si="516"/>
        <v>0</v>
      </c>
      <c r="G253" s="24">
        <f t="shared" si="517"/>
        <v>0</v>
      </c>
      <c r="H253" s="24">
        <v>0</v>
      </c>
      <c r="I253" s="24">
        <v>0</v>
      </c>
      <c r="J253" s="24">
        <f t="shared" si="611"/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f t="shared" si="505"/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f t="shared" si="518"/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f t="shared" si="519"/>
        <v>0</v>
      </c>
      <c r="AG253" s="24">
        <v>0</v>
      </c>
      <c r="AH253" s="24">
        <v>0</v>
      </c>
      <c r="AI253" s="24">
        <v>0</v>
      </c>
      <c r="AJ253" s="24">
        <v>0</v>
      </c>
      <c r="AK253" s="30"/>
      <c r="AL253" s="30"/>
      <c r="AM253" s="24">
        <v>0</v>
      </c>
      <c r="AN253" s="24">
        <v>0</v>
      </c>
      <c r="AO253" s="24">
        <v>0</v>
      </c>
      <c r="AP253" s="24">
        <v>0</v>
      </c>
      <c r="AQ253" s="24">
        <v>0</v>
      </c>
      <c r="AR253" s="24"/>
      <c r="AS253" s="24">
        <v>0</v>
      </c>
      <c r="AT253" s="24">
        <v>0</v>
      </c>
      <c r="AU253" s="24">
        <v>0</v>
      </c>
      <c r="AV253" s="24"/>
      <c r="AW253" s="24"/>
      <c r="AX253" s="24">
        <v>0</v>
      </c>
      <c r="AY253" s="24">
        <v>0</v>
      </c>
      <c r="AZ253" s="24">
        <v>0</v>
      </c>
      <c r="BA253" s="24">
        <v>0</v>
      </c>
      <c r="BB253" s="24"/>
      <c r="BC253" s="24"/>
      <c r="BD253" s="24">
        <f t="shared" si="520"/>
        <v>0</v>
      </c>
      <c r="BE253" s="24">
        <f t="shared" si="521"/>
        <v>0</v>
      </c>
      <c r="BF253" s="24">
        <v>0</v>
      </c>
      <c r="BG253" s="24">
        <v>0</v>
      </c>
      <c r="BH253" s="24">
        <v>0</v>
      </c>
      <c r="BI253" s="24">
        <f t="shared" si="522"/>
        <v>0</v>
      </c>
      <c r="BJ253" s="24">
        <v>0</v>
      </c>
      <c r="BK253" s="24">
        <v>0</v>
      </c>
      <c r="BL253" s="24">
        <v>0</v>
      </c>
      <c r="BM253" s="24">
        <v>0</v>
      </c>
      <c r="BN253" s="24">
        <v>0</v>
      </c>
      <c r="BO253" s="24">
        <f t="shared" si="507"/>
        <v>0</v>
      </c>
      <c r="BP253" s="24">
        <v>0</v>
      </c>
      <c r="BQ253" s="24">
        <v>0</v>
      </c>
      <c r="BR253" s="24">
        <f t="shared" si="523"/>
        <v>0</v>
      </c>
      <c r="BS253" s="24">
        <v>0</v>
      </c>
      <c r="BT253" s="24">
        <v>0</v>
      </c>
      <c r="BU253" s="24">
        <v>0</v>
      </c>
      <c r="BV253" s="24">
        <v>0</v>
      </c>
      <c r="BW253" s="24">
        <v>0</v>
      </c>
      <c r="BX253" s="24">
        <v>0</v>
      </c>
      <c r="BY253" s="24">
        <v>0</v>
      </c>
      <c r="BZ253" s="24">
        <v>0</v>
      </c>
      <c r="CA253" s="24">
        <v>0</v>
      </c>
      <c r="CB253" s="24">
        <v>0</v>
      </c>
      <c r="CC253" s="24">
        <v>0</v>
      </c>
      <c r="CD253" s="24">
        <f t="shared" si="524"/>
        <v>377448</v>
      </c>
      <c r="CE253" s="24">
        <f t="shared" si="525"/>
        <v>377448</v>
      </c>
      <c r="CF253" s="24">
        <f t="shared" si="612"/>
        <v>377448</v>
      </c>
      <c r="CG253" s="24">
        <v>0</v>
      </c>
      <c r="CH253" s="24">
        <f>400000-22552</f>
        <v>377448</v>
      </c>
      <c r="CI253" s="24">
        <f t="shared" si="526"/>
        <v>0</v>
      </c>
      <c r="CJ253" s="24">
        <v>0</v>
      </c>
      <c r="CK253" s="24">
        <v>0</v>
      </c>
      <c r="CL253" s="24">
        <v>0</v>
      </c>
      <c r="CM253" s="24">
        <v>0</v>
      </c>
      <c r="CN253" s="24">
        <f t="shared" si="527"/>
        <v>0</v>
      </c>
      <c r="CO253" s="24">
        <v>0</v>
      </c>
      <c r="CP253" s="24">
        <v>0</v>
      </c>
      <c r="CQ253" s="24">
        <v>0</v>
      </c>
      <c r="CR253" s="24"/>
      <c r="CS253" s="24"/>
      <c r="CT253" s="24">
        <v>0</v>
      </c>
      <c r="CU253" s="24">
        <v>0</v>
      </c>
      <c r="CV253" s="24">
        <v>0</v>
      </c>
      <c r="CW253" s="24">
        <f t="shared" si="509"/>
        <v>0</v>
      </c>
      <c r="CX253" s="24">
        <f t="shared" si="510"/>
        <v>0</v>
      </c>
      <c r="CY253" s="24">
        <v>0</v>
      </c>
      <c r="CZ253" s="25">
        <v>0</v>
      </c>
    </row>
    <row r="254" spans="1:218" ht="46.8" x14ac:dyDescent="0.3">
      <c r="A254" s="43"/>
      <c r="B254" s="44"/>
      <c r="C254" s="50" t="s">
        <v>106</v>
      </c>
      <c r="D254" s="51" t="s">
        <v>586</v>
      </c>
      <c r="E254" s="46">
        <f t="shared" si="515"/>
        <v>1840596</v>
      </c>
      <c r="F254" s="47">
        <f t="shared" si="516"/>
        <v>1840596</v>
      </c>
      <c r="G254" s="47">
        <f t="shared" si="517"/>
        <v>1840596</v>
      </c>
      <c r="H254" s="47">
        <v>0</v>
      </c>
      <c r="I254" s="47">
        <v>0</v>
      </c>
      <c r="J254" s="47">
        <f t="shared" ref="J254:J255" si="613">SUM(K254:P254)</f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f t="shared" ref="Q254:Q255" si="614">SUM(R254:S254)</f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f t="shared" si="518"/>
        <v>0</v>
      </c>
      <c r="W254" s="47">
        <v>0</v>
      </c>
      <c r="X254" s="47">
        <v>0</v>
      </c>
      <c r="Y254" s="47">
        <v>0</v>
      </c>
      <c r="Z254" s="47">
        <v>0</v>
      </c>
      <c r="AA254" s="47">
        <v>0</v>
      </c>
      <c r="AB254" s="47">
        <v>0</v>
      </c>
      <c r="AC254" s="47">
        <v>0</v>
      </c>
      <c r="AD254" s="47">
        <v>0</v>
      </c>
      <c r="AE254" s="47">
        <v>0</v>
      </c>
      <c r="AF254" s="47">
        <f t="shared" si="519"/>
        <v>1840596</v>
      </c>
      <c r="AG254" s="48"/>
      <c r="AH254" s="48"/>
      <c r="AI254" s="47">
        <v>0</v>
      </c>
      <c r="AJ254" s="47">
        <v>0</v>
      </c>
      <c r="AK254" s="47">
        <v>0</v>
      </c>
      <c r="AL254" s="47">
        <v>0</v>
      </c>
      <c r="AM254" s="47">
        <v>0</v>
      </c>
      <c r="AN254" s="47">
        <v>0</v>
      </c>
      <c r="AO254" s="47">
        <v>0</v>
      </c>
      <c r="AP254" s="47">
        <v>0</v>
      </c>
      <c r="AQ254" s="47">
        <v>0</v>
      </c>
      <c r="AR254" s="47"/>
      <c r="AS254" s="47">
        <v>0</v>
      </c>
      <c r="AT254" s="47">
        <v>0</v>
      </c>
      <c r="AU254" s="47">
        <v>0</v>
      </c>
      <c r="AV254" s="47"/>
      <c r="AW254" s="47"/>
      <c r="AX254" s="47">
        <v>0</v>
      </c>
      <c r="AY254" s="47">
        <v>0</v>
      </c>
      <c r="AZ254" s="47">
        <v>0</v>
      </c>
      <c r="BA254" s="47">
        <v>0</v>
      </c>
      <c r="BB254" s="47"/>
      <c r="BC254" s="42">
        <f>2500000-659404</f>
        <v>1840596</v>
      </c>
      <c r="BD254" s="47">
        <f t="shared" si="520"/>
        <v>0</v>
      </c>
      <c r="BE254" s="47">
        <f t="shared" si="521"/>
        <v>0</v>
      </c>
      <c r="BF254" s="47">
        <v>0</v>
      </c>
      <c r="BG254" s="47">
        <v>0</v>
      </c>
      <c r="BH254" s="47">
        <v>0</v>
      </c>
      <c r="BI254" s="47">
        <f t="shared" si="522"/>
        <v>0</v>
      </c>
      <c r="BJ254" s="47">
        <v>0</v>
      </c>
      <c r="BK254" s="47">
        <v>0</v>
      </c>
      <c r="BL254" s="47">
        <v>0</v>
      </c>
      <c r="BM254" s="47">
        <v>0</v>
      </c>
      <c r="BN254" s="47">
        <v>0</v>
      </c>
      <c r="BO254" s="47">
        <f t="shared" si="507"/>
        <v>0</v>
      </c>
      <c r="BP254" s="47">
        <v>0</v>
      </c>
      <c r="BQ254" s="47">
        <v>0</v>
      </c>
      <c r="BR254" s="47">
        <f t="shared" si="523"/>
        <v>0</v>
      </c>
      <c r="BS254" s="47">
        <v>0</v>
      </c>
      <c r="BT254" s="47">
        <v>0</v>
      </c>
      <c r="BU254" s="47">
        <v>0</v>
      </c>
      <c r="BV254" s="47">
        <v>0</v>
      </c>
      <c r="BW254" s="47">
        <v>0</v>
      </c>
      <c r="BX254" s="47">
        <v>0</v>
      </c>
      <c r="BY254" s="47">
        <v>0</v>
      </c>
      <c r="BZ254" s="47">
        <v>0</v>
      </c>
      <c r="CA254" s="47">
        <v>0</v>
      </c>
      <c r="CB254" s="47">
        <v>0</v>
      </c>
      <c r="CC254" s="47">
        <v>0</v>
      </c>
      <c r="CD254" s="47">
        <f t="shared" si="524"/>
        <v>0</v>
      </c>
      <c r="CE254" s="47">
        <f t="shared" si="525"/>
        <v>0</v>
      </c>
      <c r="CF254" s="47">
        <f t="shared" ref="CF254:CF255" si="615">SUM(CG254:CH254)</f>
        <v>0</v>
      </c>
      <c r="CG254" s="47">
        <v>0</v>
      </c>
      <c r="CH254" s="47">
        <v>0</v>
      </c>
      <c r="CI254" s="47">
        <f t="shared" si="526"/>
        <v>0</v>
      </c>
      <c r="CJ254" s="47">
        <v>0</v>
      </c>
      <c r="CK254" s="47">
        <v>0</v>
      </c>
      <c r="CL254" s="47">
        <v>0</v>
      </c>
      <c r="CM254" s="47">
        <v>0</v>
      </c>
      <c r="CN254" s="47">
        <f t="shared" si="527"/>
        <v>0</v>
      </c>
      <c r="CO254" s="47">
        <v>0</v>
      </c>
      <c r="CP254" s="47">
        <v>0</v>
      </c>
      <c r="CQ254" s="47">
        <v>0</v>
      </c>
      <c r="CR254" s="47"/>
      <c r="CS254" s="47"/>
      <c r="CT254" s="47">
        <v>0</v>
      </c>
      <c r="CU254" s="47">
        <v>0</v>
      </c>
      <c r="CV254" s="47">
        <v>0</v>
      </c>
      <c r="CW254" s="47">
        <f t="shared" si="509"/>
        <v>0</v>
      </c>
      <c r="CX254" s="47">
        <f t="shared" si="510"/>
        <v>0</v>
      </c>
      <c r="CY254" s="47">
        <v>0</v>
      </c>
      <c r="CZ254" s="49">
        <v>0</v>
      </c>
    </row>
    <row r="255" spans="1:218" ht="46.8" x14ac:dyDescent="0.3">
      <c r="A255" s="43"/>
      <c r="B255" s="44"/>
      <c r="C255" s="50" t="s">
        <v>106</v>
      </c>
      <c r="D255" s="51" t="s">
        <v>577</v>
      </c>
      <c r="E255" s="46">
        <f t="shared" si="515"/>
        <v>0</v>
      </c>
      <c r="F255" s="47">
        <f t="shared" si="516"/>
        <v>0</v>
      </c>
      <c r="G255" s="47">
        <f t="shared" si="517"/>
        <v>0</v>
      </c>
      <c r="H255" s="47">
        <v>0</v>
      </c>
      <c r="I255" s="47">
        <v>0</v>
      </c>
      <c r="J255" s="47">
        <f t="shared" si="613"/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f t="shared" si="614"/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f t="shared" si="518"/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0</v>
      </c>
      <c r="AB255" s="47">
        <v>0</v>
      </c>
      <c r="AC255" s="47">
        <v>0</v>
      </c>
      <c r="AD255" s="47">
        <v>0</v>
      </c>
      <c r="AE255" s="47">
        <v>0</v>
      </c>
      <c r="AF255" s="47">
        <f t="shared" si="519"/>
        <v>0</v>
      </c>
      <c r="AG255" s="48"/>
      <c r="AH255" s="48"/>
      <c r="AI255" s="47">
        <v>0</v>
      </c>
      <c r="AJ255" s="47">
        <v>0</v>
      </c>
      <c r="AK255" s="47">
        <v>0</v>
      </c>
      <c r="AL255" s="47">
        <v>0</v>
      </c>
      <c r="AM255" s="47">
        <v>0</v>
      </c>
      <c r="AN255" s="47">
        <v>0</v>
      </c>
      <c r="AO255" s="47">
        <v>0</v>
      </c>
      <c r="AP255" s="47">
        <v>0</v>
      </c>
      <c r="AQ255" s="47">
        <v>0</v>
      </c>
      <c r="AR255" s="47"/>
      <c r="AS255" s="47">
        <v>0</v>
      </c>
      <c r="AT255" s="47">
        <v>0</v>
      </c>
      <c r="AU255" s="47">
        <v>0</v>
      </c>
      <c r="AV255" s="47"/>
      <c r="AW255" s="47"/>
      <c r="AX255" s="47">
        <v>0</v>
      </c>
      <c r="AY255" s="47">
        <v>0</v>
      </c>
      <c r="AZ255" s="47">
        <v>0</v>
      </c>
      <c r="BA255" s="47">
        <v>0</v>
      </c>
      <c r="BB255" s="47"/>
      <c r="BC255" s="42">
        <f>3097833-3097833</f>
        <v>0</v>
      </c>
      <c r="BD255" s="47">
        <f t="shared" si="520"/>
        <v>0</v>
      </c>
      <c r="BE255" s="47">
        <f t="shared" si="521"/>
        <v>0</v>
      </c>
      <c r="BF255" s="47">
        <v>0</v>
      </c>
      <c r="BG255" s="47">
        <v>0</v>
      </c>
      <c r="BH255" s="47">
        <v>0</v>
      </c>
      <c r="BI255" s="47">
        <f t="shared" si="522"/>
        <v>0</v>
      </c>
      <c r="BJ255" s="47">
        <v>0</v>
      </c>
      <c r="BK255" s="47">
        <v>0</v>
      </c>
      <c r="BL255" s="47">
        <v>0</v>
      </c>
      <c r="BM255" s="47">
        <v>0</v>
      </c>
      <c r="BN255" s="47">
        <v>0</v>
      </c>
      <c r="BO255" s="47">
        <f t="shared" si="507"/>
        <v>0</v>
      </c>
      <c r="BP255" s="47">
        <v>0</v>
      </c>
      <c r="BQ255" s="47">
        <v>0</v>
      </c>
      <c r="BR255" s="47">
        <f t="shared" si="523"/>
        <v>0</v>
      </c>
      <c r="BS255" s="47">
        <v>0</v>
      </c>
      <c r="BT255" s="47">
        <v>0</v>
      </c>
      <c r="BU255" s="47">
        <v>0</v>
      </c>
      <c r="BV255" s="47">
        <v>0</v>
      </c>
      <c r="BW255" s="47">
        <v>0</v>
      </c>
      <c r="BX255" s="47">
        <v>0</v>
      </c>
      <c r="BY255" s="47">
        <v>0</v>
      </c>
      <c r="BZ255" s="47">
        <v>0</v>
      </c>
      <c r="CA255" s="47">
        <v>0</v>
      </c>
      <c r="CB255" s="47">
        <v>0</v>
      </c>
      <c r="CC255" s="47">
        <v>0</v>
      </c>
      <c r="CD255" s="47">
        <f t="shared" si="524"/>
        <v>0</v>
      </c>
      <c r="CE255" s="47">
        <f t="shared" si="525"/>
        <v>0</v>
      </c>
      <c r="CF255" s="47">
        <f t="shared" si="615"/>
        <v>0</v>
      </c>
      <c r="CG255" s="47">
        <v>0</v>
      </c>
      <c r="CH255" s="47">
        <v>0</v>
      </c>
      <c r="CI255" s="47">
        <f t="shared" si="526"/>
        <v>0</v>
      </c>
      <c r="CJ255" s="47">
        <v>0</v>
      </c>
      <c r="CK255" s="47">
        <v>0</v>
      </c>
      <c r="CL255" s="47">
        <v>0</v>
      </c>
      <c r="CM255" s="47">
        <v>0</v>
      </c>
      <c r="CN255" s="47">
        <f t="shared" si="527"/>
        <v>0</v>
      </c>
      <c r="CO255" s="47">
        <v>0</v>
      </c>
      <c r="CP255" s="47">
        <v>0</v>
      </c>
      <c r="CQ255" s="47">
        <v>0</v>
      </c>
      <c r="CR255" s="47"/>
      <c r="CS255" s="47"/>
      <c r="CT255" s="47">
        <v>0</v>
      </c>
      <c r="CU255" s="47">
        <v>0</v>
      </c>
      <c r="CV255" s="47">
        <v>0</v>
      </c>
      <c r="CW255" s="47">
        <f t="shared" si="509"/>
        <v>0</v>
      </c>
      <c r="CX255" s="47">
        <f t="shared" si="510"/>
        <v>0</v>
      </c>
      <c r="CY255" s="47">
        <v>0</v>
      </c>
      <c r="CZ255" s="49">
        <v>0</v>
      </c>
    </row>
    <row r="256" spans="1:218" ht="15.6" x14ac:dyDescent="0.3">
      <c r="A256" s="20"/>
      <c r="B256" s="21"/>
      <c r="C256" s="21"/>
      <c r="D256" s="22" t="s">
        <v>355</v>
      </c>
      <c r="E256" s="23">
        <f t="shared" ref="E256:AJ256" si="616">SUM(E257:E282)</f>
        <v>260547237</v>
      </c>
      <c r="F256" s="23">
        <f t="shared" si="616"/>
        <v>239526185</v>
      </c>
      <c r="G256" s="23">
        <f t="shared" si="616"/>
        <v>239495577</v>
      </c>
      <c r="H256" s="23">
        <f t="shared" si="616"/>
        <v>100788308</v>
      </c>
      <c r="I256" s="23">
        <f t="shared" si="616"/>
        <v>20386115</v>
      </c>
      <c r="J256" s="23">
        <f t="shared" si="616"/>
        <v>55924477</v>
      </c>
      <c r="K256" s="23">
        <f t="shared" si="616"/>
        <v>17125423</v>
      </c>
      <c r="L256" s="23">
        <f t="shared" si="616"/>
        <v>2064873</v>
      </c>
      <c r="M256" s="23">
        <f t="shared" si="616"/>
        <v>2431988</v>
      </c>
      <c r="N256" s="23">
        <f t="shared" si="616"/>
        <v>2500</v>
      </c>
      <c r="O256" s="23">
        <f t="shared" si="616"/>
        <v>9913118</v>
      </c>
      <c r="P256" s="23">
        <f t="shared" si="616"/>
        <v>24386575</v>
      </c>
      <c r="Q256" s="23">
        <f t="shared" si="616"/>
        <v>856249</v>
      </c>
      <c r="R256" s="23">
        <f t="shared" si="616"/>
        <v>126223</v>
      </c>
      <c r="S256" s="23">
        <f t="shared" si="616"/>
        <v>730026</v>
      </c>
      <c r="T256" s="23">
        <f t="shared" si="616"/>
        <v>141872</v>
      </c>
      <c r="U256" s="23">
        <f t="shared" si="616"/>
        <v>1889652</v>
      </c>
      <c r="V256" s="23">
        <f t="shared" si="616"/>
        <v>12391364</v>
      </c>
      <c r="W256" s="23">
        <f t="shared" si="616"/>
        <v>2984667</v>
      </c>
      <c r="X256" s="23">
        <f t="shared" si="616"/>
        <v>4889554</v>
      </c>
      <c r="Y256" s="23">
        <f t="shared" si="616"/>
        <v>2040698</v>
      </c>
      <c r="Z256" s="23">
        <f t="shared" si="616"/>
        <v>1080248</v>
      </c>
      <c r="AA256" s="23">
        <f t="shared" si="616"/>
        <v>846190</v>
      </c>
      <c r="AB256" s="23">
        <f t="shared" si="616"/>
        <v>374561</v>
      </c>
      <c r="AC256" s="23">
        <f t="shared" si="616"/>
        <v>0</v>
      </c>
      <c r="AD256" s="23">
        <f t="shared" si="616"/>
        <v>175446</v>
      </c>
      <c r="AE256" s="23">
        <f t="shared" si="616"/>
        <v>0</v>
      </c>
      <c r="AF256" s="23">
        <f t="shared" si="616"/>
        <v>47117540</v>
      </c>
      <c r="AG256" s="23">
        <f t="shared" si="616"/>
        <v>371063</v>
      </c>
      <c r="AH256" s="23">
        <f t="shared" si="616"/>
        <v>0</v>
      </c>
      <c r="AI256" s="23">
        <f t="shared" si="616"/>
        <v>3647772</v>
      </c>
      <c r="AJ256" s="23">
        <f t="shared" si="616"/>
        <v>9794104</v>
      </c>
      <c r="AK256" s="23">
        <f t="shared" ref="AK256:BQ256" si="617">SUM(AK257:AK282)</f>
        <v>751129</v>
      </c>
      <c r="AL256" s="23">
        <f t="shared" si="617"/>
        <v>917144</v>
      </c>
      <c r="AM256" s="23">
        <f t="shared" si="617"/>
        <v>5000</v>
      </c>
      <c r="AN256" s="23">
        <f t="shared" si="617"/>
        <v>508432</v>
      </c>
      <c r="AO256" s="23">
        <f t="shared" si="617"/>
        <v>3107596</v>
      </c>
      <c r="AP256" s="23">
        <f t="shared" si="617"/>
        <v>10000</v>
      </c>
      <c r="AQ256" s="23">
        <f t="shared" si="617"/>
        <v>25966</v>
      </c>
      <c r="AR256" s="23">
        <f t="shared" ref="AR256" si="618">SUM(AR257:AR282)</f>
        <v>164946</v>
      </c>
      <c r="AS256" s="23">
        <f t="shared" si="617"/>
        <v>111282</v>
      </c>
      <c r="AT256" s="23">
        <f t="shared" si="617"/>
        <v>775992</v>
      </c>
      <c r="AU256" s="23">
        <f t="shared" si="617"/>
        <v>721601</v>
      </c>
      <c r="AV256" s="23">
        <f t="shared" si="617"/>
        <v>0</v>
      </c>
      <c r="AW256" s="23">
        <f t="shared" si="617"/>
        <v>5737</v>
      </c>
      <c r="AX256" s="23">
        <f t="shared" si="617"/>
        <v>60291</v>
      </c>
      <c r="AY256" s="23">
        <f t="shared" si="617"/>
        <v>1417892</v>
      </c>
      <c r="AZ256" s="23">
        <f t="shared" si="617"/>
        <v>0</v>
      </c>
      <c r="BA256" s="23">
        <f t="shared" si="617"/>
        <v>659301</v>
      </c>
      <c r="BB256" s="23">
        <f t="shared" si="617"/>
        <v>72000</v>
      </c>
      <c r="BC256" s="23">
        <f t="shared" si="617"/>
        <v>23990292</v>
      </c>
      <c r="BD256" s="23">
        <f t="shared" si="617"/>
        <v>30608</v>
      </c>
      <c r="BE256" s="23">
        <f t="shared" si="617"/>
        <v>0</v>
      </c>
      <c r="BF256" s="23">
        <f t="shared" si="617"/>
        <v>0</v>
      </c>
      <c r="BG256" s="23">
        <f t="shared" si="617"/>
        <v>0</v>
      </c>
      <c r="BH256" s="23">
        <f t="shared" si="617"/>
        <v>0</v>
      </c>
      <c r="BI256" s="23">
        <f t="shared" si="617"/>
        <v>0</v>
      </c>
      <c r="BJ256" s="23">
        <f t="shared" si="617"/>
        <v>0</v>
      </c>
      <c r="BK256" s="23">
        <f t="shared" ref="BK256" si="619">SUM(BK257:BK282)</f>
        <v>0</v>
      </c>
      <c r="BL256" s="23">
        <f t="shared" si="617"/>
        <v>0</v>
      </c>
      <c r="BM256" s="23">
        <f t="shared" si="617"/>
        <v>0</v>
      </c>
      <c r="BN256" s="23">
        <f t="shared" si="617"/>
        <v>0</v>
      </c>
      <c r="BO256" s="23">
        <f t="shared" si="617"/>
        <v>0</v>
      </c>
      <c r="BP256" s="23">
        <f t="shared" si="617"/>
        <v>0</v>
      </c>
      <c r="BQ256" s="23">
        <f t="shared" si="617"/>
        <v>0</v>
      </c>
      <c r="BR256" s="23">
        <f t="shared" ref="BR256:CQ256" si="620">SUM(BR257:BR282)</f>
        <v>30608</v>
      </c>
      <c r="BS256" s="23">
        <f t="shared" si="620"/>
        <v>0</v>
      </c>
      <c r="BT256" s="23">
        <f t="shared" si="620"/>
        <v>0</v>
      </c>
      <c r="BU256" s="23">
        <f t="shared" si="620"/>
        <v>5000</v>
      </c>
      <c r="BV256" s="23">
        <f t="shared" si="620"/>
        <v>0</v>
      </c>
      <c r="BW256" s="23">
        <f t="shared" si="620"/>
        <v>0</v>
      </c>
      <c r="BX256" s="23">
        <f t="shared" si="620"/>
        <v>0</v>
      </c>
      <c r="BY256" s="23">
        <f t="shared" si="620"/>
        <v>0</v>
      </c>
      <c r="BZ256" s="23">
        <f t="shared" si="620"/>
        <v>0</v>
      </c>
      <c r="CA256" s="23">
        <f t="shared" si="620"/>
        <v>0</v>
      </c>
      <c r="CB256" s="23">
        <f t="shared" si="620"/>
        <v>25608</v>
      </c>
      <c r="CC256" s="23">
        <f t="shared" si="620"/>
        <v>0</v>
      </c>
      <c r="CD256" s="23">
        <f t="shared" si="620"/>
        <v>21021052</v>
      </c>
      <c r="CE256" s="23">
        <f t="shared" si="620"/>
        <v>21021052</v>
      </c>
      <c r="CF256" s="23">
        <f t="shared" si="620"/>
        <v>15653816</v>
      </c>
      <c r="CG256" s="23">
        <f t="shared" si="620"/>
        <v>259180</v>
      </c>
      <c r="CH256" s="23">
        <f t="shared" si="620"/>
        <v>15394636</v>
      </c>
      <c r="CI256" s="23">
        <f t="shared" si="620"/>
        <v>970344</v>
      </c>
      <c r="CJ256" s="23">
        <f t="shared" si="620"/>
        <v>0</v>
      </c>
      <c r="CK256" s="23">
        <f t="shared" ref="CK256:CL256" si="621">SUM(CK257:CK282)</f>
        <v>0</v>
      </c>
      <c r="CL256" s="23">
        <f t="shared" si="621"/>
        <v>970344</v>
      </c>
      <c r="CM256" s="23">
        <f t="shared" si="620"/>
        <v>0</v>
      </c>
      <c r="CN256" s="23">
        <f t="shared" si="620"/>
        <v>4396892</v>
      </c>
      <c r="CO256" s="23">
        <f t="shared" si="620"/>
        <v>0</v>
      </c>
      <c r="CP256" s="23">
        <f t="shared" ref="CP256" si="622">SUM(CP257:CP282)</f>
        <v>4004141</v>
      </c>
      <c r="CQ256" s="23">
        <f t="shared" si="620"/>
        <v>392751</v>
      </c>
      <c r="CR256" s="23"/>
      <c r="CS256" s="23"/>
      <c r="CT256" s="23">
        <f t="shared" ref="CT256:CZ256" si="623">SUM(CT257:CT282)</f>
        <v>0</v>
      </c>
      <c r="CU256" s="23">
        <f t="shared" si="623"/>
        <v>0</v>
      </c>
      <c r="CV256" s="23">
        <f t="shared" si="623"/>
        <v>0</v>
      </c>
      <c r="CW256" s="23">
        <f t="shared" si="623"/>
        <v>0</v>
      </c>
      <c r="CX256" s="23">
        <f t="shared" si="623"/>
        <v>0</v>
      </c>
      <c r="CY256" s="23">
        <f t="shared" si="623"/>
        <v>0</v>
      </c>
      <c r="CZ256" s="54">
        <f t="shared" si="623"/>
        <v>0</v>
      </c>
    </row>
    <row r="257" spans="1:104" ht="31.2" x14ac:dyDescent="0.3">
      <c r="A257" s="26" t="s">
        <v>1</v>
      </c>
      <c r="B257" s="27" t="s">
        <v>1</v>
      </c>
      <c r="C257" s="27" t="s">
        <v>82</v>
      </c>
      <c r="D257" s="28" t="s">
        <v>356</v>
      </c>
      <c r="E257" s="23">
        <f t="shared" ref="E257:E264" si="624">SUM(F257+CD257+CW257)</f>
        <v>111920</v>
      </c>
      <c r="F257" s="24">
        <f t="shared" ref="F257:F282" si="625">SUM(G257+BD257)</f>
        <v>111920</v>
      </c>
      <c r="G257" s="24">
        <f t="shared" ref="G257:G282" si="626">SUM(H257+I257+J257+Q257+T257+U257+V257+AF257+AE257)</f>
        <v>111920</v>
      </c>
      <c r="H257" s="29">
        <v>0</v>
      </c>
      <c r="I257" s="29">
        <v>0</v>
      </c>
      <c r="J257" s="24">
        <f t="shared" si="504"/>
        <v>2000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2000</v>
      </c>
      <c r="Q257" s="24">
        <f t="shared" si="505"/>
        <v>0</v>
      </c>
      <c r="R257" s="29">
        <v>0</v>
      </c>
      <c r="S257" s="29">
        <v>0</v>
      </c>
      <c r="T257" s="29">
        <v>0</v>
      </c>
      <c r="U257" s="29">
        <v>0</v>
      </c>
      <c r="V257" s="24">
        <f t="shared" ref="V257:V282" si="627">SUM(W257:AD257)</f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  <c r="AC257" s="29">
        <v>0</v>
      </c>
      <c r="AD257" s="29">
        <v>0</v>
      </c>
      <c r="AE257" s="29">
        <v>0</v>
      </c>
      <c r="AF257" s="24">
        <f t="shared" ref="AF257:AF282" si="628">SUM(AG257:BC257)</f>
        <v>109920</v>
      </c>
      <c r="AG257" s="30"/>
      <c r="AH257" s="30"/>
      <c r="AI257" s="29">
        <v>0</v>
      </c>
      <c r="AJ257" s="29"/>
      <c r="AK257" s="29">
        <v>0</v>
      </c>
      <c r="AL257" s="29">
        <v>0</v>
      </c>
      <c r="AM257" s="29">
        <v>0</v>
      </c>
      <c r="AN257" s="29">
        <v>0</v>
      </c>
      <c r="AO257" s="29">
        <f>88000+1920</f>
        <v>89920</v>
      </c>
      <c r="AP257" s="29">
        <v>0</v>
      </c>
      <c r="AQ257" s="29">
        <v>0</v>
      </c>
      <c r="AR257" s="29">
        <v>0</v>
      </c>
      <c r="AS257" s="29">
        <v>0</v>
      </c>
      <c r="AT257" s="29">
        <v>0</v>
      </c>
      <c r="AU257" s="29">
        <v>0</v>
      </c>
      <c r="AV257" s="29">
        <v>0</v>
      </c>
      <c r="AW257" s="29">
        <v>0</v>
      </c>
      <c r="AX257" s="29">
        <v>0</v>
      </c>
      <c r="AY257" s="29">
        <v>0</v>
      </c>
      <c r="AZ257" s="29">
        <v>0</v>
      </c>
      <c r="BA257" s="29">
        <v>0</v>
      </c>
      <c r="BB257" s="29">
        <v>0</v>
      </c>
      <c r="BC257" s="29">
        <v>20000</v>
      </c>
      <c r="BD257" s="24">
        <f t="shared" ref="BD257:BD282" si="629">SUM(BE257+BI257+BM257+BO257+BR257)</f>
        <v>0</v>
      </c>
      <c r="BE257" s="24">
        <f t="shared" ref="BE257:BE282" si="630">SUM(BF257:BH257)</f>
        <v>0</v>
      </c>
      <c r="BF257" s="24">
        <v>0</v>
      </c>
      <c r="BG257" s="24">
        <v>0</v>
      </c>
      <c r="BH257" s="24">
        <v>0</v>
      </c>
      <c r="BI257" s="24">
        <f t="shared" ref="BI257:BI282" si="631">SUM(BL257:BL257)</f>
        <v>0</v>
      </c>
      <c r="BJ257" s="24">
        <v>0</v>
      </c>
      <c r="BK257" s="24">
        <v>0</v>
      </c>
      <c r="BL257" s="24">
        <v>0</v>
      </c>
      <c r="BM257" s="24">
        <v>0</v>
      </c>
      <c r="BN257" s="24">
        <v>0</v>
      </c>
      <c r="BO257" s="24">
        <f t="shared" si="507"/>
        <v>0</v>
      </c>
      <c r="BP257" s="24">
        <v>0</v>
      </c>
      <c r="BQ257" s="24">
        <v>0</v>
      </c>
      <c r="BR257" s="24">
        <f t="shared" ref="BR257:BR282" si="632">SUM(BS257:CC257)</f>
        <v>0</v>
      </c>
      <c r="BS257" s="24">
        <v>0</v>
      </c>
      <c r="BT257" s="24">
        <v>0</v>
      </c>
      <c r="BU257" s="24">
        <v>0</v>
      </c>
      <c r="BV257" s="24">
        <v>0</v>
      </c>
      <c r="BW257" s="24">
        <v>0</v>
      </c>
      <c r="BX257" s="24">
        <v>0</v>
      </c>
      <c r="BY257" s="24">
        <v>0</v>
      </c>
      <c r="BZ257" s="24">
        <v>0</v>
      </c>
      <c r="CA257" s="24">
        <v>0</v>
      </c>
      <c r="CB257" s="24">
        <v>0</v>
      </c>
      <c r="CC257" s="24">
        <v>0</v>
      </c>
      <c r="CD257" s="24">
        <f t="shared" ref="CD257:CD282" si="633">SUM(CE257+CV257)</f>
        <v>0</v>
      </c>
      <c r="CE257" s="24">
        <f t="shared" ref="CE257:CE282" si="634">SUM(CF257+CI257+CN257)</f>
        <v>0</v>
      </c>
      <c r="CF257" s="24">
        <f t="shared" si="508"/>
        <v>0</v>
      </c>
      <c r="CG257" s="30"/>
      <c r="CH257" s="29">
        <v>0</v>
      </c>
      <c r="CI257" s="24">
        <f t="shared" ref="CI257:CI282" si="635">SUM(CJ257:CM257)</f>
        <v>0</v>
      </c>
      <c r="CJ257" s="24">
        <v>0</v>
      </c>
      <c r="CK257" s="24">
        <v>0</v>
      </c>
      <c r="CL257" s="24">
        <v>0</v>
      </c>
      <c r="CM257" s="24">
        <v>0</v>
      </c>
      <c r="CN257" s="24">
        <f t="shared" ref="CN257:CN282" si="636">SUM(CO257:CS257)</f>
        <v>0</v>
      </c>
      <c r="CO257" s="62">
        <v>0</v>
      </c>
      <c r="CP257" s="62">
        <v>0</v>
      </c>
      <c r="CQ257" s="24">
        <v>0</v>
      </c>
      <c r="CR257" s="24"/>
      <c r="CS257" s="24"/>
      <c r="CT257" s="24">
        <v>0</v>
      </c>
      <c r="CU257" s="24">
        <v>0</v>
      </c>
      <c r="CV257" s="24">
        <v>0</v>
      </c>
      <c r="CW257" s="24">
        <f t="shared" si="509"/>
        <v>0</v>
      </c>
      <c r="CX257" s="24">
        <f t="shared" si="510"/>
        <v>0</v>
      </c>
      <c r="CY257" s="24">
        <v>0</v>
      </c>
      <c r="CZ257" s="25">
        <v>0</v>
      </c>
    </row>
    <row r="258" spans="1:104" ht="31.2" x14ac:dyDescent="0.3">
      <c r="A258" s="26" t="s">
        <v>1</v>
      </c>
      <c r="B258" s="27" t="s">
        <v>1</v>
      </c>
      <c r="C258" s="27" t="s">
        <v>84</v>
      </c>
      <c r="D258" s="28" t="s">
        <v>357</v>
      </c>
      <c r="E258" s="23">
        <f t="shared" si="624"/>
        <v>434422</v>
      </c>
      <c r="F258" s="24">
        <f t="shared" si="625"/>
        <v>399130</v>
      </c>
      <c r="G258" s="24">
        <f t="shared" si="626"/>
        <v>399130</v>
      </c>
      <c r="H258" s="29">
        <v>0</v>
      </c>
      <c r="I258" s="29">
        <v>0</v>
      </c>
      <c r="J258" s="24">
        <f t="shared" si="504"/>
        <v>131410</v>
      </c>
      <c r="K258" s="29">
        <v>0</v>
      </c>
      <c r="L258" s="29">
        <v>0</v>
      </c>
      <c r="M258" s="29">
        <v>41062</v>
      </c>
      <c r="N258" s="29">
        <v>0</v>
      </c>
      <c r="O258" s="29">
        <v>12000</v>
      </c>
      <c r="P258" s="29">
        <f>15156+236+5148+17808+40000</f>
        <v>78348</v>
      </c>
      <c r="Q258" s="24">
        <f t="shared" si="505"/>
        <v>0</v>
      </c>
      <c r="R258" s="29">
        <v>0</v>
      </c>
      <c r="S258" s="29">
        <v>0</v>
      </c>
      <c r="T258" s="29">
        <v>0</v>
      </c>
      <c r="U258" s="29">
        <v>0</v>
      </c>
      <c r="V258" s="24">
        <f t="shared" si="627"/>
        <v>17000</v>
      </c>
      <c r="W258" s="29">
        <f>7000+10000</f>
        <v>17000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4">
        <f t="shared" si="628"/>
        <v>250720</v>
      </c>
      <c r="AG258" s="30"/>
      <c r="AH258" s="30"/>
      <c r="AI258" s="29">
        <v>2000</v>
      </c>
      <c r="AJ258" s="29">
        <v>2000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f>131610+115110</f>
        <v>246720</v>
      </c>
      <c r="BD258" s="24">
        <f t="shared" si="629"/>
        <v>0</v>
      </c>
      <c r="BE258" s="24">
        <f t="shared" si="630"/>
        <v>0</v>
      </c>
      <c r="BF258" s="24">
        <v>0</v>
      </c>
      <c r="BG258" s="24">
        <v>0</v>
      </c>
      <c r="BH258" s="24">
        <v>0</v>
      </c>
      <c r="BI258" s="24">
        <f t="shared" si="631"/>
        <v>0</v>
      </c>
      <c r="BJ258" s="24">
        <v>0</v>
      </c>
      <c r="BK258" s="24">
        <v>0</v>
      </c>
      <c r="BL258" s="24">
        <v>0</v>
      </c>
      <c r="BM258" s="24">
        <v>0</v>
      </c>
      <c r="BN258" s="24">
        <v>0</v>
      </c>
      <c r="BO258" s="24">
        <f t="shared" si="507"/>
        <v>0</v>
      </c>
      <c r="BP258" s="24">
        <v>0</v>
      </c>
      <c r="BQ258" s="24">
        <v>0</v>
      </c>
      <c r="BR258" s="24">
        <f t="shared" si="632"/>
        <v>0</v>
      </c>
      <c r="BS258" s="24">
        <v>0</v>
      </c>
      <c r="BT258" s="24">
        <v>0</v>
      </c>
      <c r="BU258" s="24">
        <v>0</v>
      </c>
      <c r="BV258" s="24">
        <v>0</v>
      </c>
      <c r="BW258" s="24">
        <v>0</v>
      </c>
      <c r="BX258" s="24">
        <v>0</v>
      </c>
      <c r="BY258" s="24">
        <v>0</v>
      </c>
      <c r="BZ258" s="24">
        <v>0</v>
      </c>
      <c r="CA258" s="24">
        <v>0</v>
      </c>
      <c r="CB258" s="24">
        <v>0</v>
      </c>
      <c r="CC258" s="24">
        <v>0</v>
      </c>
      <c r="CD258" s="24">
        <f t="shared" si="633"/>
        <v>35292</v>
      </c>
      <c r="CE258" s="24">
        <f t="shared" si="634"/>
        <v>35292</v>
      </c>
      <c r="CF258" s="24">
        <f t="shared" si="508"/>
        <v>35292</v>
      </c>
      <c r="CG258" s="30"/>
      <c r="CH258" s="29">
        <f>0+35292</f>
        <v>35292</v>
      </c>
      <c r="CI258" s="24">
        <f t="shared" si="635"/>
        <v>0</v>
      </c>
      <c r="CJ258" s="24">
        <v>0</v>
      </c>
      <c r="CK258" s="24">
        <v>0</v>
      </c>
      <c r="CL258" s="24">
        <v>0</v>
      </c>
      <c r="CM258" s="24">
        <v>0</v>
      </c>
      <c r="CN258" s="24">
        <f t="shared" si="636"/>
        <v>0</v>
      </c>
      <c r="CO258" s="62">
        <v>0</v>
      </c>
      <c r="CP258" s="62">
        <v>0</v>
      </c>
      <c r="CQ258" s="24">
        <v>0</v>
      </c>
      <c r="CR258" s="24"/>
      <c r="CS258" s="24"/>
      <c r="CT258" s="24">
        <v>0</v>
      </c>
      <c r="CU258" s="24">
        <v>0</v>
      </c>
      <c r="CV258" s="24">
        <v>0</v>
      </c>
      <c r="CW258" s="24">
        <f t="shared" si="509"/>
        <v>0</v>
      </c>
      <c r="CX258" s="24">
        <f t="shared" si="510"/>
        <v>0</v>
      </c>
      <c r="CY258" s="24">
        <v>0</v>
      </c>
      <c r="CZ258" s="25">
        <v>0</v>
      </c>
    </row>
    <row r="259" spans="1:104" ht="31.2" x14ac:dyDescent="0.3">
      <c r="A259" s="26" t="s">
        <v>1</v>
      </c>
      <c r="B259" s="27" t="s">
        <v>1</v>
      </c>
      <c r="C259" s="27" t="s">
        <v>86</v>
      </c>
      <c r="D259" s="28" t="s">
        <v>358</v>
      </c>
      <c r="E259" s="23">
        <f t="shared" si="624"/>
        <v>6022687</v>
      </c>
      <c r="F259" s="24">
        <f t="shared" si="625"/>
        <v>5972909</v>
      </c>
      <c r="G259" s="24">
        <f t="shared" si="626"/>
        <v>5972909</v>
      </c>
      <c r="H259" s="29">
        <f>3811227+430000</f>
        <v>4241227</v>
      </c>
      <c r="I259" s="29">
        <f>902899+135662</f>
        <v>1038561</v>
      </c>
      <c r="J259" s="24">
        <f>SUM(K259:P259)</f>
        <v>349859</v>
      </c>
      <c r="K259" s="29">
        <v>1450</v>
      </c>
      <c r="L259" s="29">
        <v>1000</v>
      </c>
      <c r="M259" s="29">
        <f>110290+3000</f>
        <v>113290</v>
      </c>
      <c r="N259" s="29">
        <v>0</v>
      </c>
      <c r="O259" s="29">
        <v>18758</v>
      </c>
      <c r="P259" s="29">
        <f>176691+38670</f>
        <v>215361</v>
      </c>
      <c r="Q259" s="24">
        <f>SUM(R259:S259)</f>
        <v>7147</v>
      </c>
      <c r="R259" s="29">
        <v>3646</v>
      </c>
      <c r="S259" s="29">
        <v>3501</v>
      </c>
      <c r="T259" s="29">
        <v>0</v>
      </c>
      <c r="U259" s="29">
        <f>9700+8000</f>
        <v>17700</v>
      </c>
      <c r="V259" s="24">
        <f t="shared" si="627"/>
        <v>177561</v>
      </c>
      <c r="W259" s="29">
        <v>10588</v>
      </c>
      <c r="X259" s="29">
        <f>122292+569</f>
        <v>122861</v>
      </c>
      <c r="Y259" s="29">
        <v>23239</v>
      </c>
      <c r="Z259" s="29">
        <v>13683</v>
      </c>
      <c r="AA259" s="29">
        <v>6960</v>
      </c>
      <c r="AB259" s="29">
        <v>0</v>
      </c>
      <c r="AC259" s="29">
        <v>0</v>
      </c>
      <c r="AD259" s="29">
        <v>230</v>
      </c>
      <c r="AE259" s="29">
        <v>0</v>
      </c>
      <c r="AF259" s="24">
        <f t="shared" si="628"/>
        <v>140854</v>
      </c>
      <c r="AG259" s="30"/>
      <c r="AH259" s="30"/>
      <c r="AI259" s="29">
        <f>1671+3000</f>
        <v>4671</v>
      </c>
      <c r="AJ259" s="29">
        <v>37318</v>
      </c>
      <c r="AK259" s="29">
        <v>2870</v>
      </c>
      <c r="AL259" s="29">
        <v>20864</v>
      </c>
      <c r="AM259" s="29">
        <v>0</v>
      </c>
      <c r="AN259" s="29">
        <v>2347</v>
      </c>
      <c r="AO259" s="29">
        <f>14244+2500</f>
        <v>16744</v>
      </c>
      <c r="AP259" s="29">
        <v>0</v>
      </c>
      <c r="AQ259" s="29">
        <v>0</v>
      </c>
      <c r="AR259" s="29">
        <v>0</v>
      </c>
      <c r="AS259" s="29">
        <v>0</v>
      </c>
      <c r="AT259" s="29">
        <v>0</v>
      </c>
      <c r="AU259" s="29">
        <v>41640</v>
      </c>
      <c r="AV259" s="29">
        <v>0</v>
      </c>
      <c r="AW259" s="29">
        <v>0</v>
      </c>
      <c r="AX259" s="29">
        <v>0</v>
      </c>
      <c r="AY259" s="29">
        <v>0</v>
      </c>
      <c r="AZ259" s="29">
        <v>0</v>
      </c>
      <c r="BA259" s="29">
        <v>0</v>
      </c>
      <c r="BB259" s="29">
        <v>0</v>
      </c>
      <c r="BC259" s="29">
        <v>14400</v>
      </c>
      <c r="BD259" s="24">
        <f t="shared" si="629"/>
        <v>0</v>
      </c>
      <c r="BE259" s="24">
        <f t="shared" si="630"/>
        <v>0</v>
      </c>
      <c r="BF259" s="24">
        <v>0</v>
      </c>
      <c r="BG259" s="24">
        <v>0</v>
      </c>
      <c r="BH259" s="24">
        <v>0</v>
      </c>
      <c r="BI259" s="24">
        <f t="shared" si="631"/>
        <v>0</v>
      </c>
      <c r="BJ259" s="24">
        <v>0</v>
      </c>
      <c r="BK259" s="24">
        <v>0</v>
      </c>
      <c r="BL259" s="24">
        <v>0</v>
      </c>
      <c r="BM259" s="24">
        <v>0</v>
      </c>
      <c r="BN259" s="24">
        <v>0</v>
      </c>
      <c r="BO259" s="24">
        <f>SUM(BP259)</f>
        <v>0</v>
      </c>
      <c r="BP259" s="24">
        <v>0</v>
      </c>
      <c r="BQ259" s="24">
        <v>0</v>
      </c>
      <c r="BR259" s="24">
        <f t="shared" si="632"/>
        <v>0</v>
      </c>
      <c r="BS259" s="24">
        <v>0</v>
      </c>
      <c r="BT259" s="24">
        <v>0</v>
      </c>
      <c r="BU259" s="24">
        <v>0</v>
      </c>
      <c r="BV259" s="24">
        <v>0</v>
      </c>
      <c r="BW259" s="24">
        <v>0</v>
      </c>
      <c r="BX259" s="24">
        <v>0</v>
      </c>
      <c r="BY259" s="24">
        <v>0</v>
      </c>
      <c r="BZ259" s="24">
        <v>0</v>
      </c>
      <c r="CA259" s="24">
        <v>0</v>
      </c>
      <c r="CB259" s="24">
        <v>0</v>
      </c>
      <c r="CC259" s="24">
        <v>0</v>
      </c>
      <c r="CD259" s="24">
        <f t="shared" si="633"/>
        <v>49778</v>
      </c>
      <c r="CE259" s="24">
        <f t="shared" si="634"/>
        <v>49778</v>
      </c>
      <c r="CF259" s="24">
        <f>SUM(CG259:CH259)</f>
        <v>49778</v>
      </c>
      <c r="CG259" s="30"/>
      <c r="CH259" s="29">
        <f>30000+19778</f>
        <v>49778</v>
      </c>
      <c r="CI259" s="24">
        <f t="shared" si="635"/>
        <v>0</v>
      </c>
      <c r="CJ259" s="24">
        <v>0</v>
      </c>
      <c r="CK259" s="24">
        <v>0</v>
      </c>
      <c r="CL259" s="24">
        <v>0</v>
      </c>
      <c r="CM259" s="24">
        <v>0</v>
      </c>
      <c r="CN259" s="24">
        <f t="shared" si="636"/>
        <v>0</v>
      </c>
      <c r="CO259" s="62">
        <v>0</v>
      </c>
      <c r="CP259" s="62">
        <v>0</v>
      </c>
      <c r="CQ259" s="24">
        <v>0</v>
      </c>
      <c r="CR259" s="24"/>
      <c r="CS259" s="24"/>
      <c r="CT259" s="24">
        <v>0</v>
      </c>
      <c r="CU259" s="24">
        <v>0</v>
      </c>
      <c r="CV259" s="24">
        <v>0</v>
      </c>
      <c r="CW259" s="24">
        <f>SUM(CX259)</f>
        <v>0</v>
      </c>
      <c r="CX259" s="24">
        <f>SUM(CY259:CZ259)</f>
        <v>0</v>
      </c>
      <c r="CY259" s="24">
        <v>0</v>
      </c>
      <c r="CZ259" s="25">
        <v>0</v>
      </c>
    </row>
    <row r="260" spans="1:104" ht="31.2" x14ac:dyDescent="0.3">
      <c r="A260" s="26" t="s">
        <v>1</v>
      </c>
      <c r="B260" s="27" t="s">
        <v>1</v>
      </c>
      <c r="C260" s="27" t="s">
        <v>86</v>
      </c>
      <c r="D260" s="28" t="s">
        <v>359</v>
      </c>
      <c r="E260" s="23">
        <f t="shared" si="624"/>
        <v>32954027</v>
      </c>
      <c r="F260" s="24">
        <f t="shared" si="625"/>
        <v>31200711</v>
      </c>
      <c r="G260" s="24">
        <f t="shared" si="626"/>
        <v>31200711</v>
      </c>
      <c r="H260" s="29">
        <f>10019150+38400</f>
        <v>10057550</v>
      </c>
      <c r="I260" s="29">
        <f>2504788+9600</f>
        <v>2514388</v>
      </c>
      <c r="J260" s="24">
        <f t="shared" si="504"/>
        <v>11662838</v>
      </c>
      <c r="K260" s="29">
        <f>6491815+10000</f>
        <v>6501815</v>
      </c>
      <c r="L260" s="29">
        <v>204891</v>
      </c>
      <c r="M260" s="29">
        <v>268094</v>
      </c>
      <c r="N260" s="29">
        <v>0</v>
      </c>
      <c r="O260" s="29">
        <f>969323+24382</f>
        <v>993705</v>
      </c>
      <c r="P260" s="29">
        <f>3053501+640832</f>
        <v>3694333</v>
      </c>
      <c r="Q260" s="24">
        <f t="shared" si="505"/>
        <v>61482</v>
      </c>
      <c r="R260" s="29">
        <v>7716</v>
      </c>
      <c r="S260" s="29">
        <v>53766</v>
      </c>
      <c r="T260" s="29">
        <v>6112</v>
      </c>
      <c r="U260" s="29">
        <f>190358+1000</f>
        <v>191358</v>
      </c>
      <c r="V260" s="24">
        <f t="shared" si="627"/>
        <v>1883574</v>
      </c>
      <c r="W260" s="29">
        <v>844439</v>
      </c>
      <c r="X260" s="29">
        <f>359964+1819</f>
        <v>361783</v>
      </c>
      <c r="Y260" s="29">
        <v>204294</v>
      </c>
      <c r="Z260" s="29">
        <v>231315</v>
      </c>
      <c r="AA260" s="29">
        <v>229355</v>
      </c>
      <c r="AB260" s="29">
        <v>0</v>
      </c>
      <c r="AC260" s="29">
        <v>0</v>
      </c>
      <c r="AD260" s="29">
        <f>10103+2285</f>
        <v>12388</v>
      </c>
      <c r="AE260" s="29">
        <v>0</v>
      </c>
      <c r="AF260" s="24">
        <f t="shared" si="628"/>
        <v>4823409</v>
      </c>
      <c r="AG260" s="30"/>
      <c r="AH260" s="30"/>
      <c r="AI260" s="29">
        <f>1287201+22116</f>
        <v>1309317</v>
      </c>
      <c r="AJ260" s="29">
        <f>1383250+1</f>
        <v>1383251</v>
      </c>
      <c r="AK260" s="29">
        <v>0</v>
      </c>
      <c r="AL260" s="29">
        <v>102132</v>
      </c>
      <c r="AM260" s="29">
        <v>0</v>
      </c>
      <c r="AN260" s="29">
        <v>62458</v>
      </c>
      <c r="AO260" s="29">
        <v>684324</v>
      </c>
      <c r="AP260" s="29">
        <v>0</v>
      </c>
      <c r="AQ260" s="29">
        <v>0</v>
      </c>
      <c r="AR260" s="29"/>
      <c r="AS260" s="29">
        <v>0</v>
      </c>
      <c r="AT260" s="29">
        <v>526815</v>
      </c>
      <c r="AU260" s="29">
        <f>53035+6188</f>
        <v>59223</v>
      </c>
      <c r="AV260" s="29">
        <v>0</v>
      </c>
      <c r="AW260" s="29">
        <v>5737</v>
      </c>
      <c r="AX260" s="29">
        <v>42060</v>
      </c>
      <c r="AY260" s="29">
        <v>0</v>
      </c>
      <c r="AZ260" s="29">
        <v>0</v>
      </c>
      <c r="BA260" s="29">
        <v>0</v>
      </c>
      <c r="BB260" s="29">
        <v>0</v>
      </c>
      <c r="BC260" s="29">
        <f>636266+11826</f>
        <v>648092</v>
      </c>
      <c r="BD260" s="24">
        <f t="shared" si="629"/>
        <v>0</v>
      </c>
      <c r="BE260" s="24">
        <f t="shared" si="630"/>
        <v>0</v>
      </c>
      <c r="BF260" s="24">
        <v>0</v>
      </c>
      <c r="BG260" s="24">
        <v>0</v>
      </c>
      <c r="BH260" s="24">
        <v>0</v>
      </c>
      <c r="BI260" s="24">
        <f t="shared" si="631"/>
        <v>0</v>
      </c>
      <c r="BJ260" s="24">
        <v>0</v>
      </c>
      <c r="BK260" s="24">
        <v>0</v>
      </c>
      <c r="BL260" s="24">
        <v>0</v>
      </c>
      <c r="BM260" s="24">
        <v>0</v>
      </c>
      <c r="BN260" s="24">
        <v>0</v>
      </c>
      <c r="BO260" s="24">
        <f t="shared" si="507"/>
        <v>0</v>
      </c>
      <c r="BP260" s="24">
        <v>0</v>
      </c>
      <c r="BQ260" s="24">
        <v>0</v>
      </c>
      <c r="BR260" s="24">
        <f t="shared" si="632"/>
        <v>0</v>
      </c>
      <c r="BS260" s="24">
        <v>0</v>
      </c>
      <c r="BT260" s="24">
        <v>0</v>
      </c>
      <c r="BU260" s="24">
        <v>0</v>
      </c>
      <c r="BV260" s="24">
        <v>0</v>
      </c>
      <c r="BW260" s="24">
        <v>0</v>
      </c>
      <c r="BX260" s="24">
        <v>0</v>
      </c>
      <c r="BY260" s="24">
        <v>0</v>
      </c>
      <c r="BZ260" s="24">
        <v>0</v>
      </c>
      <c r="CA260" s="24">
        <v>0</v>
      </c>
      <c r="CB260" s="24">
        <v>0</v>
      </c>
      <c r="CC260" s="24">
        <v>0</v>
      </c>
      <c r="CD260" s="24">
        <f t="shared" si="633"/>
        <v>1753316</v>
      </c>
      <c r="CE260" s="24">
        <f t="shared" si="634"/>
        <v>1753316</v>
      </c>
      <c r="CF260" s="24">
        <f t="shared" si="508"/>
        <v>1215906</v>
      </c>
      <c r="CG260" s="30"/>
      <c r="CH260" s="29">
        <v>1215906</v>
      </c>
      <c r="CI260" s="24">
        <f t="shared" si="635"/>
        <v>0</v>
      </c>
      <c r="CJ260" s="24">
        <v>0</v>
      </c>
      <c r="CK260" s="24">
        <v>0</v>
      </c>
      <c r="CL260" s="24">
        <v>0</v>
      </c>
      <c r="CM260" s="24">
        <v>0</v>
      </c>
      <c r="CN260" s="24">
        <f t="shared" si="636"/>
        <v>537410</v>
      </c>
      <c r="CO260" s="62"/>
      <c r="CP260" s="62">
        <v>537410</v>
      </c>
      <c r="CQ260" s="24">
        <v>0</v>
      </c>
      <c r="CR260" s="24"/>
      <c r="CS260" s="24"/>
      <c r="CT260" s="24">
        <v>0</v>
      </c>
      <c r="CU260" s="24">
        <v>0</v>
      </c>
      <c r="CV260" s="24">
        <v>0</v>
      </c>
      <c r="CW260" s="24">
        <f t="shared" si="509"/>
        <v>0</v>
      </c>
      <c r="CX260" s="24">
        <f t="shared" si="510"/>
        <v>0</v>
      </c>
      <c r="CY260" s="24">
        <v>0</v>
      </c>
      <c r="CZ260" s="25">
        <v>0</v>
      </c>
    </row>
    <row r="261" spans="1:104" ht="31.2" x14ac:dyDescent="0.3">
      <c r="A261" s="26" t="s">
        <v>1</v>
      </c>
      <c r="B261" s="27" t="s">
        <v>1</v>
      </c>
      <c r="C261" s="27" t="s">
        <v>86</v>
      </c>
      <c r="D261" s="28" t="s">
        <v>360</v>
      </c>
      <c r="E261" s="23">
        <f t="shared" si="624"/>
        <v>32010497</v>
      </c>
      <c r="F261" s="24">
        <f t="shared" si="625"/>
        <v>30214115</v>
      </c>
      <c r="G261" s="24">
        <f t="shared" si="626"/>
        <v>30214115</v>
      </c>
      <c r="H261" s="29">
        <v>9625009</v>
      </c>
      <c r="I261" s="29">
        <v>2406264</v>
      </c>
      <c r="J261" s="24">
        <f t="shared" si="504"/>
        <v>12486204</v>
      </c>
      <c r="K261" s="29">
        <f>8022427+65444</f>
        <v>8087871</v>
      </c>
      <c r="L261" s="29">
        <v>100489</v>
      </c>
      <c r="M261" s="29">
        <v>12000</v>
      </c>
      <c r="N261" s="29">
        <v>0</v>
      </c>
      <c r="O261" s="29">
        <f>451746+5000</f>
        <v>456746</v>
      </c>
      <c r="P261" s="29">
        <f>3427901+405697-4500</f>
        <v>3829098</v>
      </c>
      <c r="Q261" s="24">
        <f t="shared" si="505"/>
        <v>2224</v>
      </c>
      <c r="R261" s="29">
        <v>2224</v>
      </c>
      <c r="S261" s="29">
        <v>0</v>
      </c>
      <c r="T261" s="29">
        <v>29760</v>
      </c>
      <c r="U261" s="29">
        <v>143376</v>
      </c>
      <c r="V261" s="24">
        <f t="shared" si="627"/>
        <v>1601520</v>
      </c>
      <c r="W261" s="29">
        <f>740600+30000</f>
        <v>770600</v>
      </c>
      <c r="X261" s="29">
        <f>358100+3311</f>
        <v>361411</v>
      </c>
      <c r="Y261" s="29">
        <f>171037+10464</f>
        <v>181501</v>
      </c>
      <c r="Z261" s="29">
        <f>107190+1734</f>
        <v>108924</v>
      </c>
      <c r="AA261" s="29">
        <v>113686</v>
      </c>
      <c r="AB261" s="29">
        <v>60000</v>
      </c>
      <c r="AC261" s="29">
        <v>0</v>
      </c>
      <c r="AD261" s="29">
        <f>5298+100</f>
        <v>5398</v>
      </c>
      <c r="AE261" s="29">
        <v>0</v>
      </c>
      <c r="AF261" s="24">
        <f t="shared" si="628"/>
        <v>3919758</v>
      </c>
      <c r="AG261" s="30"/>
      <c r="AH261" s="30"/>
      <c r="AI261" s="29">
        <v>531871</v>
      </c>
      <c r="AJ261" s="29">
        <f>1865830+33525</f>
        <v>1899355</v>
      </c>
      <c r="AK261" s="29">
        <v>0</v>
      </c>
      <c r="AL261" s="29">
        <v>117535</v>
      </c>
      <c r="AM261" s="29">
        <v>0</v>
      </c>
      <c r="AN261" s="29">
        <v>14600</v>
      </c>
      <c r="AO261" s="29">
        <v>381700</v>
      </c>
      <c r="AP261" s="29">
        <v>0</v>
      </c>
      <c r="AQ261" s="29">
        <v>2000</v>
      </c>
      <c r="AR261" s="29">
        <f>0+4500</f>
        <v>4500</v>
      </c>
      <c r="AS261" s="29">
        <v>0</v>
      </c>
      <c r="AT261" s="29">
        <v>50000</v>
      </c>
      <c r="AU261" s="29">
        <f>142360+2000</f>
        <v>144360</v>
      </c>
      <c r="AV261" s="29">
        <v>0</v>
      </c>
      <c r="AW261" s="29">
        <v>0</v>
      </c>
      <c r="AX261" s="29">
        <v>18231</v>
      </c>
      <c r="AY261" s="29">
        <v>0</v>
      </c>
      <c r="AZ261" s="29">
        <v>0</v>
      </c>
      <c r="BA261" s="29">
        <v>0</v>
      </c>
      <c r="BB261" s="29">
        <v>0</v>
      </c>
      <c r="BC261" s="29">
        <f>675606+80000</f>
        <v>755606</v>
      </c>
      <c r="BD261" s="24">
        <f t="shared" si="629"/>
        <v>0</v>
      </c>
      <c r="BE261" s="24">
        <f t="shared" si="630"/>
        <v>0</v>
      </c>
      <c r="BF261" s="24">
        <v>0</v>
      </c>
      <c r="BG261" s="24">
        <v>0</v>
      </c>
      <c r="BH261" s="24">
        <v>0</v>
      </c>
      <c r="BI261" s="24">
        <f t="shared" si="631"/>
        <v>0</v>
      </c>
      <c r="BJ261" s="24">
        <v>0</v>
      </c>
      <c r="BK261" s="24">
        <v>0</v>
      </c>
      <c r="BL261" s="24">
        <v>0</v>
      </c>
      <c r="BM261" s="24">
        <v>0</v>
      </c>
      <c r="BN261" s="24">
        <v>0</v>
      </c>
      <c r="BO261" s="24">
        <f t="shared" si="507"/>
        <v>0</v>
      </c>
      <c r="BP261" s="24">
        <v>0</v>
      </c>
      <c r="BQ261" s="24">
        <v>0</v>
      </c>
      <c r="BR261" s="24">
        <f t="shared" si="632"/>
        <v>0</v>
      </c>
      <c r="BS261" s="24">
        <v>0</v>
      </c>
      <c r="BT261" s="24">
        <v>0</v>
      </c>
      <c r="BU261" s="24">
        <v>0</v>
      </c>
      <c r="BV261" s="24">
        <v>0</v>
      </c>
      <c r="BW261" s="24">
        <v>0</v>
      </c>
      <c r="BX261" s="24">
        <v>0</v>
      </c>
      <c r="BY261" s="24">
        <v>0</v>
      </c>
      <c r="BZ261" s="24">
        <v>0</v>
      </c>
      <c r="CA261" s="24">
        <v>0</v>
      </c>
      <c r="CB261" s="24">
        <v>0</v>
      </c>
      <c r="CC261" s="24">
        <v>0</v>
      </c>
      <c r="CD261" s="24">
        <f t="shared" si="633"/>
        <v>1796382</v>
      </c>
      <c r="CE261" s="24">
        <f t="shared" si="634"/>
        <v>1796382</v>
      </c>
      <c r="CF261" s="24">
        <f t="shared" si="508"/>
        <v>1736382</v>
      </c>
      <c r="CG261" s="30"/>
      <c r="CH261" s="29">
        <f>1636382+100000</f>
        <v>1736382</v>
      </c>
      <c r="CI261" s="24">
        <f t="shared" si="635"/>
        <v>0</v>
      </c>
      <c r="CJ261" s="24">
        <v>0</v>
      </c>
      <c r="CK261" s="24">
        <v>0</v>
      </c>
      <c r="CL261" s="24">
        <v>0</v>
      </c>
      <c r="CM261" s="24">
        <v>0</v>
      </c>
      <c r="CN261" s="24">
        <f t="shared" si="636"/>
        <v>60000</v>
      </c>
      <c r="CO261" s="62"/>
      <c r="CP261" s="62">
        <v>60000</v>
      </c>
      <c r="CQ261" s="24">
        <v>0</v>
      </c>
      <c r="CR261" s="24"/>
      <c r="CS261" s="24"/>
      <c r="CT261" s="24"/>
      <c r="CU261" s="24"/>
      <c r="CV261" s="24">
        <v>0</v>
      </c>
      <c r="CW261" s="24">
        <f t="shared" si="509"/>
        <v>0</v>
      </c>
      <c r="CX261" s="24">
        <f t="shared" si="510"/>
        <v>0</v>
      </c>
      <c r="CY261" s="24">
        <v>0</v>
      </c>
      <c r="CZ261" s="25">
        <v>0</v>
      </c>
    </row>
    <row r="262" spans="1:104" ht="15.6" x14ac:dyDescent="0.3">
      <c r="A262" s="26" t="s">
        <v>1</v>
      </c>
      <c r="B262" s="27" t="s">
        <v>1</v>
      </c>
      <c r="C262" s="27" t="s">
        <v>86</v>
      </c>
      <c r="D262" s="28" t="s">
        <v>361</v>
      </c>
      <c r="E262" s="23">
        <f t="shared" si="624"/>
        <v>7999242</v>
      </c>
      <c r="F262" s="24">
        <f t="shared" si="625"/>
        <v>7555734</v>
      </c>
      <c r="G262" s="24">
        <f t="shared" si="626"/>
        <v>7555734</v>
      </c>
      <c r="H262" s="29">
        <f>2213758+5355+76522</f>
        <v>2295635</v>
      </c>
      <c r="I262" s="29">
        <f>553439+1231+19130</f>
        <v>573800</v>
      </c>
      <c r="J262" s="24">
        <f t="shared" si="504"/>
        <v>2896232</v>
      </c>
      <c r="K262" s="29">
        <f>742604+25000+8000</f>
        <v>775604</v>
      </c>
      <c r="L262" s="29">
        <f>30868+4000</f>
        <v>34868</v>
      </c>
      <c r="M262" s="29">
        <v>64400</v>
      </c>
      <c r="N262" s="29">
        <v>0</v>
      </c>
      <c r="O262" s="29">
        <f>443094+48804</f>
        <v>491898</v>
      </c>
      <c r="P262" s="29">
        <f>892939+636523</f>
        <v>1529462</v>
      </c>
      <c r="Q262" s="24">
        <f t="shared" si="505"/>
        <v>31110</v>
      </c>
      <c r="R262" s="29">
        <v>26510</v>
      </c>
      <c r="S262" s="29">
        <v>4600</v>
      </c>
      <c r="T262" s="29">
        <v>0</v>
      </c>
      <c r="U262" s="29">
        <f>65602+5000</f>
        <v>70602</v>
      </c>
      <c r="V262" s="24">
        <f t="shared" si="627"/>
        <v>327140</v>
      </c>
      <c r="W262" s="29">
        <v>35041</v>
      </c>
      <c r="X262" s="29">
        <f>100027+106</f>
        <v>100133</v>
      </c>
      <c r="Y262" s="29">
        <v>134611</v>
      </c>
      <c r="Z262" s="29">
        <v>41776</v>
      </c>
      <c r="AA262" s="29">
        <v>11244</v>
      </c>
      <c r="AB262" s="29">
        <v>0</v>
      </c>
      <c r="AC262" s="29">
        <v>0</v>
      </c>
      <c r="AD262" s="29">
        <f>4333+2</f>
        <v>4335</v>
      </c>
      <c r="AE262" s="29">
        <v>0</v>
      </c>
      <c r="AF262" s="24">
        <f t="shared" si="628"/>
        <v>1361215</v>
      </c>
      <c r="AG262" s="30"/>
      <c r="AH262" s="30"/>
      <c r="AI262" s="29">
        <v>125289</v>
      </c>
      <c r="AJ262" s="29">
        <f>654031+43803+71478</f>
        <v>769312</v>
      </c>
      <c r="AK262" s="29">
        <v>0</v>
      </c>
      <c r="AL262" s="29">
        <v>50900</v>
      </c>
      <c r="AM262" s="29">
        <v>0</v>
      </c>
      <c r="AN262" s="29">
        <v>1900</v>
      </c>
      <c r="AO262" s="29">
        <v>18032</v>
      </c>
      <c r="AP262" s="29">
        <v>0</v>
      </c>
      <c r="AQ262" s="29">
        <v>0</v>
      </c>
      <c r="AR262" s="29">
        <v>0</v>
      </c>
      <c r="AS262" s="29">
        <v>0</v>
      </c>
      <c r="AT262" s="29">
        <v>5000</v>
      </c>
      <c r="AU262" s="29">
        <v>147212</v>
      </c>
      <c r="AV262" s="29">
        <v>0</v>
      </c>
      <c r="AW262" s="29">
        <v>0</v>
      </c>
      <c r="AX262" s="29">
        <v>0</v>
      </c>
      <c r="AY262" s="29">
        <v>0</v>
      </c>
      <c r="AZ262" s="29">
        <v>0</v>
      </c>
      <c r="BA262" s="29">
        <v>0</v>
      </c>
      <c r="BB262" s="29">
        <v>0</v>
      </c>
      <c r="BC262" s="29">
        <f>237570+6000</f>
        <v>243570</v>
      </c>
      <c r="BD262" s="24">
        <f t="shared" si="629"/>
        <v>0</v>
      </c>
      <c r="BE262" s="24">
        <f t="shared" si="630"/>
        <v>0</v>
      </c>
      <c r="BF262" s="24">
        <v>0</v>
      </c>
      <c r="BG262" s="24">
        <v>0</v>
      </c>
      <c r="BH262" s="24">
        <v>0</v>
      </c>
      <c r="BI262" s="24">
        <f t="shared" si="631"/>
        <v>0</v>
      </c>
      <c r="BJ262" s="24">
        <v>0</v>
      </c>
      <c r="BK262" s="24">
        <v>0</v>
      </c>
      <c r="BL262" s="24">
        <v>0</v>
      </c>
      <c r="BM262" s="24">
        <v>0</v>
      </c>
      <c r="BN262" s="24">
        <v>0</v>
      </c>
      <c r="BO262" s="24">
        <f t="shared" si="507"/>
        <v>0</v>
      </c>
      <c r="BP262" s="24">
        <v>0</v>
      </c>
      <c r="BQ262" s="24">
        <v>0</v>
      </c>
      <c r="BR262" s="24">
        <f t="shared" si="632"/>
        <v>0</v>
      </c>
      <c r="BS262" s="24">
        <v>0</v>
      </c>
      <c r="BT262" s="24">
        <v>0</v>
      </c>
      <c r="BU262" s="24">
        <v>0</v>
      </c>
      <c r="BV262" s="24">
        <v>0</v>
      </c>
      <c r="BW262" s="24">
        <v>0</v>
      </c>
      <c r="BX262" s="24">
        <v>0</v>
      </c>
      <c r="BY262" s="24">
        <v>0</v>
      </c>
      <c r="BZ262" s="24">
        <v>0</v>
      </c>
      <c r="CA262" s="24">
        <v>0</v>
      </c>
      <c r="CB262" s="24">
        <v>0</v>
      </c>
      <c r="CC262" s="24">
        <v>0</v>
      </c>
      <c r="CD262" s="24">
        <f t="shared" si="633"/>
        <v>443508</v>
      </c>
      <c r="CE262" s="24">
        <f t="shared" si="634"/>
        <v>443508</v>
      </c>
      <c r="CF262" s="24">
        <f t="shared" si="508"/>
        <v>443508</v>
      </c>
      <c r="CG262" s="30"/>
      <c r="CH262" s="29">
        <f>325471+58037+60000</f>
        <v>443508</v>
      </c>
      <c r="CI262" s="24">
        <f t="shared" si="635"/>
        <v>0</v>
      </c>
      <c r="CJ262" s="24">
        <v>0</v>
      </c>
      <c r="CK262" s="24">
        <v>0</v>
      </c>
      <c r="CL262" s="24">
        <v>0</v>
      </c>
      <c r="CM262" s="24">
        <v>0</v>
      </c>
      <c r="CN262" s="24">
        <f t="shared" si="636"/>
        <v>0</v>
      </c>
      <c r="CO262" s="62">
        <v>0</v>
      </c>
      <c r="CP262" s="62">
        <v>0</v>
      </c>
      <c r="CQ262" s="24">
        <v>0</v>
      </c>
      <c r="CR262" s="24"/>
      <c r="CS262" s="24"/>
      <c r="CT262" s="24"/>
      <c r="CU262" s="24"/>
      <c r="CV262" s="24">
        <v>0</v>
      </c>
      <c r="CW262" s="24">
        <f t="shared" si="509"/>
        <v>0</v>
      </c>
      <c r="CX262" s="24">
        <f t="shared" si="510"/>
        <v>0</v>
      </c>
      <c r="CY262" s="24">
        <v>0</v>
      </c>
      <c r="CZ262" s="25">
        <v>0</v>
      </c>
    </row>
    <row r="263" spans="1:104" ht="31.2" x14ac:dyDescent="0.3">
      <c r="A263" s="26" t="s">
        <v>1</v>
      </c>
      <c r="B263" s="27" t="s">
        <v>1</v>
      </c>
      <c r="C263" s="27" t="s">
        <v>88</v>
      </c>
      <c r="D263" s="28" t="s">
        <v>362</v>
      </c>
      <c r="E263" s="23">
        <f t="shared" si="624"/>
        <v>9988649</v>
      </c>
      <c r="F263" s="24">
        <f t="shared" si="625"/>
        <v>9563073</v>
      </c>
      <c r="G263" s="24">
        <f t="shared" si="626"/>
        <v>9563073</v>
      </c>
      <c r="H263" s="29">
        <f>3138098+55536</f>
        <v>3193634</v>
      </c>
      <c r="I263" s="29">
        <f>755172+15306</f>
        <v>770478</v>
      </c>
      <c r="J263" s="24">
        <f t="shared" si="504"/>
        <v>2553724</v>
      </c>
      <c r="K263" s="29">
        <v>30745</v>
      </c>
      <c r="L263" s="29">
        <v>19053</v>
      </c>
      <c r="M263" s="29">
        <f>994021+16304</f>
        <v>1010325</v>
      </c>
      <c r="N263" s="29">
        <v>0</v>
      </c>
      <c r="O263" s="29">
        <f>518262+42338</f>
        <v>560600</v>
      </c>
      <c r="P263" s="29">
        <f>733297+199704</f>
        <v>933001</v>
      </c>
      <c r="Q263" s="24">
        <f t="shared" si="505"/>
        <v>26044</v>
      </c>
      <c r="R263" s="29">
        <v>26044</v>
      </c>
      <c r="S263" s="29">
        <v>0</v>
      </c>
      <c r="T263" s="29">
        <v>0</v>
      </c>
      <c r="U263" s="29">
        <f>112358+1848</f>
        <v>114206</v>
      </c>
      <c r="V263" s="24">
        <f t="shared" si="627"/>
        <v>1770025</v>
      </c>
      <c r="W263" s="29">
        <f>132406+64850</f>
        <v>197256</v>
      </c>
      <c r="X263" s="29">
        <f>781599+127012</f>
        <v>908611</v>
      </c>
      <c r="Y263" s="29">
        <f>319495+29385</f>
        <v>348880</v>
      </c>
      <c r="Z263" s="29">
        <f>174198+3840</f>
        <v>178038</v>
      </c>
      <c r="AA263" s="29">
        <f>91398+45587</f>
        <v>136985</v>
      </c>
      <c r="AB263" s="29">
        <v>0</v>
      </c>
      <c r="AC263" s="29">
        <v>0</v>
      </c>
      <c r="AD263" s="29">
        <v>255</v>
      </c>
      <c r="AE263" s="29">
        <v>0</v>
      </c>
      <c r="AF263" s="24">
        <f t="shared" si="628"/>
        <v>1134962</v>
      </c>
      <c r="AG263" s="30"/>
      <c r="AH263" s="30"/>
      <c r="AI263" s="62">
        <v>116765</v>
      </c>
      <c r="AJ263" s="62">
        <f>335868+25817</f>
        <v>361685</v>
      </c>
      <c r="AK263" s="62">
        <v>34658</v>
      </c>
      <c r="AL263" s="62">
        <v>63344</v>
      </c>
      <c r="AM263" s="62">
        <v>0</v>
      </c>
      <c r="AN263" s="62">
        <v>14861</v>
      </c>
      <c r="AO263" s="62">
        <v>89327</v>
      </c>
      <c r="AP263" s="62">
        <v>0</v>
      </c>
      <c r="AQ263" s="62">
        <v>5800</v>
      </c>
      <c r="AR263" s="62">
        <v>0</v>
      </c>
      <c r="AS263" s="62">
        <v>0</v>
      </c>
      <c r="AT263" s="62">
        <v>0</v>
      </c>
      <c r="AU263" s="62">
        <v>0</v>
      </c>
      <c r="AV263" s="62">
        <v>0</v>
      </c>
      <c r="AW263" s="62">
        <v>0</v>
      </c>
      <c r="AX263" s="62">
        <v>0</v>
      </c>
      <c r="AY263" s="62">
        <v>0</v>
      </c>
      <c r="AZ263" s="62">
        <v>0</v>
      </c>
      <c r="BA263" s="62">
        <v>0</v>
      </c>
      <c r="BB263" s="62">
        <v>0</v>
      </c>
      <c r="BC263" s="62">
        <v>448522</v>
      </c>
      <c r="BD263" s="24">
        <f t="shared" si="629"/>
        <v>0</v>
      </c>
      <c r="BE263" s="24">
        <f t="shared" si="630"/>
        <v>0</v>
      </c>
      <c r="BF263" s="24">
        <v>0</v>
      </c>
      <c r="BG263" s="24">
        <v>0</v>
      </c>
      <c r="BH263" s="24">
        <v>0</v>
      </c>
      <c r="BI263" s="24">
        <f t="shared" si="631"/>
        <v>0</v>
      </c>
      <c r="BJ263" s="24">
        <v>0</v>
      </c>
      <c r="BK263" s="24">
        <v>0</v>
      </c>
      <c r="BL263" s="24">
        <v>0</v>
      </c>
      <c r="BM263" s="24">
        <v>0</v>
      </c>
      <c r="BN263" s="24">
        <v>0</v>
      </c>
      <c r="BO263" s="24">
        <f t="shared" si="507"/>
        <v>0</v>
      </c>
      <c r="BP263" s="24">
        <v>0</v>
      </c>
      <c r="BQ263" s="24">
        <v>0</v>
      </c>
      <c r="BR263" s="24">
        <f t="shared" si="632"/>
        <v>0</v>
      </c>
      <c r="BS263" s="24">
        <v>0</v>
      </c>
      <c r="BT263" s="24">
        <v>0</v>
      </c>
      <c r="BU263" s="24">
        <v>0</v>
      </c>
      <c r="BV263" s="24">
        <v>0</v>
      </c>
      <c r="BW263" s="24">
        <v>0</v>
      </c>
      <c r="BX263" s="24">
        <v>0</v>
      </c>
      <c r="BY263" s="24">
        <v>0</v>
      </c>
      <c r="BZ263" s="24">
        <v>0</v>
      </c>
      <c r="CA263" s="24">
        <v>0</v>
      </c>
      <c r="CB263" s="24">
        <v>0</v>
      </c>
      <c r="CC263" s="24">
        <v>0</v>
      </c>
      <c r="CD263" s="24">
        <f t="shared" si="633"/>
        <v>425576</v>
      </c>
      <c r="CE263" s="24">
        <f t="shared" si="634"/>
        <v>425576</v>
      </c>
      <c r="CF263" s="24">
        <f t="shared" si="508"/>
        <v>381025</v>
      </c>
      <c r="CG263" s="29">
        <v>0</v>
      </c>
      <c r="CH263" s="29">
        <v>381025</v>
      </c>
      <c r="CI263" s="24">
        <f t="shared" si="635"/>
        <v>0</v>
      </c>
      <c r="CJ263" s="29">
        <v>0</v>
      </c>
      <c r="CK263" s="29">
        <v>0</v>
      </c>
      <c r="CL263" s="29">
        <v>0</v>
      </c>
      <c r="CM263" s="29">
        <v>0</v>
      </c>
      <c r="CN263" s="24">
        <f t="shared" si="636"/>
        <v>44551</v>
      </c>
      <c r="CO263" s="29"/>
      <c r="CP263" s="29">
        <v>44551</v>
      </c>
      <c r="CQ263" s="29">
        <v>0</v>
      </c>
      <c r="CR263" s="29">
        <v>0</v>
      </c>
      <c r="CS263" s="29">
        <v>0</v>
      </c>
      <c r="CT263" s="24"/>
      <c r="CU263" s="24"/>
      <c r="CV263" s="24">
        <v>0</v>
      </c>
      <c r="CW263" s="24">
        <f t="shared" si="509"/>
        <v>0</v>
      </c>
      <c r="CX263" s="24">
        <f t="shared" si="510"/>
        <v>0</v>
      </c>
      <c r="CY263" s="24">
        <v>0</v>
      </c>
      <c r="CZ263" s="25">
        <v>0</v>
      </c>
    </row>
    <row r="264" spans="1:104" ht="31.2" x14ac:dyDescent="0.3">
      <c r="A264" s="26" t="s">
        <v>1</v>
      </c>
      <c r="B264" s="27" t="s">
        <v>1</v>
      </c>
      <c r="C264" s="27" t="s">
        <v>90</v>
      </c>
      <c r="D264" s="28" t="s">
        <v>363</v>
      </c>
      <c r="E264" s="23">
        <f t="shared" si="624"/>
        <v>1202874</v>
      </c>
      <c r="F264" s="24">
        <f t="shared" si="625"/>
        <v>1171133</v>
      </c>
      <c r="G264" s="24">
        <f t="shared" si="626"/>
        <v>1171133</v>
      </c>
      <c r="H264" s="29">
        <v>354404</v>
      </c>
      <c r="I264" s="29">
        <v>84002</v>
      </c>
      <c r="J264" s="24">
        <f t="shared" si="504"/>
        <v>3174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3174</v>
      </c>
      <c r="Q264" s="24">
        <f t="shared" si="505"/>
        <v>0</v>
      </c>
      <c r="R264" s="29">
        <v>0</v>
      </c>
      <c r="S264" s="29">
        <v>0</v>
      </c>
      <c r="T264" s="29">
        <v>0</v>
      </c>
      <c r="U264" s="29">
        <v>12467</v>
      </c>
      <c r="V264" s="24">
        <f t="shared" si="627"/>
        <v>5047</v>
      </c>
      <c r="W264" s="29">
        <v>737</v>
      </c>
      <c r="X264" s="29">
        <f>2192+11</f>
        <v>2203</v>
      </c>
      <c r="Y264" s="29">
        <v>1857</v>
      </c>
      <c r="Z264" s="29">
        <v>250</v>
      </c>
      <c r="AA264" s="29">
        <v>0</v>
      </c>
      <c r="AB264" s="29">
        <v>0</v>
      </c>
      <c r="AC264" s="29">
        <v>0</v>
      </c>
      <c r="AD264" s="29">
        <v>0</v>
      </c>
      <c r="AE264" s="29">
        <v>0</v>
      </c>
      <c r="AF264" s="24">
        <f t="shared" si="628"/>
        <v>712039</v>
      </c>
      <c r="AG264" s="30"/>
      <c r="AH264" s="30"/>
      <c r="AI264" s="62">
        <v>0</v>
      </c>
      <c r="AJ264" s="62">
        <v>0</v>
      </c>
      <c r="AK264" s="62">
        <v>0</v>
      </c>
      <c r="AL264" s="62">
        <v>0</v>
      </c>
      <c r="AM264" s="62">
        <v>0</v>
      </c>
      <c r="AN264" s="62">
        <v>3174</v>
      </c>
      <c r="AO264" s="62">
        <f>621396+87309</f>
        <v>708705</v>
      </c>
      <c r="AP264" s="62">
        <v>0</v>
      </c>
      <c r="AQ264" s="62">
        <v>0</v>
      </c>
      <c r="AR264" s="62">
        <v>0</v>
      </c>
      <c r="AS264" s="62">
        <v>0</v>
      </c>
      <c r="AT264" s="62">
        <v>0</v>
      </c>
      <c r="AU264" s="62">
        <v>160</v>
      </c>
      <c r="AV264" s="62">
        <v>0</v>
      </c>
      <c r="AW264" s="62">
        <v>0</v>
      </c>
      <c r="AX264" s="62">
        <v>0</v>
      </c>
      <c r="AY264" s="62">
        <v>0</v>
      </c>
      <c r="AZ264" s="62">
        <v>0</v>
      </c>
      <c r="BA264" s="62">
        <v>0</v>
      </c>
      <c r="BB264" s="62">
        <v>0</v>
      </c>
      <c r="BC264" s="62">
        <v>0</v>
      </c>
      <c r="BD264" s="24">
        <f t="shared" si="629"/>
        <v>0</v>
      </c>
      <c r="BE264" s="24">
        <f t="shared" si="630"/>
        <v>0</v>
      </c>
      <c r="BF264" s="24">
        <v>0</v>
      </c>
      <c r="BG264" s="24">
        <v>0</v>
      </c>
      <c r="BH264" s="24">
        <v>0</v>
      </c>
      <c r="BI264" s="24">
        <f t="shared" si="631"/>
        <v>0</v>
      </c>
      <c r="BJ264" s="24">
        <v>0</v>
      </c>
      <c r="BK264" s="24">
        <v>0</v>
      </c>
      <c r="BL264" s="24">
        <v>0</v>
      </c>
      <c r="BM264" s="24">
        <v>0</v>
      </c>
      <c r="BN264" s="24">
        <v>0</v>
      </c>
      <c r="BO264" s="24">
        <f t="shared" si="507"/>
        <v>0</v>
      </c>
      <c r="BP264" s="24">
        <v>0</v>
      </c>
      <c r="BQ264" s="24">
        <v>0</v>
      </c>
      <c r="BR264" s="24">
        <f t="shared" si="632"/>
        <v>0</v>
      </c>
      <c r="BS264" s="24">
        <v>0</v>
      </c>
      <c r="BT264" s="24">
        <v>0</v>
      </c>
      <c r="BU264" s="24">
        <v>0</v>
      </c>
      <c r="BV264" s="24">
        <v>0</v>
      </c>
      <c r="BW264" s="24">
        <v>0</v>
      </c>
      <c r="BX264" s="24">
        <v>0</v>
      </c>
      <c r="BY264" s="24">
        <v>0</v>
      </c>
      <c r="BZ264" s="24">
        <v>0</v>
      </c>
      <c r="CA264" s="24">
        <v>0</v>
      </c>
      <c r="CB264" s="24">
        <v>0</v>
      </c>
      <c r="CC264" s="24">
        <v>0</v>
      </c>
      <c r="CD264" s="24">
        <f t="shared" si="633"/>
        <v>31741</v>
      </c>
      <c r="CE264" s="24">
        <f t="shared" si="634"/>
        <v>31741</v>
      </c>
      <c r="CF264" s="24">
        <f t="shared" si="508"/>
        <v>31741</v>
      </c>
      <c r="CG264" s="29">
        <v>0</v>
      </c>
      <c r="CH264" s="29">
        <v>31741</v>
      </c>
      <c r="CI264" s="24">
        <f t="shared" si="635"/>
        <v>0</v>
      </c>
      <c r="CJ264" s="29">
        <v>0</v>
      </c>
      <c r="CK264" s="29">
        <v>0</v>
      </c>
      <c r="CL264" s="29">
        <v>0</v>
      </c>
      <c r="CM264" s="29">
        <v>0</v>
      </c>
      <c r="CN264" s="24">
        <f t="shared" si="636"/>
        <v>0</v>
      </c>
      <c r="CO264" s="29">
        <v>0</v>
      </c>
      <c r="CP264" s="29">
        <v>0</v>
      </c>
      <c r="CQ264" s="29">
        <v>0</v>
      </c>
      <c r="CR264" s="29">
        <v>0</v>
      </c>
      <c r="CS264" s="29">
        <v>0</v>
      </c>
      <c r="CT264" s="24">
        <v>0</v>
      </c>
      <c r="CU264" s="24">
        <v>0</v>
      </c>
      <c r="CV264" s="24">
        <v>0</v>
      </c>
      <c r="CW264" s="24">
        <f t="shared" si="509"/>
        <v>0</v>
      </c>
      <c r="CX264" s="24">
        <f t="shared" si="510"/>
        <v>0</v>
      </c>
      <c r="CY264" s="24">
        <v>0</v>
      </c>
      <c r="CZ264" s="25">
        <v>0</v>
      </c>
    </row>
    <row r="265" spans="1:104" ht="15.6" x14ac:dyDescent="0.3">
      <c r="A265" s="26" t="s">
        <v>1</v>
      </c>
      <c r="B265" s="27" t="s">
        <v>1</v>
      </c>
      <c r="C265" s="27" t="s">
        <v>159</v>
      </c>
      <c r="D265" s="28" t="s">
        <v>364</v>
      </c>
      <c r="E265" s="23">
        <f>SUM(F265+CD265+CW265+CT265)</f>
        <v>55285263</v>
      </c>
      <c r="F265" s="24">
        <f t="shared" si="625"/>
        <v>49709032</v>
      </c>
      <c r="G265" s="24">
        <f t="shared" si="626"/>
        <v>49683424</v>
      </c>
      <c r="H265" s="29">
        <f>29897086+385068-65025</f>
        <v>30217129</v>
      </c>
      <c r="I265" s="29">
        <f>2818237+75770-829</f>
        <v>2893178</v>
      </c>
      <c r="J265" s="24">
        <f t="shared" si="504"/>
        <v>10785490</v>
      </c>
      <c r="K265" s="29">
        <v>145000</v>
      </c>
      <c r="L265" s="29">
        <f>1369196+58000</f>
        <v>1427196</v>
      </c>
      <c r="M265" s="29">
        <v>620000</v>
      </c>
      <c r="N265" s="29">
        <v>0</v>
      </c>
      <c r="O265" s="29">
        <f>2406990+100000-14413</f>
        <v>2492577</v>
      </c>
      <c r="P265" s="29">
        <f>4491673+1641696-32652</f>
        <v>6100717</v>
      </c>
      <c r="Q265" s="24">
        <f t="shared" si="505"/>
        <v>151005</v>
      </c>
      <c r="R265" s="29">
        <v>20402</v>
      </c>
      <c r="S265" s="29">
        <v>130603</v>
      </c>
      <c r="T265" s="29">
        <v>0</v>
      </c>
      <c r="U265" s="29">
        <f>440510+10000</f>
        <v>450510</v>
      </c>
      <c r="V265" s="24">
        <f t="shared" si="627"/>
        <v>688371</v>
      </c>
      <c r="W265" s="29">
        <f>155355+60000</f>
        <v>215355</v>
      </c>
      <c r="X265" s="29">
        <f>130788+621</f>
        <v>131409</v>
      </c>
      <c r="Y265" s="29">
        <f>136245+5000</f>
        <v>141245</v>
      </c>
      <c r="Z265" s="29">
        <f>107390+1000</f>
        <v>108390</v>
      </c>
      <c r="AA265" s="29">
        <f>32029+28000</f>
        <v>60029</v>
      </c>
      <c r="AB265" s="29">
        <f>16720+1000</f>
        <v>17720</v>
      </c>
      <c r="AC265" s="29">
        <v>0</v>
      </c>
      <c r="AD265" s="29">
        <f>14218+5</f>
        <v>14223</v>
      </c>
      <c r="AE265" s="29">
        <v>0</v>
      </c>
      <c r="AF265" s="24">
        <f t="shared" si="628"/>
        <v>4497741</v>
      </c>
      <c r="AG265" s="30"/>
      <c r="AH265" s="30"/>
      <c r="AI265" s="62">
        <f>201332+65000</f>
        <v>266332</v>
      </c>
      <c r="AJ265" s="62">
        <f>1306053+220000-17871</f>
        <v>1508182</v>
      </c>
      <c r="AK265" s="62">
        <v>42264</v>
      </c>
      <c r="AL265" s="62">
        <v>50116</v>
      </c>
      <c r="AM265" s="62">
        <v>0</v>
      </c>
      <c r="AN265" s="62">
        <f>15774+12914</f>
        <v>28688</v>
      </c>
      <c r="AO265" s="62">
        <f>28640+25000</f>
        <v>53640</v>
      </c>
      <c r="AP265" s="62">
        <v>0</v>
      </c>
      <c r="AQ265" s="62">
        <v>0</v>
      </c>
      <c r="AR265" s="62">
        <f>0+160446</f>
        <v>160446</v>
      </c>
      <c r="AS265" s="62">
        <f>81282+25000</f>
        <v>106282</v>
      </c>
      <c r="AT265" s="62">
        <v>0</v>
      </c>
      <c r="AU265" s="62">
        <f>198800+70000</f>
        <v>268800</v>
      </c>
      <c r="AV265" s="62">
        <v>0</v>
      </c>
      <c r="AW265" s="62">
        <v>0</v>
      </c>
      <c r="AX265" s="62">
        <v>0</v>
      </c>
      <c r="AY265" s="62">
        <f>1390101+20000</f>
        <v>1410101</v>
      </c>
      <c r="AZ265" s="62">
        <v>0</v>
      </c>
      <c r="BA265" s="62">
        <v>0</v>
      </c>
      <c r="BB265" s="62">
        <v>0</v>
      </c>
      <c r="BC265" s="62">
        <f>508190+94700</f>
        <v>602890</v>
      </c>
      <c r="BD265" s="24">
        <f t="shared" si="629"/>
        <v>25608</v>
      </c>
      <c r="BE265" s="24">
        <f t="shared" si="630"/>
        <v>0</v>
      </c>
      <c r="BF265" s="24">
        <v>0</v>
      </c>
      <c r="BG265" s="24">
        <v>0</v>
      </c>
      <c r="BH265" s="24">
        <v>0</v>
      </c>
      <c r="BI265" s="24">
        <f t="shared" si="631"/>
        <v>0</v>
      </c>
      <c r="BJ265" s="24">
        <v>0</v>
      </c>
      <c r="BK265" s="24">
        <v>0</v>
      </c>
      <c r="BL265" s="24">
        <v>0</v>
      </c>
      <c r="BM265" s="24">
        <v>0</v>
      </c>
      <c r="BN265" s="24">
        <v>0</v>
      </c>
      <c r="BO265" s="24">
        <f t="shared" si="507"/>
        <v>0</v>
      </c>
      <c r="BP265" s="24">
        <v>0</v>
      </c>
      <c r="BQ265" s="24">
        <v>0</v>
      </c>
      <c r="BR265" s="24">
        <f t="shared" si="632"/>
        <v>25608</v>
      </c>
      <c r="BS265" s="24">
        <v>0</v>
      </c>
      <c r="BT265" s="24">
        <v>0</v>
      </c>
      <c r="BU265" s="24">
        <v>0</v>
      </c>
      <c r="BV265" s="24">
        <v>0</v>
      </c>
      <c r="BW265" s="24">
        <v>0</v>
      </c>
      <c r="BX265" s="24">
        <v>0</v>
      </c>
      <c r="BY265" s="24">
        <v>0</v>
      </c>
      <c r="BZ265" s="24">
        <v>0</v>
      </c>
      <c r="CA265" s="24">
        <v>0</v>
      </c>
      <c r="CB265" s="24">
        <v>25608</v>
      </c>
      <c r="CC265" s="24">
        <v>0</v>
      </c>
      <c r="CD265" s="24">
        <f t="shared" si="633"/>
        <v>5576231</v>
      </c>
      <c r="CE265" s="24">
        <f t="shared" si="634"/>
        <v>5576231</v>
      </c>
      <c r="CF265" s="24">
        <f t="shared" si="508"/>
        <v>4213136</v>
      </c>
      <c r="CG265" s="29">
        <v>0</v>
      </c>
      <c r="CH265" s="29">
        <f>2037121+2176015</f>
        <v>4213136</v>
      </c>
      <c r="CI265" s="24">
        <f t="shared" si="635"/>
        <v>970344</v>
      </c>
      <c r="CJ265" s="29">
        <v>0</v>
      </c>
      <c r="CK265" s="29">
        <v>0</v>
      </c>
      <c r="CL265" s="29">
        <f>1000000-29656</f>
        <v>970344</v>
      </c>
      <c r="CM265" s="29"/>
      <c r="CN265" s="24">
        <f t="shared" si="636"/>
        <v>392751</v>
      </c>
      <c r="CO265" s="29">
        <v>0</v>
      </c>
      <c r="CP265" s="29">
        <v>0</v>
      </c>
      <c r="CQ265" s="29">
        <f>342751+50000</f>
        <v>392751</v>
      </c>
      <c r="CR265" s="29">
        <v>0</v>
      </c>
      <c r="CS265" s="29">
        <v>0</v>
      </c>
      <c r="CT265" s="24">
        <f>SUM(CU265)</f>
        <v>0</v>
      </c>
      <c r="CU265" s="29"/>
      <c r="CV265" s="24">
        <v>0</v>
      </c>
      <c r="CW265" s="24">
        <f t="shared" si="509"/>
        <v>0</v>
      </c>
      <c r="CX265" s="24">
        <f t="shared" si="510"/>
        <v>0</v>
      </c>
      <c r="CY265" s="24">
        <v>0</v>
      </c>
      <c r="CZ265" s="25">
        <v>0</v>
      </c>
    </row>
    <row r="266" spans="1:104" ht="31.2" x14ac:dyDescent="0.3">
      <c r="A266" s="26" t="s">
        <v>1</v>
      </c>
      <c r="B266" s="27" t="s">
        <v>1</v>
      </c>
      <c r="C266" s="27" t="s">
        <v>94</v>
      </c>
      <c r="D266" s="28" t="s">
        <v>365</v>
      </c>
      <c r="E266" s="23">
        <f t="shared" ref="E266:E282" si="637">SUM(F266+CD266+CW266)</f>
        <v>3290767</v>
      </c>
      <c r="F266" s="24">
        <f t="shared" si="625"/>
        <v>2806672</v>
      </c>
      <c r="G266" s="24">
        <f t="shared" si="626"/>
        <v>2806672</v>
      </c>
      <c r="H266" s="29">
        <f>971793+25440-300000</f>
        <v>697233</v>
      </c>
      <c r="I266" s="29">
        <f>242948+6360-75000</f>
        <v>174308</v>
      </c>
      <c r="J266" s="24">
        <f>SUM(K266:P266)</f>
        <v>913086</v>
      </c>
      <c r="K266" s="29">
        <v>0</v>
      </c>
      <c r="L266" s="29">
        <v>0</v>
      </c>
      <c r="M266" s="29">
        <v>0</v>
      </c>
      <c r="N266" s="29">
        <v>0</v>
      </c>
      <c r="O266" s="29">
        <f>242000+23692+250000</f>
        <v>515692</v>
      </c>
      <c r="P266" s="29">
        <f>129522+140422+125000+2450</f>
        <v>397394</v>
      </c>
      <c r="Q266" s="24">
        <f>SUM(R266:S266)</f>
        <v>35000</v>
      </c>
      <c r="R266" s="29">
        <v>0</v>
      </c>
      <c r="S266" s="29">
        <v>35000</v>
      </c>
      <c r="T266" s="29">
        <v>20000</v>
      </c>
      <c r="U266" s="29">
        <v>35120</v>
      </c>
      <c r="V266" s="24">
        <f t="shared" si="627"/>
        <v>56200</v>
      </c>
      <c r="W266" s="29">
        <v>0</v>
      </c>
      <c r="X266" s="29">
        <f>0+18000</f>
        <v>18000</v>
      </c>
      <c r="Y266" s="29">
        <v>0</v>
      </c>
      <c r="Z266" s="29">
        <v>0</v>
      </c>
      <c r="AA266" s="29">
        <v>23200</v>
      </c>
      <c r="AB266" s="29">
        <f>5000+10000</f>
        <v>15000</v>
      </c>
      <c r="AC266" s="29">
        <v>0</v>
      </c>
      <c r="AD266" s="29">
        <f>2449+1-2450</f>
        <v>0</v>
      </c>
      <c r="AE266" s="29">
        <v>0</v>
      </c>
      <c r="AF266" s="24">
        <f t="shared" si="628"/>
        <v>875725</v>
      </c>
      <c r="AG266" s="29">
        <v>371063</v>
      </c>
      <c r="AH266" s="30"/>
      <c r="AI266" s="62">
        <v>21197</v>
      </c>
      <c r="AJ266" s="62">
        <v>15200</v>
      </c>
      <c r="AK266" s="62">
        <v>0</v>
      </c>
      <c r="AL266" s="62">
        <v>20267</v>
      </c>
      <c r="AM266" s="62">
        <v>0</v>
      </c>
      <c r="AN266" s="62">
        <v>12900</v>
      </c>
      <c r="AO266" s="62">
        <v>29500</v>
      </c>
      <c r="AP266" s="62">
        <v>0</v>
      </c>
      <c r="AQ266" s="62">
        <v>0</v>
      </c>
      <c r="AR266" s="62">
        <v>0</v>
      </c>
      <c r="AS266" s="62">
        <v>0</v>
      </c>
      <c r="AT266" s="62">
        <v>0</v>
      </c>
      <c r="AU266" s="62">
        <f>5000+10000</f>
        <v>15000</v>
      </c>
      <c r="AV266" s="62">
        <v>0</v>
      </c>
      <c r="AW266" s="62">
        <v>0</v>
      </c>
      <c r="AX266" s="62">
        <v>0</v>
      </c>
      <c r="AY266" s="62">
        <v>0</v>
      </c>
      <c r="AZ266" s="62">
        <v>0</v>
      </c>
      <c r="BA266" s="62">
        <v>150000</v>
      </c>
      <c r="BB266" s="62">
        <v>0</v>
      </c>
      <c r="BC266" s="62">
        <v>240598</v>
      </c>
      <c r="BD266" s="24">
        <f t="shared" si="629"/>
        <v>0</v>
      </c>
      <c r="BE266" s="24">
        <f t="shared" si="630"/>
        <v>0</v>
      </c>
      <c r="BF266" s="24">
        <v>0</v>
      </c>
      <c r="BG266" s="24">
        <v>0</v>
      </c>
      <c r="BH266" s="24">
        <v>0</v>
      </c>
      <c r="BI266" s="24">
        <f t="shared" si="631"/>
        <v>0</v>
      </c>
      <c r="BJ266" s="24">
        <v>0</v>
      </c>
      <c r="BK266" s="24">
        <v>0</v>
      </c>
      <c r="BL266" s="24">
        <v>0</v>
      </c>
      <c r="BM266" s="24">
        <v>0</v>
      </c>
      <c r="BN266" s="24">
        <v>0</v>
      </c>
      <c r="BO266" s="24">
        <f>SUM(BP266)</f>
        <v>0</v>
      </c>
      <c r="BP266" s="24">
        <v>0</v>
      </c>
      <c r="BQ266" s="24">
        <v>0</v>
      </c>
      <c r="BR266" s="24">
        <f t="shared" si="632"/>
        <v>0</v>
      </c>
      <c r="BS266" s="24">
        <v>0</v>
      </c>
      <c r="BT266" s="24">
        <v>0</v>
      </c>
      <c r="BU266" s="24">
        <v>0</v>
      </c>
      <c r="BV266" s="24">
        <v>0</v>
      </c>
      <c r="BW266" s="24">
        <v>0</v>
      </c>
      <c r="BX266" s="24">
        <v>0</v>
      </c>
      <c r="BY266" s="24">
        <v>0</v>
      </c>
      <c r="BZ266" s="24">
        <v>0</v>
      </c>
      <c r="CA266" s="24">
        <v>0</v>
      </c>
      <c r="CB266" s="24">
        <v>0</v>
      </c>
      <c r="CC266" s="24">
        <v>0</v>
      </c>
      <c r="CD266" s="24">
        <f t="shared" si="633"/>
        <v>484095</v>
      </c>
      <c r="CE266" s="24">
        <f t="shared" si="634"/>
        <v>484095</v>
      </c>
      <c r="CF266" s="24">
        <f>SUM(CG266:CH266)</f>
        <v>150000</v>
      </c>
      <c r="CG266" s="29">
        <v>0</v>
      </c>
      <c r="CH266" s="29">
        <f>130000+20000</f>
        <v>150000</v>
      </c>
      <c r="CI266" s="24">
        <f t="shared" si="635"/>
        <v>0</v>
      </c>
      <c r="CJ266" s="29">
        <v>0</v>
      </c>
      <c r="CK266" s="29">
        <v>0</v>
      </c>
      <c r="CL266" s="29">
        <v>0</v>
      </c>
      <c r="CM266" s="29">
        <v>0</v>
      </c>
      <c r="CN266" s="24">
        <f t="shared" si="636"/>
        <v>334095</v>
      </c>
      <c r="CO266" s="29"/>
      <c r="CP266" s="29">
        <v>334095</v>
      </c>
      <c r="CQ266" s="29">
        <v>0</v>
      </c>
      <c r="CR266" s="29">
        <v>0</v>
      </c>
      <c r="CS266" s="29">
        <v>0</v>
      </c>
      <c r="CT266" s="24">
        <v>0</v>
      </c>
      <c r="CU266" s="24">
        <v>0</v>
      </c>
      <c r="CV266" s="24">
        <v>0</v>
      </c>
      <c r="CW266" s="24">
        <f>SUM(CX266)</f>
        <v>0</v>
      </c>
      <c r="CX266" s="24">
        <f>SUM(CY266:CZ266)</f>
        <v>0</v>
      </c>
      <c r="CY266" s="24">
        <v>0</v>
      </c>
      <c r="CZ266" s="25">
        <v>0</v>
      </c>
    </row>
    <row r="267" spans="1:104" ht="31.2" x14ac:dyDescent="0.3">
      <c r="A267" s="26" t="s">
        <v>1</v>
      </c>
      <c r="B267" s="27" t="s">
        <v>1</v>
      </c>
      <c r="C267" s="27" t="s">
        <v>94</v>
      </c>
      <c r="D267" s="28" t="s">
        <v>366</v>
      </c>
      <c r="E267" s="23">
        <f t="shared" si="637"/>
        <v>18048478</v>
      </c>
      <c r="F267" s="24">
        <f t="shared" si="625"/>
        <v>17009659</v>
      </c>
      <c r="G267" s="24">
        <f t="shared" si="626"/>
        <v>17009659</v>
      </c>
      <c r="H267" s="29">
        <f>7725250+350000</f>
        <v>8075250</v>
      </c>
      <c r="I267" s="29">
        <f>1931312+87500</f>
        <v>2018812</v>
      </c>
      <c r="J267" s="24">
        <f t="shared" si="504"/>
        <v>3495065</v>
      </c>
      <c r="K267" s="29">
        <v>1500000</v>
      </c>
      <c r="L267" s="29">
        <v>50000</v>
      </c>
      <c r="M267" s="29">
        <v>5000</v>
      </c>
      <c r="N267" s="29">
        <v>0</v>
      </c>
      <c r="O267" s="29">
        <f>1018042+50000</f>
        <v>1068042</v>
      </c>
      <c r="P267" s="29">
        <f>772023+100000</f>
        <v>872023</v>
      </c>
      <c r="Q267" s="24">
        <f t="shared" si="505"/>
        <v>141526</v>
      </c>
      <c r="R267" s="29">
        <v>400</v>
      </c>
      <c r="S267" s="29">
        <v>141126</v>
      </c>
      <c r="T267" s="29">
        <v>50000</v>
      </c>
      <c r="U267" s="29">
        <v>210227</v>
      </c>
      <c r="V267" s="24">
        <f t="shared" si="627"/>
        <v>459563</v>
      </c>
      <c r="W267" s="29">
        <v>50000</v>
      </c>
      <c r="X267" s="29">
        <f>86123+53800</f>
        <v>139923</v>
      </c>
      <c r="Y267" s="29">
        <f>101859+42000</f>
        <v>143859</v>
      </c>
      <c r="Z267" s="29">
        <f>10908+10000</f>
        <v>20908</v>
      </c>
      <c r="AA267" s="29">
        <v>22947</v>
      </c>
      <c r="AB267" s="29">
        <v>50000</v>
      </c>
      <c r="AC267" s="29">
        <v>0</v>
      </c>
      <c r="AD267" s="29">
        <f>11926+20000</f>
        <v>31926</v>
      </c>
      <c r="AE267" s="29">
        <v>0</v>
      </c>
      <c r="AF267" s="24">
        <f t="shared" si="628"/>
        <v>2559216</v>
      </c>
      <c r="AG267" s="30"/>
      <c r="AH267" s="30"/>
      <c r="AI267" s="62">
        <v>270000</v>
      </c>
      <c r="AJ267" s="62">
        <f>1195487+143773</f>
        <v>1339260</v>
      </c>
      <c r="AK267" s="62">
        <v>0</v>
      </c>
      <c r="AL267" s="62">
        <v>101562</v>
      </c>
      <c r="AM267" s="62">
        <v>0</v>
      </c>
      <c r="AN267" s="62">
        <v>71126</v>
      </c>
      <c r="AO267" s="62">
        <v>400000</v>
      </c>
      <c r="AP267" s="62">
        <v>0</v>
      </c>
      <c r="AQ267" s="62">
        <v>0</v>
      </c>
      <c r="AR267" s="62">
        <v>0</v>
      </c>
      <c r="AS267" s="62">
        <v>0</v>
      </c>
      <c r="AT267" s="62">
        <f>71589+50000</f>
        <v>121589</v>
      </c>
      <c r="AU267" s="62">
        <v>0</v>
      </c>
      <c r="AV267" s="62">
        <v>0</v>
      </c>
      <c r="AW267" s="62">
        <v>0</v>
      </c>
      <c r="AX267" s="62">
        <v>0</v>
      </c>
      <c r="AY267" s="62">
        <v>0</v>
      </c>
      <c r="AZ267" s="62">
        <v>0</v>
      </c>
      <c r="BA267" s="62">
        <v>0</v>
      </c>
      <c r="BB267" s="62">
        <v>0</v>
      </c>
      <c r="BC267" s="62">
        <v>255679</v>
      </c>
      <c r="BD267" s="24">
        <f t="shared" si="629"/>
        <v>0</v>
      </c>
      <c r="BE267" s="24">
        <f t="shared" si="630"/>
        <v>0</v>
      </c>
      <c r="BF267" s="24">
        <v>0</v>
      </c>
      <c r="BG267" s="24">
        <v>0</v>
      </c>
      <c r="BH267" s="24">
        <v>0</v>
      </c>
      <c r="BI267" s="24">
        <f t="shared" si="631"/>
        <v>0</v>
      </c>
      <c r="BJ267" s="24">
        <v>0</v>
      </c>
      <c r="BK267" s="24">
        <v>0</v>
      </c>
      <c r="BL267" s="24">
        <v>0</v>
      </c>
      <c r="BM267" s="24">
        <v>0</v>
      </c>
      <c r="BN267" s="24">
        <v>0</v>
      </c>
      <c r="BO267" s="24">
        <f t="shared" si="507"/>
        <v>0</v>
      </c>
      <c r="BP267" s="24">
        <v>0</v>
      </c>
      <c r="BQ267" s="24">
        <v>0</v>
      </c>
      <c r="BR267" s="24">
        <f t="shared" si="632"/>
        <v>0</v>
      </c>
      <c r="BS267" s="24">
        <v>0</v>
      </c>
      <c r="BT267" s="24">
        <v>0</v>
      </c>
      <c r="BU267" s="24">
        <v>0</v>
      </c>
      <c r="BV267" s="24">
        <v>0</v>
      </c>
      <c r="BW267" s="24">
        <v>0</v>
      </c>
      <c r="BX267" s="24">
        <v>0</v>
      </c>
      <c r="BY267" s="24">
        <v>0</v>
      </c>
      <c r="BZ267" s="24">
        <v>0</v>
      </c>
      <c r="CA267" s="24">
        <v>0</v>
      </c>
      <c r="CB267" s="24">
        <v>0</v>
      </c>
      <c r="CC267" s="24">
        <v>0</v>
      </c>
      <c r="CD267" s="24">
        <f t="shared" si="633"/>
        <v>1038819</v>
      </c>
      <c r="CE267" s="24">
        <f t="shared" si="634"/>
        <v>1038819</v>
      </c>
      <c r="CF267" s="24">
        <f t="shared" si="508"/>
        <v>1038819</v>
      </c>
      <c r="CG267" s="29">
        <v>0</v>
      </c>
      <c r="CH267" s="29">
        <f>738819+300000</f>
        <v>1038819</v>
      </c>
      <c r="CI267" s="24">
        <f t="shared" si="635"/>
        <v>0</v>
      </c>
      <c r="CJ267" s="29">
        <v>0</v>
      </c>
      <c r="CK267" s="29">
        <v>0</v>
      </c>
      <c r="CL267" s="29">
        <v>0</v>
      </c>
      <c r="CM267" s="29">
        <v>0</v>
      </c>
      <c r="CN267" s="24">
        <f t="shared" si="636"/>
        <v>0</v>
      </c>
      <c r="CO267" s="29">
        <v>0</v>
      </c>
      <c r="CP267" s="29">
        <v>0</v>
      </c>
      <c r="CQ267" s="29">
        <v>0</v>
      </c>
      <c r="CR267" s="29">
        <v>0</v>
      </c>
      <c r="CS267" s="29">
        <v>0</v>
      </c>
      <c r="CT267" s="24">
        <v>0</v>
      </c>
      <c r="CU267" s="24">
        <v>0</v>
      </c>
      <c r="CV267" s="24">
        <v>0</v>
      </c>
      <c r="CW267" s="24">
        <f t="shared" si="509"/>
        <v>0</v>
      </c>
      <c r="CX267" s="24">
        <f t="shared" si="510"/>
        <v>0</v>
      </c>
      <c r="CY267" s="24">
        <v>0</v>
      </c>
      <c r="CZ267" s="25">
        <v>0</v>
      </c>
    </row>
    <row r="268" spans="1:104" ht="31.2" x14ac:dyDescent="0.3">
      <c r="A268" s="26" t="s">
        <v>1</v>
      </c>
      <c r="B268" s="27" t="s">
        <v>1</v>
      </c>
      <c r="C268" s="27" t="s">
        <v>94</v>
      </c>
      <c r="D268" s="28" t="s">
        <v>367</v>
      </c>
      <c r="E268" s="23">
        <f t="shared" si="637"/>
        <v>202182</v>
      </c>
      <c r="F268" s="24">
        <f t="shared" si="625"/>
        <v>197029</v>
      </c>
      <c r="G268" s="24">
        <f t="shared" si="626"/>
        <v>197029</v>
      </c>
      <c r="H268" s="29">
        <f>10000+30000</f>
        <v>40000</v>
      </c>
      <c r="I268" s="29">
        <f>2500+7500</f>
        <v>10000</v>
      </c>
      <c r="J268" s="24">
        <f>SUM(K268:P268)</f>
        <v>95523</v>
      </c>
      <c r="K268" s="29">
        <v>0</v>
      </c>
      <c r="L268" s="29">
        <v>2383</v>
      </c>
      <c r="M268" s="29">
        <v>9151</v>
      </c>
      <c r="N268" s="29">
        <v>2500</v>
      </c>
      <c r="O268" s="29">
        <v>28342</v>
      </c>
      <c r="P268" s="29">
        <f>28903+6361+17883</f>
        <v>53147</v>
      </c>
      <c r="Q268" s="24">
        <f>SUM(R268:S268)</f>
        <v>1198</v>
      </c>
      <c r="R268" s="29">
        <v>1198</v>
      </c>
      <c r="S268" s="29">
        <v>0</v>
      </c>
      <c r="T268" s="29">
        <v>0</v>
      </c>
      <c r="U268" s="29">
        <v>18036</v>
      </c>
      <c r="V268" s="24">
        <f t="shared" si="627"/>
        <v>14838</v>
      </c>
      <c r="W268" s="29">
        <v>2000</v>
      </c>
      <c r="X268" s="29">
        <v>0</v>
      </c>
      <c r="Y268" s="29">
        <v>0</v>
      </c>
      <c r="Z268" s="29">
        <f>4513+1090+593</f>
        <v>6196</v>
      </c>
      <c r="AA268" s="29">
        <v>1530</v>
      </c>
      <c r="AB268" s="29">
        <v>1560</v>
      </c>
      <c r="AC268" s="29">
        <v>0</v>
      </c>
      <c r="AD268" s="29">
        <f>3426+126</f>
        <v>3552</v>
      </c>
      <c r="AE268" s="29">
        <v>0</v>
      </c>
      <c r="AF268" s="24">
        <f t="shared" si="628"/>
        <v>17434</v>
      </c>
      <c r="AG268" s="30"/>
      <c r="AH268" s="30"/>
      <c r="AI268" s="62">
        <v>385</v>
      </c>
      <c r="AJ268" s="62">
        <v>0</v>
      </c>
      <c r="AK268" s="62">
        <v>0</v>
      </c>
      <c r="AL268" s="62">
        <v>200</v>
      </c>
      <c r="AM268" s="62">
        <v>0</v>
      </c>
      <c r="AN268" s="62">
        <v>1000</v>
      </c>
      <c r="AO268" s="62">
        <v>0</v>
      </c>
      <c r="AP268" s="62">
        <v>0</v>
      </c>
      <c r="AQ268" s="62">
        <v>0</v>
      </c>
      <c r="AR268" s="62">
        <v>0</v>
      </c>
      <c r="AS268" s="62">
        <v>0</v>
      </c>
      <c r="AT268" s="62">
        <v>0</v>
      </c>
      <c r="AU268" s="62">
        <v>0</v>
      </c>
      <c r="AV268" s="62">
        <v>0</v>
      </c>
      <c r="AW268" s="62">
        <v>0</v>
      </c>
      <c r="AX268" s="62">
        <v>0</v>
      </c>
      <c r="AY268" s="62">
        <v>0</v>
      </c>
      <c r="AZ268" s="62">
        <v>0</v>
      </c>
      <c r="BA268" s="62">
        <v>3200</v>
      </c>
      <c r="BB268" s="62">
        <v>0</v>
      </c>
      <c r="BC268" s="62">
        <f>9649+3000</f>
        <v>12649</v>
      </c>
      <c r="BD268" s="24">
        <f t="shared" si="629"/>
        <v>0</v>
      </c>
      <c r="BE268" s="24">
        <f t="shared" si="630"/>
        <v>0</v>
      </c>
      <c r="BF268" s="24">
        <v>0</v>
      </c>
      <c r="BG268" s="24">
        <v>0</v>
      </c>
      <c r="BH268" s="24">
        <v>0</v>
      </c>
      <c r="BI268" s="24">
        <f t="shared" si="631"/>
        <v>0</v>
      </c>
      <c r="BJ268" s="24">
        <v>0</v>
      </c>
      <c r="BK268" s="24">
        <v>0</v>
      </c>
      <c r="BL268" s="24">
        <v>0</v>
      </c>
      <c r="BM268" s="24">
        <v>0</v>
      </c>
      <c r="BN268" s="24">
        <v>0</v>
      </c>
      <c r="BO268" s="24">
        <f>SUM(BP268)</f>
        <v>0</v>
      </c>
      <c r="BP268" s="24">
        <v>0</v>
      </c>
      <c r="BQ268" s="24">
        <v>0</v>
      </c>
      <c r="BR268" s="24">
        <f t="shared" si="632"/>
        <v>0</v>
      </c>
      <c r="BS268" s="24">
        <v>0</v>
      </c>
      <c r="BT268" s="24">
        <v>0</v>
      </c>
      <c r="BU268" s="24">
        <v>0</v>
      </c>
      <c r="BV268" s="24">
        <v>0</v>
      </c>
      <c r="BW268" s="24">
        <v>0</v>
      </c>
      <c r="BX268" s="24">
        <v>0</v>
      </c>
      <c r="BY268" s="24">
        <v>0</v>
      </c>
      <c r="BZ268" s="24">
        <v>0</v>
      </c>
      <c r="CA268" s="24">
        <v>0</v>
      </c>
      <c r="CB268" s="24">
        <v>0</v>
      </c>
      <c r="CC268" s="24">
        <v>0</v>
      </c>
      <c r="CD268" s="24">
        <f t="shared" si="633"/>
        <v>5153</v>
      </c>
      <c r="CE268" s="24">
        <f t="shared" si="634"/>
        <v>5153</v>
      </c>
      <c r="CF268" s="24">
        <f>SUM(CG268:CH268)</f>
        <v>5153</v>
      </c>
      <c r="CG268" s="29">
        <v>0</v>
      </c>
      <c r="CH268" s="29">
        <v>5153</v>
      </c>
      <c r="CI268" s="24">
        <f t="shared" si="635"/>
        <v>0</v>
      </c>
      <c r="CJ268" s="29">
        <v>0</v>
      </c>
      <c r="CK268" s="29">
        <v>0</v>
      </c>
      <c r="CL268" s="29">
        <v>0</v>
      </c>
      <c r="CM268" s="29">
        <v>0</v>
      </c>
      <c r="CN268" s="24">
        <f t="shared" si="636"/>
        <v>0</v>
      </c>
      <c r="CO268" s="29">
        <v>0</v>
      </c>
      <c r="CP268" s="29">
        <v>0</v>
      </c>
      <c r="CQ268" s="29">
        <v>0</v>
      </c>
      <c r="CR268" s="29">
        <v>0</v>
      </c>
      <c r="CS268" s="29">
        <v>0</v>
      </c>
      <c r="CT268" s="24">
        <v>0</v>
      </c>
      <c r="CU268" s="24">
        <v>0</v>
      </c>
      <c r="CV268" s="24">
        <v>0</v>
      </c>
      <c r="CW268" s="24">
        <f>SUM(CX268)</f>
        <v>0</v>
      </c>
      <c r="CX268" s="24">
        <f>SUM(CY268:CZ268)</f>
        <v>0</v>
      </c>
      <c r="CY268" s="24">
        <v>0</v>
      </c>
      <c r="CZ268" s="25">
        <v>0</v>
      </c>
    </row>
    <row r="269" spans="1:104" ht="15.6" x14ac:dyDescent="0.3">
      <c r="A269" s="26" t="s">
        <v>1</v>
      </c>
      <c r="B269" s="27" t="s">
        <v>1</v>
      </c>
      <c r="C269" s="27" t="s">
        <v>368</v>
      </c>
      <c r="D269" s="28" t="s">
        <v>369</v>
      </c>
      <c r="E269" s="23">
        <f t="shared" si="637"/>
        <v>3498408</v>
      </c>
      <c r="F269" s="24">
        <f t="shared" si="625"/>
        <v>3220000</v>
      </c>
      <c r="G269" s="24">
        <f t="shared" si="626"/>
        <v>3220000</v>
      </c>
      <c r="H269" s="29">
        <v>1860291</v>
      </c>
      <c r="I269" s="29">
        <v>444373</v>
      </c>
      <c r="J269" s="24">
        <f t="shared" si="504"/>
        <v>370000</v>
      </c>
      <c r="K269" s="29">
        <v>0</v>
      </c>
      <c r="L269" s="29">
        <v>0</v>
      </c>
      <c r="M269" s="29">
        <v>0</v>
      </c>
      <c r="N269" s="29">
        <v>0</v>
      </c>
      <c r="O269" s="29">
        <v>120000</v>
      </c>
      <c r="P269" s="29">
        <f>150000+100000</f>
        <v>250000</v>
      </c>
      <c r="Q269" s="24">
        <f t="shared" si="505"/>
        <v>0</v>
      </c>
      <c r="R269" s="29">
        <v>0</v>
      </c>
      <c r="S269" s="29">
        <v>0</v>
      </c>
      <c r="T269" s="29">
        <v>0</v>
      </c>
      <c r="U269" s="29">
        <v>24397</v>
      </c>
      <c r="V269" s="24">
        <f t="shared" si="627"/>
        <v>79768</v>
      </c>
      <c r="W269" s="29">
        <v>0</v>
      </c>
      <c r="X269" s="29">
        <v>47825</v>
      </c>
      <c r="Y269" s="29">
        <v>22914</v>
      </c>
      <c r="Z269" s="29">
        <v>3622</v>
      </c>
      <c r="AA269" s="29">
        <v>5407</v>
      </c>
      <c r="AB269" s="29">
        <v>0</v>
      </c>
      <c r="AC269" s="29">
        <v>0</v>
      </c>
      <c r="AD269" s="29">
        <v>0</v>
      </c>
      <c r="AE269" s="29">
        <v>0</v>
      </c>
      <c r="AF269" s="24">
        <f t="shared" si="628"/>
        <v>441171</v>
      </c>
      <c r="AG269" s="30"/>
      <c r="AH269" s="30"/>
      <c r="AI269" s="62">
        <f>20000+30000</f>
        <v>50000</v>
      </c>
      <c r="AJ269" s="62">
        <f>26171+200000</f>
        <v>226171</v>
      </c>
      <c r="AK269" s="62">
        <v>0</v>
      </c>
      <c r="AL269" s="62">
        <v>3000</v>
      </c>
      <c r="AM269" s="62">
        <v>0</v>
      </c>
      <c r="AN269" s="62">
        <f>15000+15000</f>
        <v>30000</v>
      </c>
      <c r="AO269" s="62">
        <v>0</v>
      </c>
      <c r="AP269" s="62">
        <v>0</v>
      </c>
      <c r="AQ269" s="62">
        <v>0</v>
      </c>
      <c r="AR269" s="62">
        <v>0</v>
      </c>
      <c r="AS269" s="62">
        <v>0</v>
      </c>
      <c r="AT269" s="62">
        <v>0</v>
      </c>
      <c r="AU269" s="62">
        <v>20000</v>
      </c>
      <c r="AV269" s="62">
        <v>0</v>
      </c>
      <c r="AW269" s="62">
        <v>0</v>
      </c>
      <c r="AX269" s="62">
        <v>0</v>
      </c>
      <c r="AY269" s="62">
        <v>0</v>
      </c>
      <c r="AZ269" s="62">
        <v>0</v>
      </c>
      <c r="BA269" s="62">
        <v>0</v>
      </c>
      <c r="BB269" s="62">
        <v>72000</v>
      </c>
      <c r="BC269" s="62">
        <f>20000+20000</f>
        <v>40000</v>
      </c>
      <c r="BD269" s="24">
        <f t="shared" si="629"/>
        <v>0</v>
      </c>
      <c r="BE269" s="24">
        <f t="shared" si="630"/>
        <v>0</v>
      </c>
      <c r="BF269" s="24">
        <v>0</v>
      </c>
      <c r="BG269" s="24">
        <v>0</v>
      </c>
      <c r="BH269" s="24">
        <v>0</v>
      </c>
      <c r="BI269" s="24">
        <f t="shared" si="631"/>
        <v>0</v>
      </c>
      <c r="BJ269" s="24">
        <v>0</v>
      </c>
      <c r="BK269" s="24">
        <v>0</v>
      </c>
      <c r="BL269" s="24">
        <v>0</v>
      </c>
      <c r="BM269" s="24">
        <v>0</v>
      </c>
      <c r="BN269" s="24">
        <v>0</v>
      </c>
      <c r="BO269" s="24">
        <f t="shared" si="507"/>
        <v>0</v>
      </c>
      <c r="BP269" s="24">
        <v>0</v>
      </c>
      <c r="BQ269" s="24">
        <v>0</v>
      </c>
      <c r="BR269" s="24">
        <f t="shared" si="632"/>
        <v>0</v>
      </c>
      <c r="BS269" s="24">
        <v>0</v>
      </c>
      <c r="BT269" s="24">
        <v>0</v>
      </c>
      <c r="BU269" s="24">
        <v>0</v>
      </c>
      <c r="BV269" s="24">
        <v>0</v>
      </c>
      <c r="BW269" s="24">
        <v>0</v>
      </c>
      <c r="BX269" s="24">
        <v>0</v>
      </c>
      <c r="BY269" s="24">
        <v>0</v>
      </c>
      <c r="BZ269" s="24">
        <v>0</v>
      </c>
      <c r="CA269" s="24">
        <v>0</v>
      </c>
      <c r="CB269" s="24">
        <v>0</v>
      </c>
      <c r="CC269" s="24">
        <v>0</v>
      </c>
      <c r="CD269" s="24">
        <f t="shared" si="633"/>
        <v>278408</v>
      </c>
      <c r="CE269" s="24">
        <f t="shared" si="634"/>
        <v>278408</v>
      </c>
      <c r="CF269" s="24">
        <f t="shared" si="508"/>
        <v>278408</v>
      </c>
      <c r="CG269" s="29">
        <v>0</v>
      </c>
      <c r="CH269" s="29">
        <f>45000+233408</f>
        <v>278408</v>
      </c>
      <c r="CI269" s="24">
        <f t="shared" si="635"/>
        <v>0</v>
      </c>
      <c r="CJ269" s="29">
        <v>0</v>
      </c>
      <c r="CK269" s="29">
        <v>0</v>
      </c>
      <c r="CL269" s="29">
        <v>0</v>
      </c>
      <c r="CM269" s="29">
        <v>0</v>
      </c>
      <c r="CN269" s="24">
        <f t="shared" si="636"/>
        <v>0</v>
      </c>
      <c r="CO269" s="29">
        <v>0</v>
      </c>
      <c r="CP269" s="29">
        <v>0</v>
      </c>
      <c r="CQ269" s="29">
        <v>0</v>
      </c>
      <c r="CR269" s="29">
        <v>0</v>
      </c>
      <c r="CS269" s="29">
        <v>0</v>
      </c>
      <c r="CT269" s="24">
        <v>0</v>
      </c>
      <c r="CU269" s="24">
        <v>0</v>
      </c>
      <c r="CV269" s="24">
        <v>0</v>
      </c>
      <c r="CW269" s="24">
        <f t="shared" si="509"/>
        <v>0</v>
      </c>
      <c r="CX269" s="24">
        <f t="shared" si="510"/>
        <v>0</v>
      </c>
      <c r="CY269" s="24">
        <v>0</v>
      </c>
      <c r="CZ269" s="25">
        <v>0</v>
      </c>
    </row>
    <row r="270" spans="1:104" ht="31.2" x14ac:dyDescent="0.3">
      <c r="A270" s="26" t="s">
        <v>1</v>
      </c>
      <c r="B270" s="27" t="s">
        <v>1</v>
      </c>
      <c r="C270" s="27" t="s">
        <v>198</v>
      </c>
      <c r="D270" s="28" t="s">
        <v>443</v>
      </c>
      <c r="E270" s="23">
        <f t="shared" si="637"/>
        <v>8217972</v>
      </c>
      <c r="F270" s="24">
        <f t="shared" si="625"/>
        <v>8217972</v>
      </c>
      <c r="G270" s="24">
        <f t="shared" si="626"/>
        <v>8217972</v>
      </c>
      <c r="H270" s="29">
        <v>0</v>
      </c>
      <c r="I270" s="29">
        <v>0</v>
      </c>
      <c r="J270" s="24">
        <f>SUM(K270:P270)</f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4">
        <f>SUM(R270:S270)</f>
        <v>0</v>
      </c>
      <c r="R270" s="29">
        <v>0</v>
      </c>
      <c r="S270" s="29">
        <v>0</v>
      </c>
      <c r="T270" s="29">
        <v>0</v>
      </c>
      <c r="U270" s="29">
        <v>0</v>
      </c>
      <c r="V270" s="24">
        <f t="shared" si="627"/>
        <v>0</v>
      </c>
      <c r="W270" s="29">
        <v>0</v>
      </c>
      <c r="X270" s="29"/>
      <c r="Y270" s="29">
        <v>0</v>
      </c>
      <c r="Z270" s="29">
        <v>0</v>
      </c>
      <c r="AA270" s="29">
        <v>0</v>
      </c>
      <c r="AB270" s="29">
        <v>0</v>
      </c>
      <c r="AC270" s="29">
        <v>0</v>
      </c>
      <c r="AD270" s="29">
        <v>0</v>
      </c>
      <c r="AE270" s="29">
        <v>0</v>
      </c>
      <c r="AF270" s="24">
        <f t="shared" si="628"/>
        <v>8217972</v>
      </c>
      <c r="AG270" s="30"/>
      <c r="AH270" s="30"/>
      <c r="AI270" s="62">
        <v>0</v>
      </c>
      <c r="AJ270" s="62"/>
      <c r="AK270" s="62">
        <v>0</v>
      </c>
      <c r="AL270" s="62">
        <v>0</v>
      </c>
      <c r="AM270" s="62">
        <v>0</v>
      </c>
      <c r="AN270" s="62">
        <v>0</v>
      </c>
      <c r="AO270" s="62">
        <v>0</v>
      </c>
      <c r="AP270" s="62">
        <v>0</v>
      </c>
      <c r="AQ270" s="62">
        <v>0</v>
      </c>
      <c r="AR270" s="62">
        <v>0</v>
      </c>
      <c r="AS270" s="62">
        <v>0</v>
      </c>
      <c r="AT270" s="62">
        <v>0</v>
      </c>
      <c r="AU270" s="62">
        <v>0</v>
      </c>
      <c r="AV270" s="62">
        <v>0</v>
      </c>
      <c r="AW270" s="62">
        <v>0</v>
      </c>
      <c r="AX270" s="62">
        <v>0</v>
      </c>
      <c r="AY270" s="62">
        <v>0</v>
      </c>
      <c r="AZ270" s="62">
        <v>0</v>
      </c>
      <c r="BA270" s="62">
        <v>0</v>
      </c>
      <c r="BB270" s="62">
        <v>0</v>
      </c>
      <c r="BC270" s="62">
        <v>8217972</v>
      </c>
      <c r="BD270" s="24">
        <f t="shared" si="629"/>
        <v>0</v>
      </c>
      <c r="BE270" s="24">
        <f t="shared" si="630"/>
        <v>0</v>
      </c>
      <c r="BF270" s="24">
        <v>0</v>
      </c>
      <c r="BG270" s="24">
        <v>0</v>
      </c>
      <c r="BH270" s="24">
        <v>0</v>
      </c>
      <c r="BI270" s="24">
        <f t="shared" si="631"/>
        <v>0</v>
      </c>
      <c r="BJ270" s="24">
        <v>0</v>
      </c>
      <c r="BK270" s="24">
        <v>0</v>
      </c>
      <c r="BL270" s="24">
        <v>0</v>
      </c>
      <c r="BM270" s="24">
        <v>0</v>
      </c>
      <c r="BN270" s="24">
        <v>0</v>
      </c>
      <c r="BO270" s="24">
        <f>SUM(BP270)</f>
        <v>0</v>
      </c>
      <c r="BP270" s="24">
        <v>0</v>
      </c>
      <c r="BQ270" s="24">
        <v>0</v>
      </c>
      <c r="BR270" s="24">
        <f t="shared" si="632"/>
        <v>0</v>
      </c>
      <c r="BS270" s="24">
        <v>0</v>
      </c>
      <c r="BT270" s="24">
        <v>0</v>
      </c>
      <c r="BU270" s="24">
        <v>0</v>
      </c>
      <c r="BV270" s="24">
        <v>0</v>
      </c>
      <c r="BW270" s="24">
        <v>0</v>
      </c>
      <c r="BX270" s="24">
        <v>0</v>
      </c>
      <c r="BY270" s="24">
        <v>0</v>
      </c>
      <c r="BZ270" s="24">
        <v>0</v>
      </c>
      <c r="CA270" s="24">
        <v>0</v>
      </c>
      <c r="CB270" s="24">
        <v>0</v>
      </c>
      <c r="CC270" s="24">
        <v>0</v>
      </c>
      <c r="CD270" s="24">
        <f t="shared" si="633"/>
        <v>0</v>
      </c>
      <c r="CE270" s="24">
        <f t="shared" si="634"/>
        <v>0</v>
      </c>
      <c r="CF270" s="24">
        <f>SUM(CG270:CH270)</f>
        <v>0</v>
      </c>
      <c r="CG270" s="29">
        <v>0</v>
      </c>
      <c r="CH270" s="29">
        <v>0</v>
      </c>
      <c r="CI270" s="24">
        <f t="shared" si="635"/>
        <v>0</v>
      </c>
      <c r="CJ270" s="29">
        <v>0</v>
      </c>
      <c r="CK270" s="29">
        <v>0</v>
      </c>
      <c r="CL270" s="29">
        <v>0</v>
      </c>
      <c r="CM270" s="29">
        <v>0</v>
      </c>
      <c r="CN270" s="24">
        <f t="shared" si="636"/>
        <v>0</v>
      </c>
      <c r="CO270" s="29">
        <v>0</v>
      </c>
      <c r="CP270" s="29">
        <v>0</v>
      </c>
      <c r="CQ270" s="29">
        <v>0</v>
      </c>
      <c r="CR270" s="29">
        <v>0</v>
      </c>
      <c r="CS270" s="29">
        <v>0</v>
      </c>
      <c r="CT270" s="24">
        <v>0</v>
      </c>
      <c r="CU270" s="24">
        <v>0</v>
      </c>
      <c r="CV270" s="24">
        <v>0</v>
      </c>
      <c r="CW270" s="24">
        <f>SUM(CX270)</f>
        <v>0</v>
      </c>
      <c r="CX270" s="24">
        <f>SUM(CY270:CZ270)</f>
        <v>0</v>
      </c>
      <c r="CY270" s="24">
        <v>0</v>
      </c>
      <c r="CZ270" s="25">
        <v>0</v>
      </c>
    </row>
    <row r="271" spans="1:104" ht="15.6" x14ac:dyDescent="0.3">
      <c r="A271" s="26" t="s">
        <v>1</v>
      </c>
      <c r="B271" s="27" t="s">
        <v>1</v>
      </c>
      <c r="C271" s="27" t="s">
        <v>198</v>
      </c>
      <c r="D271" s="28" t="s">
        <v>370</v>
      </c>
      <c r="E271" s="23">
        <f t="shared" si="637"/>
        <v>48390481</v>
      </c>
      <c r="F271" s="24">
        <f t="shared" si="625"/>
        <v>42947761</v>
      </c>
      <c r="G271" s="24">
        <f t="shared" si="626"/>
        <v>42942761</v>
      </c>
      <c r="H271" s="29">
        <v>25715014</v>
      </c>
      <c r="I271" s="29">
        <v>6428754</v>
      </c>
      <c r="J271" s="24">
        <f t="shared" si="504"/>
        <v>2941850</v>
      </c>
      <c r="K271" s="29">
        <v>34000</v>
      </c>
      <c r="L271" s="29">
        <v>150000</v>
      </c>
      <c r="M271" s="29">
        <f>579500-420000</f>
        <v>159500</v>
      </c>
      <c r="N271" s="29">
        <v>0</v>
      </c>
      <c r="O271" s="29">
        <v>912508</v>
      </c>
      <c r="P271" s="29">
        <v>1685842</v>
      </c>
      <c r="Q271" s="24">
        <f t="shared" si="505"/>
        <v>235500</v>
      </c>
      <c r="R271" s="29">
        <v>30500</v>
      </c>
      <c r="S271" s="29">
        <v>205000</v>
      </c>
      <c r="T271" s="29">
        <v>0</v>
      </c>
      <c r="U271" s="29">
        <v>334400</v>
      </c>
      <c r="V271" s="24">
        <f t="shared" si="627"/>
        <v>3766390</v>
      </c>
      <c r="W271" s="29">
        <v>541739</v>
      </c>
      <c r="X271" s="29">
        <f>1458040+387073+470000</f>
        <v>2315113</v>
      </c>
      <c r="Y271" s="29">
        <v>415384</v>
      </c>
      <c r="Z271" s="29">
        <v>200852</v>
      </c>
      <c r="AA271" s="29">
        <v>133124</v>
      </c>
      <c r="AB271" s="29">
        <v>160000</v>
      </c>
      <c r="AC271" s="29">
        <v>0</v>
      </c>
      <c r="AD271" s="29">
        <v>178</v>
      </c>
      <c r="AE271" s="29">
        <v>0</v>
      </c>
      <c r="AF271" s="24">
        <f t="shared" si="628"/>
        <v>3520853</v>
      </c>
      <c r="AG271" s="30"/>
      <c r="AH271" s="30"/>
      <c r="AI271" s="62">
        <v>307000</v>
      </c>
      <c r="AJ271" s="62">
        <f>569410+7580</f>
        <v>576990</v>
      </c>
      <c r="AK271" s="62">
        <v>667717</v>
      </c>
      <c r="AL271" s="62">
        <v>320530</v>
      </c>
      <c r="AM271" s="62">
        <v>0</v>
      </c>
      <c r="AN271" s="62">
        <v>228000</v>
      </c>
      <c r="AO271" s="62">
        <v>469000</v>
      </c>
      <c r="AP271" s="62">
        <v>0</v>
      </c>
      <c r="AQ271" s="62">
        <v>17850</v>
      </c>
      <c r="AR271" s="62">
        <v>0</v>
      </c>
      <c r="AS271" s="62">
        <v>0</v>
      </c>
      <c r="AT271" s="62">
        <v>0</v>
      </c>
      <c r="AU271" s="62">
        <v>0</v>
      </c>
      <c r="AV271" s="62">
        <v>0</v>
      </c>
      <c r="AW271" s="62">
        <v>0</v>
      </c>
      <c r="AX271" s="62">
        <v>0</v>
      </c>
      <c r="AY271" s="62">
        <v>0</v>
      </c>
      <c r="AZ271" s="62">
        <v>0</v>
      </c>
      <c r="BA271" s="62">
        <v>0</v>
      </c>
      <c r="BB271" s="62">
        <v>0</v>
      </c>
      <c r="BC271" s="62">
        <v>933766</v>
      </c>
      <c r="BD271" s="24">
        <f t="shared" si="629"/>
        <v>5000</v>
      </c>
      <c r="BE271" s="24">
        <f t="shared" si="630"/>
        <v>0</v>
      </c>
      <c r="BF271" s="24">
        <v>0</v>
      </c>
      <c r="BG271" s="24">
        <v>0</v>
      </c>
      <c r="BH271" s="24">
        <v>0</v>
      </c>
      <c r="BI271" s="24">
        <f t="shared" si="631"/>
        <v>0</v>
      </c>
      <c r="BJ271" s="24">
        <v>0</v>
      </c>
      <c r="BK271" s="24">
        <v>0</v>
      </c>
      <c r="BL271" s="24">
        <v>0</v>
      </c>
      <c r="BM271" s="24">
        <v>0</v>
      </c>
      <c r="BN271" s="24">
        <v>0</v>
      </c>
      <c r="BO271" s="24">
        <f t="shared" si="507"/>
        <v>0</v>
      </c>
      <c r="BP271" s="24">
        <v>0</v>
      </c>
      <c r="BQ271" s="24">
        <v>0</v>
      </c>
      <c r="BR271" s="24">
        <f t="shared" si="632"/>
        <v>5000</v>
      </c>
      <c r="BS271" s="24">
        <v>0</v>
      </c>
      <c r="BT271" s="24">
        <v>0</v>
      </c>
      <c r="BU271" s="24">
        <v>5000</v>
      </c>
      <c r="BV271" s="24">
        <v>0</v>
      </c>
      <c r="BW271" s="24">
        <v>0</v>
      </c>
      <c r="BX271" s="24">
        <v>0</v>
      </c>
      <c r="BY271" s="24">
        <v>0</v>
      </c>
      <c r="BZ271" s="24">
        <v>0</v>
      </c>
      <c r="CA271" s="24">
        <v>0</v>
      </c>
      <c r="CB271" s="24">
        <v>0</v>
      </c>
      <c r="CC271" s="24">
        <v>0</v>
      </c>
      <c r="CD271" s="24">
        <f t="shared" si="633"/>
        <v>5442720</v>
      </c>
      <c r="CE271" s="24">
        <f t="shared" si="634"/>
        <v>5442720</v>
      </c>
      <c r="CF271" s="24">
        <f t="shared" si="508"/>
        <v>2736860</v>
      </c>
      <c r="CG271" s="29">
        <v>0</v>
      </c>
      <c r="CH271" s="29">
        <v>2736860</v>
      </c>
      <c r="CI271" s="24">
        <f t="shared" si="635"/>
        <v>0</v>
      </c>
      <c r="CJ271" s="29">
        <v>0</v>
      </c>
      <c r="CK271" s="29">
        <v>0</v>
      </c>
      <c r="CL271" s="29">
        <v>0</v>
      </c>
      <c r="CM271" s="29">
        <v>0</v>
      </c>
      <c r="CN271" s="24">
        <f t="shared" si="636"/>
        <v>2705860</v>
      </c>
      <c r="CO271" s="29"/>
      <c r="CP271" s="29">
        <f>2755860-50000</f>
        <v>2705860</v>
      </c>
      <c r="CQ271" s="29">
        <v>0</v>
      </c>
      <c r="CR271" s="29">
        <v>0</v>
      </c>
      <c r="CS271" s="29">
        <v>0</v>
      </c>
      <c r="CT271" s="24"/>
      <c r="CU271" s="24"/>
      <c r="CV271" s="24">
        <v>0</v>
      </c>
      <c r="CW271" s="24">
        <f t="shared" si="509"/>
        <v>0</v>
      </c>
      <c r="CX271" s="24">
        <f t="shared" si="510"/>
        <v>0</v>
      </c>
      <c r="CY271" s="24">
        <v>0</v>
      </c>
      <c r="CZ271" s="25">
        <v>0</v>
      </c>
    </row>
    <row r="272" spans="1:104" ht="15.6" x14ac:dyDescent="0.3">
      <c r="A272" s="26" t="s">
        <v>1</v>
      </c>
      <c r="B272" s="27" t="s">
        <v>1</v>
      </c>
      <c r="C272" s="27" t="s">
        <v>162</v>
      </c>
      <c r="D272" s="28" t="s">
        <v>371</v>
      </c>
      <c r="E272" s="23">
        <f t="shared" si="637"/>
        <v>1700000</v>
      </c>
      <c r="F272" s="24">
        <f t="shared" si="625"/>
        <v>1557700</v>
      </c>
      <c r="G272" s="24">
        <f t="shared" si="626"/>
        <v>1557700</v>
      </c>
      <c r="H272" s="29">
        <v>0</v>
      </c>
      <c r="I272" s="29">
        <v>0</v>
      </c>
      <c r="J272" s="24">
        <f t="shared" si="504"/>
        <v>421284</v>
      </c>
      <c r="K272" s="29">
        <v>0</v>
      </c>
      <c r="L272" s="29">
        <f>70000-60000</f>
        <v>10000</v>
      </c>
      <c r="M272" s="29">
        <v>0</v>
      </c>
      <c r="N272" s="29">
        <v>0</v>
      </c>
      <c r="O272" s="29">
        <f>100000+32000</f>
        <v>132000</v>
      </c>
      <c r="P272" s="29">
        <v>279284</v>
      </c>
      <c r="Q272" s="24">
        <f t="shared" si="505"/>
        <v>0</v>
      </c>
      <c r="R272" s="29">
        <v>0</v>
      </c>
      <c r="S272" s="29">
        <v>0</v>
      </c>
      <c r="T272" s="29">
        <v>0</v>
      </c>
      <c r="U272" s="29">
        <f>80000-14300</f>
        <v>65700</v>
      </c>
      <c r="V272" s="24">
        <f t="shared" si="627"/>
        <v>2000</v>
      </c>
      <c r="W272" s="29">
        <v>2000</v>
      </c>
      <c r="X272" s="29">
        <v>0</v>
      </c>
      <c r="Y272" s="29">
        <v>0</v>
      </c>
      <c r="Z272" s="29">
        <v>0</v>
      </c>
      <c r="AA272" s="29">
        <v>0</v>
      </c>
      <c r="AB272" s="29">
        <v>0</v>
      </c>
      <c r="AC272" s="29">
        <v>0</v>
      </c>
      <c r="AD272" s="29">
        <v>0</v>
      </c>
      <c r="AE272" s="29">
        <v>0</v>
      </c>
      <c r="AF272" s="24">
        <f t="shared" si="628"/>
        <v>1068716</v>
      </c>
      <c r="AG272" s="30"/>
      <c r="AH272" s="30"/>
      <c r="AI272" s="62">
        <v>60000</v>
      </c>
      <c r="AJ272" s="62">
        <v>150000</v>
      </c>
      <c r="AK272" s="62">
        <v>0</v>
      </c>
      <c r="AL272" s="62">
        <v>0</v>
      </c>
      <c r="AM272" s="62">
        <v>0</v>
      </c>
      <c r="AN272" s="62">
        <v>0</v>
      </c>
      <c r="AO272" s="62">
        <v>0</v>
      </c>
      <c r="AP272" s="62">
        <v>10000</v>
      </c>
      <c r="AQ272" s="62">
        <v>0</v>
      </c>
      <c r="AR272" s="62">
        <v>0</v>
      </c>
      <c r="AS272" s="62">
        <v>0</v>
      </c>
      <c r="AT272" s="62">
        <v>0</v>
      </c>
      <c r="AU272" s="62">
        <v>0</v>
      </c>
      <c r="AV272" s="62">
        <v>0</v>
      </c>
      <c r="AW272" s="62">
        <v>0</v>
      </c>
      <c r="AX272" s="62">
        <v>0</v>
      </c>
      <c r="AY272" s="62">
        <v>0</v>
      </c>
      <c r="AZ272" s="62">
        <v>0</v>
      </c>
      <c r="BA272" s="62">
        <v>448716</v>
      </c>
      <c r="BB272" s="62">
        <v>0</v>
      </c>
      <c r="BC272" s="62">
        <v>400000</v>
      </c>
      <c r="BD272" s="24">
        <f t="shared" si="629"/>
        <v>0</v>
      </c>
      <c r="BE272" s="24">
        <f t="shared" si="630"/>
        <v>0</v>
      </c>
      <c r="BF272" s="24">
        <v>0</v>
      </c>
      <c r="BG272" s="24">
        <v>0</v>
      </c>
      <c r="BH272" s="24">
        <v>0</v>
      </c>
      <c r="BI272" s="24">
        <f t="shared" si="631"/>
        <v>0</v>
      </c>
      <c r="BJ272" s="24">
        <v>0</v>
      </c>
      <c r="BK272" s="24">
        <v>0</v>
      </c>
      <c r="BL272" s="24">
        <v>0</v>
      </c>
      <c r="BM272" s="24">
        <v>0</v>
      </c>
      <c r="BN272" s="24">
        <v>0</v>
      </c>
      <c r="BO272" s="24">
        <f t="shared" si="507"/>
        <v>0</v>
      </c>
      <c r="BP272" s="24">
        <v>0</v>
      </c>
      <c r="BQ272" s="24">
        <v>0</v>
      </c>
      <c r="BR272" s="24">
        <f t="shared" si="632"/>
        <v>0</v>
      </c>
      <c r="BS272" s="24">
        <v>0</v>
      </c>
      <c r="BT272" s="24">
        <v>0</v>
      </c>
      <c r="BU272" s="24">
        <v>0</v>
      </c>
      <c r="BV272" s="24">
        <v>0</v>
      </c>
      <c r="BW272" s="24">
        <v>0</v>
      </c>
      <c r="BX272" s="24">
        <v>0</v>
      </c>
      <c r="BY272" s="24">
        <v>0</v>
      </c>
      <c r="BZ272" s="24">
        <v>0</v>
      </c>
      <c r="CA272" s="24">
        <v>0</v>
      </c>
      <c r="CB272" s="24">
        <v>0</v>
      </c>
      <c r="CC272" s="24">
        <v>0</v>
      </c>
      <c r="CD272" s="24">
        <f t="shared" si="633"/>
        <v>142300</v>
      </c>
      <c r="CE272" s="24">
        <f t="shared" si="634"/>
        <v>142300</v>
      </c>
      <c r="CF272" s="24">
        <f t="shared" si="508"/>
        <v>142300</v>
      </c>
      <c r="CG272" s="29">
        <v>0</v>
      </c>
      <c r="CH272" s="29">
        <f>100000+42300</f>
        <v>142300</v>
      </c>
      <c r="CI272" s="24">
        <f t="shared" si="635"/>
        <v>0</v>
      </c>
      <c r="CJ272" s="29">
        <v>0</v>
      </c>
      <c r="CK272" s="29">
        <v>0</v>
      </c>
      <c r="CL272" s="29">
        <v>0</v>
      </c>
      <c r="CM272" s="29">
        <v>0</v>
      </c>
      <c r="CN272" s="24">
        <f t="shared" si="636"/>
        <v>0</v>
      </c>
      <c r="CO272" s="29">
        <v>0</v>
      </c>
      <c r="CP272" s="29">
        <v>0</v>
      </c>
      <c r="CQ272" s="29">
        <v>0</v>
      </c>
      <c r="CR272" s="29">
        <v>0</v>
      </c>
      <c r="CS272" s="29">
        <v>0</v>
      </c>
      <c r="CT272" s="24">
        <v>0</v>
      </c>
      <c r="CU272" s="24">
        <v>0</v>
      </c>
      <c r="CV272" s="24">
        <v>0</v>
      </c>
      <c r="CW272" s="24">
        <f t="shared" si="509"/>
        <v>0</v>
      </c>
      <c r="CX272" s="24">
        <f t="shared" si="510"/>
        <v>0</v>
      </c>
      <c r="CY272" s="24">
        <v>0</v>
      </c>
      <c r="CZ272" s="25">
        <v>0</v>
      </c>
    </row>
    <row r="273" spans="1:218" ht="15.6" x14ac:dyDescent="0.3">
      <c r="A273" s="26" t="s">
        <v>1</v>
      </c>
      <c r="B273" s="27" t="s">
        <v>1</v>
      </c>
      <c r="C273" s="27" t="s">
        <v>164</v>
      </c>
      <c r="D273" s="28" t="s">
        <v>372</v>
      </c>
      <c r="E273" s="23">
        <f t="shared" si="637"/>
        <v>8803344</v>
      </c>
      <c r="F273" s="24">
        <f t="shared" si="625"/>
        <v>7898757</v>
      </c>
      <c r="G273" s="24">
        <f t="shared" si="626"/>
        <v>7898757</v>
      </c>
      <c r="H273" s="29">
        <v>806005</v>
      </c>
      <c r="I273" s="29">
        <v>164948</v>
      </c>
      <c r="J273" s="24">
        <f t="shared" si="504"/>
        <v>4825505</v>
      </c>
      <c r="K273" s="29">
        <v>35704</v>
      </c>
      <c r="L273" s="29">
        <v>20300</v>
      </c>
      <c r="M273" s="29">
        <v>129166</v>
      </c>
      <c r="N273" s="29">
        <v>0</v>
      </c>
      <c r="O273" s="29">
        <f>1038323+200000</f>
        <v>1238323</v>
      </c>
      <c r="P273" s="29">
        <f>2612334+789678</f>
        <v>3402012</v>
      </c>
      <c r="Q273" s="24">
        <f t="shared" si="505"/>
        <v>2000</v>
      </c>
      <c r="R273" s="29">
        <v>2000</v>
      </c>
      <c r="S273" s="29">
        <v>0</v>
      </c>
      <c r="T273" s="29">
        <v>0</v>
      </c>
      <c r="U273" s="29">
        <v>12300</v>
      </c>
      <c r="V273" s="24">
        <f t="shared" si="627"/>
        <v>379856</v>
      </c>
      <c r="W273" s="29">
        <v>143977</v>
      </c>
      <c r="X273" s="29">
        <v>0</v>
      </c>
      <c r="Y273" s="29">
        <f>64725+721</f>
        <v>65446</v>
      </c>
      <c r="Z273" s="29">
        <f>41049+519</f>
        <v>41568</v>
      </c>
      <c r="AA273" s="29">
        <f>61231+1366</f>
        <v>62597</v>
      </c>
      <c r="AB273" s="29">
        <v>0</v>
      </c>
      <c r="AC273" s="29">
        <v>0</v>
      </c>
      <c r="AD273" s="29">
        <f>65495+773</f>
        <v>66268</v>
      </c>
      <c r="AE273" s="29">
        <v>0</v>
      </c>
      <c r="AF273" s="24">
        <f t="shared" si="628"/>
        <v>1708143</v>
      </c>
      <c r="AG273" s="30"/>
      <c r="AH273" s="30"/>
      <c r="AI273" s="62">
        <v>69408</v>
      </c>
      <c r="AJ273" s="62">
        <f>536418+273918</f>
        <v>810336</v>
      </c>
      <c r="AK273" s="62">
        <v>0</v>
      </c>
      <c r="AL273" s="62">
        <v>18601</v>
      </c>
      <c r="AM273" s="62">
        <v>5000</v>
      </c>
      <c r="AN273" s="62">
        <v>0</v>
      </c>
      <c r="AO273" s="62">
        <v>17727</v>
      </c>
      <c r="AP273" s="62">
        <v>0</v>
      </c>
      <c r="AQ273" s="62">
        <v>316</v>
      </c>
      <c r="AR273" s="62">
        <v>0</v>
      </c>
      <c r="AS273" s="62">
        <v>5000</v>
      </c>
      <c r="AT273" s="62">
        <v>0</v>
      </c>
      <c r="AU273" s="62">
        <v>0</v>
      </c>
      <c r="AV273" s="62">
        <v>0</v>
      </c>
      <c r="AW273" s="62">
        <v>0</v>
      </c>
      <c r="AX273" s="62">
        <v>0</v>
      </c>
      <c r="AY273" s="62">
        <v>7791</v>
      </c>
      <c r="AZ273" s="62">
        <v>0</v>
      </c>
      <c r="BA273" s="62">
        <v>0</v>
      </c>
      <c r="BB273" s="62">
        <v>0</v>
      </c>
      <c r="BC273" s="62">
        <v>773964</v>
      </c>
      <c r="BD273" s="24">
        <f t="shared" si="629"/>
        <v>0</v>
      </c>
      <c r="BE273" s="24">
        <f t="shared" si="630"/>
        <v>0</v>
      </c>
      <c r="BF273" s="24">
        <v>0</v>
      </c>
      <c r="BG273" s="24">
        <v>0</v>
      </c>
      <c r="BH273" s="24">
        <v>0</v>
      </c>
      <c r="BI273" s="24">
        <f t="shared" si="631"/>
        <v>0</v>
      </c>
      <c r="BJ273" s="24">
        <v>0</v>
      </c>
      <c r="BK273" s="24">
        <v>0</v>
      </c>
      <c r="BL273" s="24">
        <v>0</v>
      </c>
      <c r="BM273" s="24">
        <v>0</v>
      </c>
      <c r="BN273" s="24">
        <v>0</v>
      </c>
      <c r="BO273" s="24">
        <f t="shared" si="507"/>
        <v>0</v>
      </c>
      <c r="BP273" s="24">
        <v>0</v>
      </c>
      <c r="BQ273" s="24">
        <v>0</v>
      </c>
      <c r="BR273" s="24">
        <f t="shared" si="632"/>
        <v>0</v>
      </c>
      <c r="BS273" s="24">
        <v>0</v>
      </c>
      <c r="BT273" s="24">
        <v>0</v>
      </c>
      <c r="BU273" s="24">
        <v>0</v>
      </c>
      <c r="BV273" s="24">
        <v>0</v>
      </c>
      <c r="BW273" s="24">
        <v>0</v>
      </c>
      <c r="BX273" s="24">
        <v>0</v>
      </c>
      <c r="BY273" s="24">
        <v>0</v>
      </c>
      <c r="BZ273" s="24">
        <v>0</v>
      </c>
      <c r="CA273" s="24">
        <v>0</v>
      </c>
      <c r="CB273" s="24">
        <v>0</v>
      </c>
      <c r="CC273" s="24">
        <v>0</v>
      </c>
      <c r="CD273" s="24">
        <f t="shared" si="633"/>
        <v>904587</v>
      </c>
      <c r="CE273" s="24">
        <f t="shared" si="634"/>
        <v>904587</v>
      </c>
      <c r="CF273" s="24">
        <f t="shared" si="508"/>
        <v>904587</v>
      </c>
      <c r="CG273" s="29">
        <v>259180</v>
      </c>
      <c r="CH273" s="29">
        <v>645407</v>
      </c>
      <c r="CI273" s="24">
        <f t="shared" si="635"/>
        <v>0</v>
      </c>
      <c r="CJ273" s="29">
        <v>0</v>
      </c>
      <c r="CK273" s="29">
        <v>0</v>
      </c>
      <c r="CL273" s="29">
        <v>0</v>
      </c>
      <c r="CM273" s="29">
        <v>0</v>
      </c>
      <c r="CN273" s="24">
        <f t="shared" si="636"/>
        <v>0</v>
      </c>
      <c r="CO273" s="29">
        <v>0</v>
      </c>
      <c r="CP273" s="29">
        <v>0</v>
      </c>
      <c r="CQ273" s="29">
        <v>0</v>
      </c>
      <c r="CR273" s="29">
        <v>0</v>
      </c>
      <c r="CS273" s="29">
        <v>0</v>
      </c>
      <c r="CT273" s="24">
        <v>0</v>
      </c>
      <c r="CU273" s="24">
        <v>0</v>
      </c>
      <c r="CV273" s="24">
        <v>0</v>
      </c>
      <c r="CW273" s="24">
        <f t="shared" si="509"/>
        <v>0</v>
      </c>
      <c r="CX273" s="24">
        <f t="shared" si="510"/>
        <v>0</v>
      </c>
      <c r="CY273" s="24">
        <v>0</v>
      </c>
      <c r="CZ273" s="25">
        <v>0</v>
      </c>
    </row>
    <row r="274" spans="1:218" ht="15.6" x14ac:dyDescent="0.3">
      <c r="A274" s="26" t="s">
        <v>1</v>
      </c>
      <c r="B274" s="27" t="s">
        <v>1</v>
      </c>
      <c r="C274" s="27" t="s">
        <v>96</v>
      </c>
      <c r="D274" s="28" t="s">
        <v>373</v>
      </c>
      <c r="E274" s="23">
        <f t="shared" si="637"/>
        <v>157953</v>
      </c>
      <c r="F274" s="24">
        <f t="shared" si="625"/>
        <v>155288</v>
      </c>
      <c r="G274" s="24">
        <f t="shared" si="626"/>
        <v>155288</v>
      </c>
      <c r="H274" s="29">
        <f>18659-16882</f>
        <v>1777</v>
      </c>
      <c r="I274" s="29">
        <f>4665-4221</f>
        <v>444</v>
      </c>
      <c r="J274" s="24">
        <f t="shared" si="504"/>
        <v>43569</v>
      </c>
      <c r="K274" s="29">
        <f>7641-2909</f>
        <v>4732</v>
      </c>
      <c r="L274" s="29">
        <v>443</v>
      </c>
      <c r="M274" s="29">
        <v>0</v>
      </c>
      <c r="N274" s="29">
        <v>0</v>
      </c>
      <c r="O274" s="29">
        <v>0</v>
      </c>
      <c r="P274" s="29">
        <f>36527+6803-4936</f>
        <v>38394</v>
      </c>
      <c r="Q274" s="24">
        <f t="shared" si="505"/>
        <v>0</v>
      </c>
      <c r="R274" s="29">
        <v>0</v>
      </c>
      <c r="S274" s="29">
        <v>0</v>
      </c>
      <c r="T274" s="29">
        <v>0</v>
      </c>
      <c r="U274" s="29">
        <f>7673-7122</f>
        <v>551</v>
      </c>
      <c r="V274" s="24">
        <f t="shared" si="627"/>
        <v>81995</v>
      </c>
      <c r="W274" s="29">
        <f>5272+5000-2829</f>
        <v>7443</v>
      </c>
      <c r="X274" s="29">
        <f>59369+10000-10201</f>
        <v>59168</v>
      </c>
      <c r="Y274" s="29">
        <f>11022-6789</f>
        <v>4233</v>
      </c>
      <c r="Z274" s="29">
        <f>11270-1336</f>
        <v>9934</v>
      </c>
      <c r="AA274" s="29">
        <f>1315-98</f>
        <v>1217</v>
      </c>
      <c r="AB274" s="29">
        <v>0</v>
      </c>
      <c r="AC274" s="29">
        <v>0</v>
      </c>
      <c r="AD274" s="29">
        <v>0</v>
      </c>
      <c r="AE274" s="29">
        <v>0</v>
      </c>
      <c r="AF274" s="24">
        <f t="shared" si="628"/>
        <v>26952</v>
      </c>
      <c r="AG274" s="30"/>
      <c r="AH274" s="30"/>
      <c r="AI274" s="62">
        <f>2837+1800-3180</f>
        <v>1457</v>
      </c>
      <c r="AJ274" s="62">
        <f>31999-31999</f>
        <v>0</v>
      </c>
      <c r="AK274" s="62">
        <v>0</v>
      </c>
      <c r="AL274" s="62">
        <f>568-282</f>
        <v>286</v>
      </c>
      <c r="AM274" s="62">
        <v>0</v>
      </c>
      <c r="AN274" s="62">
        <f>169-169</f>
        <v>0</v>
      </c>
      <c r="AO274" s="62">
        <v>0</v>
      </c>
      <c r="AP274" s="62">
        <v>0</v>
      </c>
      <c r="AQ274" s="62">
        <v>0</v>
      </c>
      <c r="AR274" s="62">
        <v>0</v>
      </c>
      <c r="AS274" s="62">
        <v>0</v>
      </c>
      <c r="AT274" s="62">
        <v>0</v>
      </c>
      <c r="AU274" s="62">
        <v>0</v>
      </c>
      <c r="AV274" s="62">
        <v>0</v>
      </c>
      <c r="AW274" s="62">
        <v>0</v>
      </c>
      <c r="AX274" s="62">
        <v>0</v>
      </c>
      <c r="AY274" s="62">
        <v>0</v>
      </c>
      <c r="AZ274" s="62">
        <v>0</v>
      </c>
      <c r="BA274" s="62">
        <v>0</v>
      </c>
      <c r="BB274" s="62">
        <v>0</v>
      </c>
      <c r="BC274" s="62">
        <f>84173+600-59564</f>
        <v>25209</v>
      </c>
      <c r="BD274" s="24">
        <f t="shared" si="629"/>
        <v>0</v>
      </c>
      <c r="BE274" s="24">
        <f t="shared" si="630"/>
        <v>0</v>
      </c>
      <c r="BF274" s="24">
        <v>0</v>
      </c>
      <c r="BG274" s="24">
        <v>0</v>
      </c>
      <c r="BH274" s="24">
        <v>0</v>
      </c>
      <c r="BI274" s="24">
        <f t="shared" si="631"/>
        <v>0</v>
      </c>
      <c r="BJ274" s="24">
        <v>0</v>
      </c>
      <c r="BK274" s="24">
        <v>0</v>
      </c>
      <c r="BL274" s="24">
        <v>0</v>
      </c>
      <c r="BM274" s="24">
        <v>0</v>
      </c>
      <c r="BN274" s="24">
        <v>0</v>
      </c>
      <c r="BO274" s="24">
        <f t="shared" si="507"/>
        <v>0</v>
      </c>
      <c r="BP274" s="24">
        <v>0</v>
      </c>
      <c r="BQ274" s="24">
        <v>0</v>
      </c>
      <c r="BR274" s="24">
        <f t="shared" si="632"/>
        <v>0</v>
      </c>
      <c r="BS274" s="24">
        <v>0</v>
      </c>
      <c r="BT274" s="24">
        <v>0</v>
      </c>
      <c r="BU274" s="24">
        <v>0</v>
      </c>
      <c r="BV274" s="24">
        <v>0</v>
      </c>
      <c r="BW274" s="24">
        <v>0</v>
      </c>
      <c r="BX274" s="24">
        <v>0</v>
      </c>
      <c r="BY274" s="24">
        <v>0</v>
      </c>
      <c r="BZ274" s="24">
        <v>0</v>
      </c>
      <c r="CA274" s="24">
        <v>0</v>
      </c>
      <c r="CB274" s="24">
        <v>0</v>
      </c>
      <c r="CC274" s="24">
        <v>0</v>
      </c>
      <c r="CD274" s="24">
        <f t="shared" si="633"/>
        <v>2665</v>
      </c>
      <c r="CE274" s="24">
        <f t="shared" si="634"/>
        <v>2665</v>
      </c>
      <c r="CF274" s="24">
        <f t="shared" si="508"/>
        <v>2665</v>
      </c>
      <c r="CG274" s="29">
        <v>0</v>
      </c>
      <c r="CH274" s="29">
        <f>4353+10000-11688</f>
        <v>2665</v>
      </c>
      <c r="CI274" s="24">
        <f t="shared" si="635"/>
        <v>0</v>
      </c>
      <c r="CJ274" s="29">
        <v>0</v>
      </c>
      <c r="CK274" s="29">
        <v>0</v>
      </c>
      <c r="CL274" s="29">
        <v>0</v>
      </c>
      <c r="CM274" s="29">
        <v>0</v>
      </c>
      <c r="CN274" s="24">
        <f t="shared" si="636"/>
        <v>0</v>
      </c>
      <c r="CO274" s="29">
        <v>0</v>
      </c>
      <c r="CP274" s="29">
        <v>0</v>
      </c>
      <c r="CQ274" s="29">
        <v>0</v>
      </c>
      <c r="CR274" s="29">
        <v>0</v>
      </c>
      <c r="CS274" s="29">
        <v>0</v>
      </c>
      <c r="CT274" s="24">
        <v>0</v>
      </c>
      <c r="CU274" s="24">
        <v>0</v>
      </c>
      <c r="CV274" s="24">
        <v>0</v>
      </c>
      <c r="CW274" s="24">
        <f t="shared" si="509"/>
        <v>0</v>
      </c>
      <c r="CX274" s="24">
        <f t="shared" si="510"/>
        <v>0</v>
      </c>
      <c r="CY274" s="24">
        <v>0</v>
      </c>
      <c r="CZ274" s="25">
        <v>0</v>
      </c>
    </row>
    <row r="275" spans="1:218" ht="15.6" x14ac:dyDescent="0.3">
      <c r="A275" s="26" t="s">
        <v>1</v>
      </c>
      <c r="B275" s="27" t="s">
        <v>1</v>
      </c>
      <c r="C275" s="27" t="s">
        <v>98</v>
      </c>
      <c r="D275" s="28" t="s">
        <v>444</v>
      </c>
      <c r="E275" s="23">
        <f t="shared" si="637"/>
        <v>660704</v>
      </c>
      <c r="F275" s="24">
        <f t="shared" si="625"/>
        <v>583704</v>
      </c>
      <c r="G275" s="24">
        <f t="shared" si="626"/>
        <v>583704</v>
      </c>
      <c r="H275" s="29">
        <v>22360</v>
      </c>
      <c r="I275" s="29">
        <v>5590</v>
      </c>
      <c r="J275" s="24">
        <f t="shared" si="504"/>
        <v>169455</v>
      </c>
      <c r="K275" s="29">
        <v>2500</v>
      </c>
      <c r="L275" s="29">
        <v>0</v>
      </c>
      <c r="M275" s="29">
        <v>0</v>
      </c>
      <c r="N275" s="29">
        <v>0</v>
      </c>
      <c r="O275" s="29">
        <f>10500+25000</f>
        <v>35500</v>
      </c>
      <c r="P275" s="29">
        <f>118160+3695+9600</f>
        <v>131455</v>
      </c>
      <c r="Q275" s="24">
        <f t="shared" si="505"/>
        <v>0</v>
      </c>
      <c r="R275" s="29">
        <v>0</v>
      </c>
      <c r="S275" s="29">
        <v>0</v>
      </c>
      <c r="T275" s="29">
        <v>0</v>
      </c>
      <c r="U275" s="29">
        <v>0</v>
      </c>
      <c r="V275" s="24">
        <f t="shared" si="627"/>
        <v>252926</v>
      </c>
      <c r="W275" s="29">
        <f>1048+12000</f>
        <v>13048</v>
      </c>
      <c r="X275" s="29">
        <v>102028</v>
      </c>
      <c r="Y275" s="29">
        <f>27875+35686+6588+2976</f>
        <v>73125</v>
      </c>
      <c r="Z275" s="29">
        <f>36790+20000</f>
        <v>56790</v>
      </c>
      <c r="AA275" s="29">
        <v>7072</v>
      </c>
      <c r="AB275" s="29"/>
      <c r="AC275" s="29">
        <v>0</v>
      </c>
      <c r="AD275" s="29">
        <v>863</v>
      </c>
      <c r="AE275" s="29">
        <v>0</v>
      </c>
      <c r="AF275" s="24">
        <f t="shared" si="628"/>
        <v>133373</v>
      </c>
      <c r="AG275" s="30"/>
      <c r="AH275" s="30"/>
      <c r="AI275" s="62">
        <f>2500+5000</f>
        <v>7500</v>
      </c>
      <c r="AJ275" s="62">
        <v>30210</v>
      </c>
      <c r="AK275" s="62">
        <v>3620</v>
      </c>
      <c r="AL275" s="62">
        <v>15500</v>
      </c>
      <c r="AM275" s="62">
        <v>0</v>
      </c>
      <c r="AN275" s="62">
        <v>1604</v>
      </c>
      <c r="AO275" s="62">
        <v>12251</v>
      </c>
      <c r="AP275" s="62">
        <v>0</v>
      </c>
      <c r="AQ275" s="62">
        <v>0</v>
      </c>
      <c r="AR275" s="62">
        <v>0</v>
      </c>
      <c r="AS275" s="62">
        <v>0</v>
      </c>
      <c r="AT275" s="62">
        <v>0</v>
      </c>
      <c r="AU275" s="62">
        <v>25206</v>
      </c>
      <c r="AV275" s="62">
        <v>0</v>
      </c>
      <c r="AW275" s="62">
        <v>0</v>
      </c>
      <c r="AX275" s="62">
        <v>0</v>
      </c>
      <c r="AY275" s="62">
        <v>0</v>
      </c>
      <c r="AZ275" s="62">
        <v>0</v>
      </c>
      <c r="BA275" s="62">
        <v>0</v>
      </c>
      <c r="BB275" s="62">
        <v>0</v>
      </c>
      <c r="BC275" s="62">
        <f>39070+5000-6588</f>
        <v>37482</v>
      </c>
      <c r="BD275" s="24">
        <f t="shared" si="629"/>
        <v>0</v>
      </c>
      <c r="BE275" s="24">
        <f t="shared" si="630"/>
        <v>0</v>
      </c>
      <c r="BF275" s="24">
        <v>0</v>
      </c>
      <c r="BG275" s="24">
        <v>0</v>
      </c>
      <c r="BH275" s="24">
        <v>0</v>
      </c>
      <c r="BI275" s="24">
        <f t="shared" si="631"/>
        <v>0</v>
      </c>
      <c r="BJ275" s="24">
        <v>0</v>
      </c>
      <c r="BK275" s="24">
        <v>0</v>
      </c>
      <c r="BL275" s="24">
        <v>0</v>
      </c>
      <c r="BM275" s="24">
        <v>0</v>
      </c>
      <c r="BN275" s="24">
        <v>0</v>
      </c>
      <c r="BO275" s="24">
        <f t="shared" si="507"/>
        <v>0</v>
      </c>
      <c r="BP275" s="24">
        <v>0</v>
      </c>
      <c r="BQ275" s="24">
        <v>0</v>
      </c>
      <c r="BR275" s="24">
        <f t="shared" si="632"/>
        <v>0</v>
      </c>
      <c r="BS275" s="24">
        <v>0</v>
      </c>
      <c r="BT275" s="24">
        <v>0</v>
      </c>
      <c r="BU275" s="24">
        <v>0</v>
      </c>
      <c r="BV275" s="24">
        <v>0</v>
      </c>
      <c r="BW275" s="24">
        <v>0</v>
      </c>
      <c r="BX275" s="24">
        <v>0</v>
      </c>
      <c r="BY275" s="24">
        <v>0</v>
      </c>
      <c r="BZ275" s="24">
        <v>0</v>
      </c>
      <c r="CA275" s="24">
        <v>0</v>
      </c>
      <c r="CB275" s="24">
        <v>0</v>
      </c>
      <c r="CC275" s="24">
        <v>0</v>
      </c>
      <c r="CD275" s="24">
        <f t="shared" si="633"/>
        <v>77000</v>
      </c>
      <c r="CE275" s="24">
        <f t="shared" si="634"/>
        <v>77000</v>
      </c>
      <c r="CF275" s="24">
        <f t="shared" si="508"/>
        <v>77000</v>
      </c>
      <c r="CG275" s="29">
        <v>0</v>
      </c>
      <c r="CH275" s="29">
        <f>35000+42000</f>
        <v>77000</v>
      </c>
      <c r="CI275" s="24">
        <f t="shared" si="635"/>
        <v>0</v>
      </c>
      <c r="CJ275" s="29">
        <v>0</v>
      </c>
      <c r="CK275" s="29">
        <v>0</v>
      </c>
      <c r="CL275" s="29">
        <v>0</v>
      </c>
      <c r="CM275" s="29">
        <v>0</v>
      </c>
      <c r="CN275" s="24">
        <f t="shared" si="636"/>
        <v>0</v>
      </c>
      <c r="CO275" s="29">
        <v>0</v>
      </c>
      <c r="CP275" s="29">
        <v>0</v>
      </c>
      <c r="CQ275" s="29">
        <v>0</v>
      </c>
      <c r="CR275" s="29">
        <v>0</v>
      </c>
      <c r="CS275" s="29">
        <v>0</v>
      </c>
      <c r="CT275" s="24">
        <v>0</v>
      </c>
      <c r="CU275" s="24">
        <v>0</v>
      </c>
      <c r="CV275" s="24">
        <v>0</v>
      </c>
      <c r="CW275" s="24">
        <f t="shared" si="509"/>
        <v>0</v>
      </c>
      <c r="CX275" s="24">
        <f t="shared" si="510"/>
        <v>0</v>
      </c>
      <c r="CY275" s="24">
        <v>0</v>
      </c>
      <c r="CZ275" s="25">
        <v>0</v>
      </c>
    </row>
    <row r="276" spans="1:218" ht="31.2" x14ac:dyDescent="0.3">
      <c r="A276" s="26" t="s">
        <v>1</v>
      </c>
      <c r="B276" s="27" t="s">
        <v>1</v>
      </c>
      <c r="C276" s="27" t="s">
        <v>98</v>
      </c>
      <c r="D276" s="28" t="s">
        <v>445</v>
      </c>
      <c r="E276" s="23">
        <f t="shared" si="637"/>
        <v>1034408</v>
      </c>
      <c r="F276" s="24">
        <f t="shared" si="625"/>
        <v>1002299</v>
      </c>
      <c r="G276" s="24">
        <f t="shared" si="626"/>
        <v>1002299</v>
      </c>
      <c r="H276" s="29">
        <v>321088</v>
      </c>
      <c r="I276" s="29">
        <v>80272</v>
      </c>
      <c r="J276" s="24">
        <f t="shared" si="504"/>
        <v>392497</v>
      </c>
      <c r="K276" s="29">
        <v>5002</v>
      </c>
      <c r="L276" s="29">
        <v>44250</v>
      </c>
      <c r="M276" s="29">
        <v>0</v>
      </c>
      <c r="N276" s="29">
        <v>0</v>
      </c>
      <c r="O276" s="29">
        <f>253814-1054</f>
        <v>252760</v>
      </c>
      <c r="P276" s="29">
        <f>88277+2208</f>
        <v>90485</v>
      </c>
      <c r="Q276" s="24">
        <f t="shared" si="505"/>
        <v>873</v>
      </c>
      <c r="R276" s="29">
        <v>873</v>
      </c>
      <c r="S276" s="29">
        <v>0</v>
      </c>
      <c r="T276" s="29">
        <v>0</v>
      </c>
      <c r="U276" s="29">
        <v>14352</v>
      </c>
      <c r="V276" s="24">
        <f t="shared" si="627"/>
        <v>33217</v>
      </c>
      <c r="W276" s="29">
        <v>13055</v>
      </c>
      <c r="X276" s="29">
        <v>6582</v>
      </c>
      <c r="Y276" s="29">
        <v>4891</v>
      </c>
      <c r="Z276" s="29">
        <f>1278+1054</f>
        <v>2332</v>
      </c>
      <c r="AA276" s="29">
        <v>6357</v>
      </c>
      <c r="AB276" s="29">
        <v>0</v>
      </c>
      <c r="AC276" s="29">
        <v>0</v>
      </c>
      <c r="AD276" s="29">
        <v>0</v>
      </c>
      <c r="AE276" s="29">
        <v>0</v>
      </c>
      <c r="AF276" s="24">
        <f t="shared" si="628"/>
        <v>160000</v>
      </c>
      <c r="AG276" s="30"/>
      <c r="AH276" s="30"/>
      <c r="AI276" s="29">
        <v>17769</v>
      </c>
      <c r="AJ276" s="29">
        <v>47050</v>
      </c>
      <c r="AK276" s="29">
        <v>0</v>
      </c>
      <c r="AL276" s="29">
        <v>2400</v>
      </c>
      <c r="AM276" s="29">
        <v>0</v>
      </c>
      <c r="AN276" s="29">
        <v>3889</v>
      </c>
      <c r="AO276" s="29">
        <v>45012</v>
      </c>
      <c r="AP276" s="29">
        <v>0</v>
      </c>
      <c r="AQ276" s="29">
        <v>0</v>
      </c>
      <c r="AR276" s="29">
        <v>0</v>
      </c>
      <c r="AS276" s="29">
        <v>0</v>
      </c>
      <c r="AT276" s="29">
        <v>0</v>
      </c>
      <c r="AU276" s="29">
        <v>0</v>
      </c>
      <c r="AV276" s="29">
        <v>0</v>
      </c>
      <c r="AW276" s="29">
        <v>0</v>
      </c>
      <c r="AX276" s="29">
        <v>0</v>
      </c>
      <c r="AY276" s="29">
        <v>0</v>
      </c>
      <c r="AZ276" s="29">
        <v>0</v>
      </c>
      <c r="BA276" s="29">
        <v>0</v>
      </c>
      <c r="BB276" s="29">
        <v>0</v>
      </c>
      <c r="BC276" s="29">
        <v>43880</v>
      </c>
      <c r="BD276" s="24">
        <f t="shared" si="629"/>
        <v>0</v>
      </c>
      <c r="BE276" s="24">
        <f t="shared" si="630"/>
        <v>0</v>
      </c>
      <c r="BF276" s="24">
        <v>0</v>
      </c>
      <c r="BG276" s="24">
        <v>0</v>
      </c>
      <c r="BH276" s="24">
        <v>0</v>
      </c>
      <c r="BI276" s="24">
        <f t="shared" si="631"/>
        <v>0</v>
      </c>
      <c r="BJ276" s="24">
        <v>0</v>
      </c>
      <c r="BK276" s="24">
        <v>0</v>
      </c>
      <c r="BL276" s="24">
        <v>0</v>
      </c>
      <c r="BM276" s="24">
        <v>0</v>
      </c>
      <c r="BN276" s="24">
        <v>0</v>
      </c>
      <c r="BO276" s="24">
        <f t="shared" si="507"/>
        <v>0</v>
      </c>
      <c r="BP276" s="24">
        <v>0</v>
      </c>
      <c r="BQ276" s="24">
        <v>0</v>
      </c>
      <c r="BR276" s="24">
        <f t="shared" si="632"/>
        <v>0</v>
      </c>
      <c r="BS276" s="24">
        <v>0</v>
      </c>
      <c r="BT276" s="24">
        <v>0</v>
      </c>
      <c r="BU276" s="24">
        <v>0</v>
      </c>
      <c r="BV276" s="24">
        <v>0</v>
      </c>
      <c r="BW276" s="24">
        <v>0</v>
      </c>
      <c r="BX276" s="24">
        <v>0</v>
      </c>
      <c r="BY276" s="24">
        <v>0</v>
      </c>
      <c r="BZ276" s="24">
        <v>0</v>
      </c>
      <c r="CA276" s="24">
        <v>0</v>
      </c>
      <c r="CB276" s="24">
        <v>0</v>
      </c>
      <c r="CC276" s="24">
        <v>0</v>
      </c>
      <c r="CD276" s="24">
        <f t="shared" si="633"/>
        <v>32109</v>
      </c>
      <c r="CE276" s="24">
        <f t="shared" si="634"/>
        <v>32109</v>
      </c>
      <c r="CF276" s="24">
        <f t="shared" si="508"/>
        <v>32109</v>
      </c>
      <c r="CG276" s="30"/>
      <c r="CH276" s="29">
        <v>32109</v>
      </c>
      <c r="CI276" s="24">
        <f t="shared" si="635"/>
        <v>0</v>
      </c>
      <c r="CJ276" s="24">
        <v>0</v>
      </c>
      <c r="CK276" s="24">
        <v>0</v>
      </c>
      <c r="CL276" s="24">
        <v>0</v>
      </c>
      <c r="CM276" s="24">
        <v>0</v>
      </c>
      <c r="CN276" s="24">
        <f t="shared" si="636"/>
        <v>0</v>
      </c>
      <c r="CO276" s="30"/>
      <c r="CP276" s="30"/>
      <c r="CQ276" s="24">
        <v>0</v>
      </c>
      <c r="CR276" s="24"/>
      <c r="CS276" s="24"/>
      <c r="CT276" s="24">
        <v>0</v>
      </c>
      <c r="CU276" s="24">
        <v>0</v>
      </c>
      <c r="CV276" s="24">
        <v>0</v>
      </c>
      <c r="CW276" s="24">
        <f t="shared" si="509"/>
        <v>0</v>
      </c>
      <c r="CX276" s="24">
        <f t="shared" si="510"/>
        <v>0</v>
      </c>
      <c r="CY276" s="24">
        <v>0</v>
      </c>
      <c r="CZ276" s="25">
        <v>0</v>
      </c>
    </row>
    <row r="277" spans="1:218" ht="15.6" x14ac:dyDescent="0.3">
      <c r="A277" s="26" t="s">
        <v>1</v>
      </c>
      <c r="B277" s="27" t="s">
        <v>1</v>
      </c>
      <c r="C277" s="27" t="s">
        <v>98</v>
      </c>
      <c r="D277" s="28" t="s">
        <v>656</v>
      </c>
      <c r="E277" s="23">
        <f t="shared" si="637"/>
        <v>1600282</v>
      </c>
      <c r="F277" s="24">
        <f t="shared" si="625"/>
        <v>1457253</v>
      </c>
      <c r="G277" s="24">
        <f t="shared" si="626"/>
        <v>1457253</v>
      </c>
      <c r="H277" s="29">
        <v>285348</v>
      </c>
      <c r="I277" s="29">
        <v>71337</v>
      </c>
      <c r="J277" s="24">
        <f t="shared" si="504"/>
        <v>138893</v>
      </c>
      <c r="K277" s="29">
        <v>0</v>
      </c>
      <c r="L277" s="29">
        <v>0</v>
      </c>
      <c r="M277" s="29">
        <v>0</v>
      </c>
      <c r="N277" s="29">
        <v>0</v>
      </c>
      <c r="O277" s="29">
        <v>78615</v>
      </c>
      <c r="P277" s="29">
        <v>60278</v>
      </c>
      <c r="Q277" s="24">
        <f t="shared" si="505"/>
        <v>60250</v>
      </c>
      <c r="R277" s="29">
        <v>1000</v>
      </c>
      <c r="S277" s="29">
        <v>59250</v>
      </c>
      <c r="T277" s="29">
        <v>0</v>
      </c>
      <c r="U277" s="29">
        <v>29479</v>
      </c>
      <c r="V277" s="24">
        <f t="shared" si="627"/>
        <v>192822</v>
      </c>
      <c r="W277" s="29">
        <v>71155</v>
      </c>
      <c r="X277" s="29">
        <v>1991</v>
      </c>
      <c r="Y277" s="29">
        <v>78163</v>
      </c>
      <c r="Z277" s="29">
        <v>13249</v>
      </c>
      <c r="AA277" s="29">
        <v>2963</v>
      </c>
      <c r="AB277" s="29">
        <v>0</v>
      </c>
      <c r="AC277" s="29">
        <v>0</v>
      </c>
      <c r="AD277" s="29">
        <v>25301</v>
      </c>
      <c r="AE277" s="29">
        <v>0</v>
      </c>
      <c r="AF277" s="24">
        <f t="shared" si="628"/>
        <v>679124</v>
      </c>
      <c r="AG277" s="30"/>
      <c r="AH277" s="30"/>
      <c r="AI277" s="29">
        <v>13627</v>
      </c>
      <c r="AJ277" s="29">
        <v>43392</v>
      </c>
      <c r="AK277" s="29">
        <v>0</v>
      </c>
      <c r="AL277" s="29">
        <v>1591</v>
      </c>
      <c r="AM277" s="29">
        <v>0</v>
      </c>
      <c r="AN277" s="29">
        <v>2853</v>
      </c>
      <c r="AO277" s="29">
        <v>81714</v>
      </c>
      <c r="AP277" s="29">
        <v>0</v>
      </c>
      <c r="AQ277" s="29">
        <v>0</v>
      </c>
      <c r="AR277" s="29">
        <v>0</v>
      </c>
      <c r="AS277" s="29">
        <v>0</v>
      </c>
      <c r="AT277" s="29">
        <v>0</v>
      </c>
      <c r="AU277" s="29">
        <v>0</v>
      </c>
      <c r="AV277" s="29">
        <v>0</v>
      </c>
      <c r="AW277" s="29">
        <v>0</v>
      </c>
      <c r="AX277" s="29">
        <v>0</v>
      </c>
      <c r="AY277" s="29">
        <v>0</v>
      </c>
      <c r="AZ277" s="29">
        <v>0</v>
      </c>
      <c r="BA277" s="29">
        <v>0</v>
      </c>
      <c r="BB277" s="29">
        <v>0</v>
      </c>
      <c r="BC277" s="29">
        <f>535665+282</f>
        <v>535947</v>
      </c>
      <c r="BD277" s="24">
        <f t="shared" si="629"/>
        <v>0</v>
      </c>
      <c r="BE277" s="24">
        <f t="shared" si="630"/>
        <v>0</v>
      </c>
      <c r="BF277" s="24">
        <v>0</v>
      </c>
      <c r="BG277" s="24">
        <v>0</v>
      </c>
      <c r="BH277" s="24">
        <v>0</v>
      </c>
      <c r="BI277" s="24">
        <f t="shared" si="631"/>
        <v>0</v>
      </c>
      <c r="BJ277" s="24">
        <v>0</v>
      </c>
      <c r="BK277" s="24">
        <v>0</v>
      </c>
      <c r="BL277" s="24">
        <v>0</v>
      </c>
      <c r="BM277" s="24">
        <v>0</v>
      </c>
      <c r="BN277" s="24">
        <v>0</v>
      </c>
      <c r="BO277" s="24">
        <f t="shared" si="507"/>
        <v>0</v>
      </c>
      <c r="BP277" s="24">
        <v>0</v>
      </c>
      <c r="BQ277" s="24">
        <v>0</v>
      </c>
      <c r="BR277" s="24">
        <f t="shared" si="632"/>
        <v>0</v>
      </c>
      <c r="BS277" s="24">
        <v>0</v>
      </c>
      <c r="BT277" s="24">
        <v>0</v>
      </c>
      <c r="BU277" s="24">
        <v>0</v>
      </c>
      <c r="BV277" s="24">
        <v>0</v>
      </c>
      <c r="BW277" s="24">
        <v>0</v>
      </c>
      <c r="BX277" s="24">
        <v>0</v>
      </c>
      <c r="BY277" s="24">
        <v>0</v>
      </c>
      <c r="BZ277" s="24">
        <v>0</v>
      </c>
      <c r="CA277" s="24">
        <v>0</v>
      </c>
      <c r="CB277" s="24">
        <v>0</v>
      </c>
      <c r="CC277" s="24">
        <v>0</v>
      </c>
      <c r="CD277" s="24">
        <f t="shared" si="633"/>
        <v>143029</v>
      </c>
      <c r="CE277" s="24">
        <f t="shared" si="634"/>
        <v>143029</v>
      </c>
      <c r="CF277" s="24">
        <f t="shared" si="508"/>
        <v>143029</v>
      </c>
      <c r="CG277" s="30"/>
      <c r="CH277" s="29">
        <v>143029</v>
      </c>
      <c r="CI277" s="24">
        <f t="shared" si="635"/>
        <v>0</v>
      </c>
      <c r="CJ277" s="24">
        <v>0</v>
      </c>
      <c r="CK277" s="24">
        <v>0</v>
      </c>
      <c r="CL277" s="24">
        <v>0</v>
      </c>
      <c r="CM277" s="24">
        <v>0</v>
      </c>
      <c r="CN277" s="24">
        <f t="shared" si="636"/>
        <v>0</v>
      </c>
      <c r="CO277" s="30"/>
      <c r="CP277" s="30"/>
      <c r="CQ277" s="24">
        <v>0</v>
      </c>
      <c r="CR277" s="24"/>
      <c r="CS277" s="24"/>
      <c r="CT277" s="24">
        <v>0</v>
      </c>
      <c r="CU277" s="24">
        <v>0</v>
      </c>
      <c r="CV277" s="24">
        <v>0</v>
      </c>
      <c r="CW277" s="24">
        <f t="shared" si="509"/>
        <v>0</v>
      </c>
      <c r="CX277" s="24">
        <f t="shared" si="510"/>
        <v>0</v>
      </c>
      <c r="CY277" s="24">
        <v>0</v>
      </c>
      <c r="CZ277" s="25">
        <v>0</v>
      </c>
    </row>
    <row r="278" spans="1:218" ht="15.6" x14ac:dyDescent="0.3">
      <c r="A278" s="26" t="s">
        <v>1</v>
      </c>
      <c r="B278" s="27" t="s">
        <v>1</v>
      </c>
      <c r="C278" s="27" t="s">
        <v>98</v>
      </c>
      <c r="D278" s="28" t="s">
        <v>446</v>
      </c>
      <c r="E278" s="23">
        <f t="shared" si="637"/>
        <v>15437568</v>
      </c>
      <c r="F278" s="24">
        <f t="shared" si="625"/>
        <v>13900352</v>
      </c>
      <c r="G278" s="24">
        <f t="shared" si="626"/>
        <v>13900352</v>
      </c>
      <c r="H278" s="29">
        <v>2706514</v>
      </c>
      <c r="I278" s="29">
        <v>640121</v>
      </c>
      <c r="J278" s="24">
        <f>SUM(K278:P278)</f>
        <v>279302</v>
      </c>
      <c r="K278" s="29">
        <v>0</v>
      </c>
      <c r="L278" s="29">
        <v>0</v>
      </c>
      <c r="M278" s="29">
        <v>0</v>
      </c>
      <c r="N278" s="29">
        <v>0</v>
      </c>
      <c r="O278" s="29">
        <v>92477</v>
      </c>
      <c r="P278" s="29">
        <v>186825</v>
      </c>
      <c r="Q278" s="24">
        <f>SUM(R278:S278)</f>
        <v>25322</v>
      </c>
      <c r="R278" s="29">
        <v>0</v>
      </c>
      <c r="S278" s="29">
        <v>25322</v>
      </c>
      <c r="T278" s="29">
        <v>36000</v>
      </c>
      <c r="U278" s="29">
        <v>28020</v>
      </c>
      <c r="V278" s="24">
        <f t="shared" si="627"/>
        <v>209314</v>
      </c>
      <c r="W278" s="29">
        <v>4594</v>
      </c>
      <c r="X278" s="29">
        <v>91614</v>
      </c>
      <c r="Y278" s="29">
        <f>94905-2976</f>
        <v>91929</v>
      </c>
      <c r="Z278" s="29">
        <f>4412+3279+1633</f>
        <v>9324</v>
      </c>
      <c r="AA278" s="29">
        <v>11853</v>
      </c>
      <c r="AB278" s="29">
        <v>0</v>
      </c>
      <c r="AC278" s="29">
        <v>0</v>
      </c>
      <c r="AD278" s="29">
        <v>0</v>
      </c>
      <c r="AE278" s="29">
        <v>0</v>
      </c>
      <c r="AF278" s="24">
        <f t="shared" si="628"/>
        <v>9975759</v>
      </c>
      <c r="AG278" s="30"/>
      <c r="AH278" s="30"/>
      <c r="AI278" s="29">
        <v>325915</v>
      </c>
      <c r="AJ278" s="29">
        <v>360000</v>
      </c>
      <c r="AK278" s="29">
        <v>0</v>
      </c>
      <c r="AL278" s="29">
        <v>4500</v>
      </c>
      <c r="AM278" s="29">
        <v>0</v>
      </c>
      <c r="AN278" s="29">
        <v>25322</v>
      </c>
      <c r="AO278" s="29">
        <v>0</v>
      </c>
      <c r="AP278" s="29">
        <v>0</v>
      </c>
      <c r="AQ278" s="29">
        <v>0</v>
      </c>
      <c r="AR278" s="29">
        <v>0</v>
      </c>
      <c r="AS278" s="29">
        <v>0</v>
      </c>
      <c r="AT278" s="29">
        <v>0</v>
      </c>
      <c r="AU278" s="29">
        <v>0</v>
      </c>
      <c r="AV278" s="29">
        <v>0</v>
      </c>
      <c r="AW278" s="29">
        <v>0</v>
      </c>
      <c r="AX278" s="29">
        <v>0</v>
      </c>
      <c r="AY278" s="29">
        <v>0</v>
      </c>
      <c r="AZ278" s="29">
        <v>0</v>
      </c>
      <c r="BA278" s="29">
        <v>0</v>
      </c>
      <c r="BB278" s="29">
        <v>0</v>
      </c>
      <c r="BC278" s="29">
        <f>8762390+502544-3279-1633</f>
        <v>9260022</v>
      </c>
      <c r="BD278" s="24">
        <f t="shared" si="629"/>
        <v>0</v>
      </c>
      <c r="BE278" s="24">
        <f t="shared" si="630"/>
        <v>0</v>
      </c>
      <c r="BF278" s="24">
        <v>0</v>
      </c>
      <c r="BG278" s="24">
        <v>0</v>
      </c>
      <c r="BH278" s="24">
        <v>0</v>
      </c>
      <c r="BI278" s="24">
        <f t="shared" si="631"/>
        <v>0</v>
      </c>
      <c r="BJ278" s="24">
        <v>0</v>
      </c>
      <c r="BK278" s="24">
        <v>0</v>
      </c>
      <c r="BL278" s="24">
        <v>0</v>
      </c>
      <c r="BM278" s="24">
        <v>0</v>
      </c>
      <c r="BN278" s="24">
        <v>0</v>
      </c>
      <c r="BO278" s="24">
        <f>SUM(BP278)</f>
        <v>0</v>
      </c>
      <c r="BP278" s="24">
        <v>0</v>
      </c>
      <c r="BQ278" s="24">
        <v>0</v>
      </c>
      <c r="BR278" s="24">
        <f t="shared" si="632"/>
        <v>0</v>
      </c>
      <c r="BS278" s="24">
        <v>0</v>
      </c>
      <c r="BT278" s="24">
        <v>0</v>
      </c>
      <c r="BU278" s="24">
        <v>0</v>
      </c>
      <c r="BV278" s="24">
        <v>0</v>
      </c>
      <c r="BW278" s="24">
        <v>0</v>
      </c>
      <c r="BX278" s="24">
        <v>0</v>
      </c>
      <c r="BY278" s="24">
        <v>0</v>
      </c>
      <c r="BZ278" s="24">
        <v>0</v>
      </c>
      <c r="CA278" s="24">
        <v>0</v>
      </c>
      <c r="CB278" s="24">
        <v>0</v>
      </c>
      <c r="CC278" s="24">
        <v>0</v>
      </c>
      <c r="CD278" s="24">
        <f t="shared" si="633"/>
        <v>1537216</v>
      </c>
      <c r="CE278" s="24">
        <f t="shared" si="634"/>
        <v>1537216</v>
      </c>
      <c r="CF278" s="24">
        <f>SUM(CG278:CH278)</f>
        <v>1537216</v>
      </c>
      <c r="CG278" s="30"/>
      <c r="CH278" s="29">
        <v>1537216</v>
      </c>
      <c r="CI278" s="24">
        <f t="shared" si="635"/>
        <v>0</v>
      </c>
      <c r="CJ278" s="24">
        <v>0</v>
      </c>
      <c r="CK278" s="24">
        <v>0</v>
      </c>
      <c r="CL278" s="24">
        <v>0</v>
      </c>
      <c r="CM278" s="24">
        <v>0</v>
      </c>
      <c r="CN278" s="24">
        <f t="shared" si="636"/>
        <v>0</v>
      </c>
      <c r="CO278" s="30"/>
      <c r="CP278" s="30"/>
      <c r="CQ278" s="24">
        <v>0</v>
      </c>
      <c r="CR278" s="24"/>
      <c r="CS278" s="24"/>
      <c r="CT278" s="24">
        <v>0</v>
      </c>
      <c r="CU278" s="24">
        <v>0</v>
      </c>
      <c r="CV278" s="24">
        <v>0</v>
      </c>
      <c r="CW278" s="24">
        <f>SUM(CX278)</f>
        <v>0</v>
      </c>
      <c r="CX278" s="24">
        <f>SUM(CY278:CZ278)</f>
        <v>0</v>
      </c>
      <c r="CY278" s="24">
        <v>0</v>
      </c>
      <c r="CZ278" s="25">
        <v>0</v>
      </c>
    </row>
    <row r="279" spans="1:218" ht="31.2" x14ac:dyDescent="0.3">
      <c r="A279" s="26" t="s">
        <v>1</v>
      </c>
      <c r="B279" s="27" t="s">
        <v>1</v>
      </c>
      <c r="C279" s="27" t="s">
        <v>100</v>
      </c>
      <c r="D279" s="28" t="s">
        <v>447</v>
      </c>
      <c r="E279" s="23">
        <f t="shared" si="637"/>
        <v>821193</v>
      </c>
      <c r="F279" s="24">
        <f t="shared" si="625"/>
        <v>561193</v>
      </c>
      <c r="G279" s="24">
        <f t="shared" si="626"/>
        <v>561193</v>
      </c>
      <c r="H279" s="29">
        <v>152840</v>
      </c>
      <c r="I279" s="29">
        <v>36485</v>
      </c>
      <c r="J279" s="24">
        <f t="shared" si="504"/>
        <v>157947</v>
      </c>
      <c r="K279" s="29">
        <v>0</v>
      </c>
      <c r="L279" s="29">
        <v>0</v>
      </c>
      <c r="M279" s="29">
        <v>0</v>
      </c>
      <c r="N279" s="29">
        <v>0</v>
      </c>
      <c r="O279" s="29">
        <v>7947</v>
      </c>
      <c r="P279" s="29">
        <v>150000</v>
      </c>
      <c r="Q279" s="24">
        <f t="shared" si="505"/>
        <v>12000</v>
      </c>
      <c r="R279" s="29">
        <v>2000</v>
      </c>
      <c r="S279" s="29">
        <v>10000</v>
      </c>
      <c r="T279" s="29">
        <v>0</v>
      </c>
      <c r="U279" s="29">
        <v>20000</v>
      </c>
      <c r="V279" s="24">
        <f t="shared" si="627"/>
        <v>17640</v>
      </c>
      <c r="W279" s="29">
        <v>17640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  <c r="AC279" s="29">
        <v>0</v>
      </c>
      <c r="AD279" s="29">
        <v>0</v>
      </c>
      <c r="AE279" s="29">
        <v>0</v>
      </c>
      <c r="AF279" s="24">
        <f t="shared" si="628"/>
        <v>164281</v>
      </c>
      <c r="AG279" s="30"/>
      <c r="AH279" s="30"/>
      <c r="AI279" s="29">
        <v>9500</v>
      </c>
      <c r="AJ279" s="29">
        <f>80000+21193</f>
        <v>101193</v>
      </c>
      <c r="AK279" s="29">
        <v>0</v>
      </c>
      <c r="AL279" s="29">
        <v>2000</v>
      </c>
      <c r="AM279" s="29">
        <v>0</v>
      </c>
      <c r="AN279" s="29">
        <v>2000</v>
      </c>
      <c r="AO279" s="29">
        <v>10000</v>
      </c>
      <c r="AP279" s="29">
        <v>0</v>
      </c>
      <c r="AQ279" s="29">
        <v>0</v>
      </c>
      <c r="AR279" s="29">
        <v>0</v>
      </c>
      <c r="AS279" s="29">
        <v>0</v>
      </c>
      <c r="AT279" s="29">
        <v>24588</v>
      </c>
      <c r="AU279" s="29">
        <v>0</v>
      </c>
      <c r="AV279" s="29">
        <v>0</v>
      </c>
      <c r="AW279" s="29">
        <v>0</v>
      </c>
      <c r="AX279" s="29">
        <v>0</v>
      </c>
      <c r="AY279" s="29">
        <v>0</v>
      </c>
      <c r="AZ279" s="29">
        <v>0</v>
      </c>
      <c r="BA279" s="29">
        <v>0</v>
      </c>
      <c r="BB279" s="29">
        <v>0</v>
      </c>
      <c r="BC279" s="29">
        <v>15000</v>
      </c>
      <c r="BD279" s="24">
        <f t="shared" si="629"/>
        <v>0</v>
      </c>
      <c r="BE279" s="24">
        <f t="shared" si="630"/>
        <v>0</v>
      </c>
      <c r="BF279" s="24">
        <v>0</v>
      </c>
      <c r="BG279" s="24">
        <v>0</v>
      </c>
      <c r="BH279" s="24">
        <v>0</v>
      </c>
      <c r="BI279" s="24">
        <f t="shared" si="631"/>
        <v>0</v>
      </c>
      <c r="BJ279" s="24">
        <v>0</v>
      </c>
      <c r="BK279" s="24">
        <v>0</v>
      </c>
      <c r="BL279" s="24">
        <v>0</v>
      </c>
      <c r="BM279" s="24">
        <v>0</v>
      </c>
      <c r="BN279" s="24">
        <v>0</v>
      </c>
      <c r="BO279" s="24">
        <f t="shared" si="507"/>
        <v>0</v>
      </c>
      <c r="BP279" s="24">
        <v>0</v>
      </c>
      <c r="BQ279" s="24">
        <v>0</v>
      </c>
      <c r="BR279" s="24">
        <f t="shared" si="632"/>
        <v>0</v>
      </c>
      <c r="BS279" s="24">
        <v>0</v>
      </c>
      <c r="BT279" s="24">
        <v>0</v>
      </c>
      <c r="BU279" s="24">
        <v>0</v>
      </c>
      <c r="BV279" s="24">
        <v>0</v>
      </c>
      <c r="BW279" s="24">
        <v>0</v>
      </c>
      <c r="BX279" s="24">
        <v>0</v>
      </c>
      <c r="BY279" s="24">
        <v>0</v>
      </c>
      <c r="BZ279" s="24">
        <v>0</v>
      </c>
      <c r="CA279" s="24">
        <v>0</v>
      </c>
      <c r="CB279" s="24">
        <v>0</v>
      </c>
      <c r="CC279" s="24">
        <v>0</v>
      </c>
      <c r="CD279" s="24">
        <f t="shared" si="633"/>
        <v>260000</v>
      </c>
      <c r="CE279" s="24">
        <f t="shared" si="634"/>
        <v>260000</v>
      </c>
      <c r="CF279" s="24">
        <f t="shared" si="508"/>
        <v>260000</v>
      </c>
      <c r="CG279" s="30"/>
      <c r="CH279" s="29">
        <v>260000</v>
      </c>
      <c r="CI279" s="24">
        <f t="shared" si="635"/>
        <v>0</v>
      </c>
      <c r="CJ279" s="24">
        <v>0</v>
      </c>
      <c r="CK279" s="24">
        <v>0</v>
      </c>
      <c r="CL279" s="24">
        <v>0</v>
      </c>
      <c r="CM279" s="24">
        <v>0</v>
      </c>
      <c r="CN279" s="24">
        <f t="shared" si="636"/>
        <v>0</v>
      </c>
      <c r="CO279" s="30"/>
      <c r="CP279" s="30"/>
      <c r="CQ279" s="24">
        <v>0</v>
      </c>
      <c r="CR279" s="24"/>
      <c r="CS279" s="24"/>
      <c r="CT279" s="24">
        <v>0</v>
      </c>
      <c r="CU279" s="24">
        <v>0</v>
      </c>
      <c r="CV279" s="24">
        <v>0</v>
      </c>
      <c r="CW279" s="24">
        <f t="shared" si="509"/>
        <v>0</v>
      </c>
      <c r="CX279" s="24">
        <f t="shared" si="510"/>
        <v>0</v>
      </c>
      <c r="CY279" s="24">
        <v>0</v>
      </c>
      <c r="CZ279" s="25">
        <v>0</v>
      </c>
    </row>
    <row r="280" spans="1:218" ht="31.2" x14ac:dyDescent="0.3">
      <c r="A280" s="26"/>
      <c r="B280" s="27"/>
      <c r="C280" s="27" t="s">
        <v>102</v>
      </c>
      <c r="D280" s="28" t="s">
        <v>374</v>
      </c>
      <c r="E280" s="23">
        <f t="shared" si="637"/>
        <v>313362</v>
      </c>
      <c r="F280" s="24">
        <f t="shared" si="625"/>
        <v>303685</v>
      </c>
      <c r="G280" s="24">
        <f t="shared" ref="G280:G281" si="638">SUM(H280+I280+J280+Q280+T280+U280+V280+AF280+AE280)</f>
        <v>303685</v>
      </c>
      <c r="H280" s="29">
        <v>120000</v>
      </c>
      <c r="I280" s="29">
        <v>30000</v>
      </c>
      <c r="J280" s="24">
        <f t="shared" ref="J280:J281" si="639">SUM(K280:P280)</f>
        <v>39096</v>
      </c>
      <c r="K280" s="29">
        <v>0</v>
      </c>
      <c r="L280" s="29">
        <v>0</v>
      </c>
      <c r="M280" s="29">
        <v>0</v>
      </c>
      <c r="N280" s="29">
        <v>0</v>
      </c>
      <c r="O280" s="29">
        <f>24855-759</f>
        <v>24096</v>
      </c>
      <c r="P280" s="29">
        <v>15000</v>
      </c>
      <c r="Q280" s="24">
        <f t="shared" ref="Q280:Q281" si="640">SUM(R280:S280)</f>
        <v>1710</v>
      </c>
      <c r="R280" s="29">
        <v>1710</v>
      </c>
      <c r="S280" s="29">
        <v>0</v>
      </c>
      <c r="T280" s="29">
        <v>0</v>
      </c>
      <c r="U280" s="29">
        <v>8280</v>
      </c>
      <c r="V280" s="24">
        <f t="shared" ref="V280:V281" si="641">SUM(W280:AD280)</f>
        <v>17283</v>
      </c>
      <c r="W280" s="29">
        <v>0</v>
      </c>
      <c r="X280" s="29">
        <v>0</v>
      </c>
      <c r="Y280" s="29">
        <v>0</v>
      </c>
      <c r="Z280" s="29">
        <v>11647</v>
      </c>
      <c r="AA280" s="29">
        <v>718</v>
      </c>
      <c r="AB280" s="29">
        <v>0</v>
      </c>
      <c r="AC280" s="29">
        <v>0</v>
      </c>
      <c r="AD280" s="29">
        <f>3138+1021+759</f>
        <v>4918</v>
      </c>
      <c r="AE280" s="29">
        <v>0</v>
      </c>
      <c r="AF280" s="24">
        <f t="shared" si="628"/>
        <v>87316</v>
      </c>
      <c r="AG280" s="30"/>
      <c r="AH280" s="30"/>
      <c r="AI280" s="29">
        <v>8000</v>
      </c>
      <c r="AJ280" s="29">
        <v>0</v>
      </c>
      <c r="AK280" s="29">
        <v>0</v>
      </c>
      <c r="AL280" s="29">
        <v>0</v>
      </c>
      <c r="AM280" s="29">
        <v>0</v>
      </c>
      <c r="AN280" s="29">
        <v>1710</v>
      </c>
      <c r="AO280" s="29">
        <v>0</v>
      </c>
      <c r="AP280" s="29">
        <v>0</v>
      </c>
      <c r="AQ280" s="29">
        <v>0</v>
      </c>
      <c r="AR280" s="29">
        <v>0</v>
      </c>
      <c r="AS280" s="29">
        <v>0</v>
      </c>
      <c r="AT280" s="29">
        <v>0</v>
      </c>
      <c r="AU280" s="29">
        <v>0</v>
      </c>
      <c r="AV280" s="29">
        <v>0</v>
      </c>
      <c r="AW280" s="29">
        <v>0</v>
      </c>
      <c r="AX280" s="29">
        <v>0</v>
      </c>
      <c r="AY280" s="29">
        <v>0</v>
      </c>
      <c r="AZ280" s="29">
        <v>0</v>
      </c>
      <c r="BA280" s="29">
        <v>57385</v>
      </c>
      <c r="BB280" s="29">
        <v>0</v>
      </c>
      <c r="BC280" s="29">
        <f>7880+12341</f>
        <v>20221</v>
      </c>
      <c r="BD280" s="24">
        <f t="shared" si="629"/>
        <v>0</v>
      </c>
      <c r="BE280" s="24">
        <f t="shared" ref="BE280:BE281" si="642">SUM(BF280:BH280)</f>
        <v>0</v>
      </c>
      <c r="BF280" s="24">
        <v>0</v>
      </c>
      <c r="BG280" s="24">
        <v>0</v>
      </c>
      <c r="BH280" s="24">
        <v>0</v>
      </c>
      <c r="BI280" s="24">
        <f t="shared" si="631"/>
        <v>0</v>
      </c>
      <c r="BJ280" s="24">
        <v>0</v>
      </c>
      <c r="BK280" s="24">
        <v>0</v>
      </c>
      <c r="BL280" s="24">
        <v>0</v>
      </c>
      <c r="BM280" s="24">
        <v>0</v>
      </c>
      <c r="BN280" s="24">
        <v>0</v>
      </c>
      <c r="BO280" s="24">
        <f t="shared" ref="BO280:BO281" si="643">SUM(BP280)</f>
        <v>0</v>
      </c>
      <c r="BP280" s="24">
        <v>0</v>
      </c>
      <c r="BQ280" s="24">
        <v>0</v>
      </c>
      <c r="BR280" s="24">
        <f t="shared" si="632"/>
        <v>0</v>
      </c>
      <c r="BS280" s="24">
        <v>0</v>
      </c>
      <c r="BT280" s="24">
        <v>0</v>
      </c>
      <c r="BU280" s="24">
        <v>0</v>
      </c>
      <c r="BV280" s="24">
        <v>0</v>
      </c>
      <c r="BW280" s="24">
        <v>0</v>
      </c>
      <c r="BX280" s="24">
        <v>0</v>
      </c>
      <c r="BY280" s="24">
        <v>0</v>
      </c>
      <c r="BZ280" s="24">
        <v>0</v>
      </c>
      <c r="CA280" s="24">
        <v>0</v>
      </c>
      <c r="CB280" s="24">
        <v>0</v>
      </c>
      <c r="CC280" s="24">
        <v>0</v>
      </c>
      <c r="CD280" s="24">
        <f t="shared" si="633"/>
        <v>9677</v>
      </c>
      <c r="CE280" s="24">
        <f t="shared" si="634"/>
        <v>9677</v>
      </c>
      <c r="CF280" s="24">
        <f t="shared" ref="CF280:CF281" si="644">SUM(CG280:CH280)</f>
        <v>9677</v>
      </c>
      <c r="CG280" s="30"/>
      <c r="CH280" s="29">
        <v>9677</v>
      </c>
      <c r="CI280" s="24">
        <f t="shared" si="635"/>
        <v>0</v>
      </c>
      <c r="CJ280" s="24">
        <v>0</v>
      </c>
      <c r="CK280" s="24">
        <v>0</v>
      </c>
      <c r="CL280" s="24">
        <v>0</v>
      </c>
      <c r="CM280" s="24">
        <v>0</v>
      </c>
      <c r="CN280" s="24">
        <f t="shared" si="636"/>
        <v>0</v>
      </c>
      <c r="CO280" s="30"/>
      <c r="CP280" s="30"/>
      <c r="CQ280" s="24">
        <v>0</v>
      </c>
      <c r="CR280" s="24"/>
      <c r="CS280" s="24"/>
      <c r="CT280" s="24">
        <v>0</v>
      </c>
      <c r="CU280" s="24">
        <v>0</v>
      </c>
      <c r="CV280" s="47">
        <v>0</v>
      </c>
      <c r="CW280" s="24">
        <f t="shared" ref="CW280:CW281" si="645">SUM(CX280)</f>
        <v>0</v>
      </c>
      <c r="CX280" s="24">
        <f t="shared" ref="CX280:CX281" si="646">SUM(CY280:CZ280)</f>
        <v>0</v>
      </c>
      <c r="CY280" s="24">
        <v>0</v>
      </c>
      <c r="CZ280" s="25">
        <v>0</v>
      </c>
    </row>
    <row r="281" spans="1:218" ht="31.2" x14ac:dyDescent="0.3">
      <c r="A281" s="26"/>
      <c r="B281" s="27"/>
      <c r="C281" s="40" t="s">
        <v>106</v>
      </c>
      <c r="D281" s="39" t="s">
        <v>375</v>
      </c>
      <c r="E281" s="23">
        <f t="shared" si="637"/>
        <v>1585802</v>
      </c>
      <c r="F281" s="24">
        <f t="shared" si="625"/>
        <v>1511003</v>
      </c>
      <c r="G281" s="24">
        <f t="shared" si="638"/>
        <v>1511003</v>
      </c>
      <c r="H281" s="29">
        <v>0</v>
      </c>
      <c r="I281" s="29">
        <v>0</v>
      </c>
      <c r="J281" s="24">
        <f t="shared" si="639"/>
        <v>623230</v>
      </c>
      <c r="K281" s="29">
        <v>1000</v>
      </c>
      <c r="L281" s="29">
        <v>0</v>
      </c>
      <c r="M281" s="29">
        <v>0</v>
      </c>
      <c r="N281" s="29">
        <v>0</v>
      </c>
      <c r="O281" s="29">
        <v>337044</v>
      </c>
      <c r="P281" s="29">
        <v>285186</v>
      </c>
      <c r="Q281" s="24">
        <f t="shared" si="640"/>
        <v>60000</v>
      </c>
      <c r="R281" s="29">
        <v>0</v>
      </c>
      <c r="S281" s="29">
        <v>60000</v>
      </c>
      <c r="T281" s="29">
        <v>0</v>
      </c>
      <c r="U281" s="29">
        <v>75000</v>
      </c>
      <c r="V281" s="24">
        <f t="shared" si="641"/>
        <v>291923</v>
      </c>
      <c r="W281" s="29">
        <v>27000</v>
      </c>
      <c r="X281" s="29">
        <f>55676+13891+10656</f>
        <v>80223</v>
      </c>
      <c r="Y281" s="29">
        <f>79828+5701+237</f>
        <v>85766</v>
      </c>
      <c r="Z281" s="29">
        <f>15448+1230+93</f>
        <v>16771</v>
      </c>
      <c r="AA281" s="29">
        <v>6271</v>
      </c>
      <c r="AB281" s="29">
        <f>82000-11719</f>
        <v>70281</v>
      </c>
      <c r="AC281" s="29">
        <v>0</v>
      </c>
      <c r="AD281" s="29">
        <f>4200+678+733</f>
        <v>5611</v>
      </c>
      <c r="AE281" s="29">
        <v>0</v>
      </c>
      <c r="AF281" s="24">
        <f t="shared" si="628"/>
        <v>460850</v>
      </c>
      <c r="AG281" s="30"/>
      <c r="AH281" s="30"/>
      <c r="AI281" s="29">
        <v>115400</v>
      </c>
      <c r="AJ281" s="29">
        <v>127750</v>
      </c>
      <c r="AK281" s="29">
        <v>0</v>
      </c>
      <c r="AL281" s="29">
        <v>19700</v>
      </c>
      <c r="AM281" s="29">
        <v>0</v>
      </c>
      <c r="AN281" s="29">
        <v>0</v>
      </c>
      <c r="AO281" s="29">
        <v>0</v>
      </c>
      <c r="AP281" s="29">
        <v>0</v>
      </c>
      <c r="AQ281" s="29">
        <v>0</v>
      </c>
      <c r="AR281" s="29">
        <v>0</v>
      </c>
      <c r="AS281" s="29">
        <v>0</v>
      </c>
      <c r="AT281" s="29">
        <v>48000</v>
      </c>
      <c r="AU281" s="29">
        <v>0</v>
      </c>
      <c r="AV281" s="29">
        <v>0</v>
      </c>
      <c r="AW281" s="29">
        <v>0</v>
      </c>
      <c r="AX281" s="29">
        <v>0</v>
      </c>
      <c r="AY281" s="29">
        <v>0</v>
      </c>
      <c r="AZ281" s="29">
        <v>0</v>
      </c>
      <c r="BA281" s="29">
        <v>0</v>
      </c>
      <c r="BB281" s="29">
        <v>0</v>
      </c>
      <c r="BC281" s="29">
        <v>150000</v>
      </c>
      <c r="BD281" s="24">
        <f t="shared" si="629"/>
        <v>0</v>
      </c>
      <c r="BE281" s="24">
        <f t="shared" si="642"/>
        <v>0</v>
      </c>
      <c r="BF281" s="24">
        <v>0</v>
      </c>
      <c r="BG281" s="24">
        <v>0</v>
      </c>
      <c r="BH281" s="24">
        <v>0</v>
      </c>
      <c r="BI281" s="24">
        <f t="shared" si="631"/>
        <v>0</v>
      </c>
      <c r="BJ281" s="24">
        <v>0</v>
      </c>
      <c r="BK281" s="24">
        <v>0</v>
      </c>
      <c r="BL281" s="24">
        <v>0</v>
      </c>
      <c r="BM281" s="24">
        <v>0</v>
      </c>
      <c r="BN281" s="24">
        <v>0</v>
      </c>
      <c r="BO281" s="24">
        <f t="shared" si="643"/>
        <v>0</v>
      </c>
      <c r="BP281" s="24">
        <v>0</v>
      </c>
      <c r="BQ281" s="24">
        <v>0</v>
      </c>
      <c r="BR281" s="24">
        <f t="shared" si="632"/>
        <v>0</v>
      </c>
      <c r="BS281" s="24">
        <v>0</v>
      </c>
      <c r="BT281" s="24">
        <v>0</v>
      </c>
      <c r="BU281" s="24">
        <v>0</v>
      </c>
      <c r="BV281" s="24">
        <v>0</v>
      </c>
      <c r="BW281" s="24">
        <v>0</v>
      </c>
      <c r="BX281" s="24">
        <v>0</v>
      </c>
      <c r="BY281" s="24">
        <v>0</v>
      </c>
      <c r="BZ281" s="24">
        <v>0</v>
      </c>
      <c r="CA281" s="24">
        <v>0</v>
      </c>
      <c r="CB281" s="24">
        <v>0</v>
      </c>
      <c r="CC281" s="24">
        <v>0</v>
      </c>
      <c r="CD281" s="24">
        <f t="shared" si="633"/>
        <v>74799</v>
      </c>
      <c r="CE281" s="24">
        <f t="shared" si="634"/>
        <v>74799</v>
      </c>
      <c r="CF281" s="24">
        <f t="shared" si="644"/>
        <v>74799</v>
      </c>
      <c r="CG281" s="30"/>
      <c r="CH281" s="29">
        <v>74799</v>
      </c>
      <c r="CI281" s="24">
        <f t="shared" si="635"/>
        <v>0</v>
      </c>
      <c r="CJ281" s="24">
        <v>0</v>
      </c>
      <c r="CK281" s="24">
        <v>0</v>
      </c>
      <c r="CL281" s="24">
        <v>0</v>
      </c>
      <c r="CM281" s="24">
        <v>0</v>
      </c>
      <c r="CN281" s="24">
        <f t="shared" si="636"/>
        <v>0</v>
      </c>
      <c r="CO281" s="30"/>
      <c r="CP281" s="30"/>
      <c r="CQ281" s="24">
        <v>0</v>
      </c>
      <c r="CR281" s="24"/>
      <c r="CS281" s="24"/>
      <c r="CT281" s="24">
        <v>0</v>
      </c>
      <c r="CU281" s="24">
        <v>0</v>
      </c>
      <c r="CV281" s="47">
        <v>0</v>
      </c>
      <c r="CW281" s="24">
        <f t="shared" si="645"/>
        <v>0</v>
      </c>
      <c r="CX281" s="24">
        <f t="shared" si="646"/>
        <v>0</v>
      </c>
      <c r="CY281" s="24">
        <v>0</v>
      </c>
      <c r="CZ281" s="25">
        <v>0</v>
      </c>
    </row>
    <row r="282" spans="1:218" s="63" customFormat="1" ht="15.6" x14ac:dyDescent="0.3">
      <c r="A282" s="26" t="s">
        <v>1</v>
      </c>
      <c r="B282" s="27" t="s">
        <v>1</v>
      </c>
      <c r="C282" s="40" t="s">
        <v>106</v>
      </c>
      <c r="D282" s="39" t="s">
        <v>376</v>
      </c>
      <c r="E282" s="23">
        <f t="shared" si="637"/>
        <v>774752</v>
      </c>
      <c r="F282" s="24">
        <f t="shared" si="625"/>
        <v>298101</v>
      </c>
      <c r="G282" s="24">
        <f t="shared" si="626"/>
        <v>298101</v>
      </c>
      <c r="H282" s="29">
        <v>0</v>
      </c>
      <c r="I282" s="29">
        <v>0</v>
      </c>
      <c r="J282" s="24">
        <f t="shared" si="504"/>
        <v>147244</v>
      </c>
      <c r="K282" s="29">
        <v>0</v>
      </c>
      <c r="L282" s="29">
        <v>0</v>
      </c>
      <c r="M282" s="29">
        <v>0</v>
      </c>
      <c r="N282" s="29">
        <v>0</v>
      </c>
      <c r="O282" s="29">
        <f>38488+5000</f>
        <v>43488</v>
      </c>
      <c r="P282" s="29">
        <f>99497+4259</f>
        <v>103756</v>
      </c>
      <c r="Q282" s="24">
        <f t="shared" si="505"/>
        <v>1858</v>
      </c>
      <c r="R282" s="29">
        <v>0</v>
      </c>
      <c r="S282" s="29">
        <v>1858</v>
      </c>
      <c r="T282" s="29">
        <v>0</v>
      </c>
      <c r="U282" s="29">
        <v>13571</v>
      </c>
      <c r="V282" s="24">
        <f t="shared" si="627"/>
        <v>65391</v>
      </c>
      <c r="W282" s="29">
        <v>0</v>
      </c>
      <c r="X282" s="29">
        <f>32334+6342</f>
        <v>38676</v>
      </c>
      <c r="Y282" s="29">
        <f>17501+1860</f>
        <v>19361</v>
      </c>
      <c r="Z282" s="29">
        <f>4282+397</f>
        <v>4679</v>
      </c>
      <c r="AA282" s="29">
        <v>2675</v>
      </c>
      <c r="AB282" s="29">
        <v>0</v>
      </c>
      <c r="AC282" s="29">
        <v>0</v>
      </c>
      <c r="AD282" s="29">
        <v>0</v>
      </c>
      <c r="AE282" s="29">
        <v>0</v>
      </c>
      <c r="AF282" s="24">
        <f t="shared" si="628"/>
        <v>70037</v>
      </c>
      <c r="AG282" s="30"/>
      <c r="AH282" s="30"/>
      <c r="AI282" s="29">
        <v>14369</v>
      </c>
      <c r="AJ282" s="29">
        <v>5449</v>
      </c>
      <c r="AK282" s="29">
        <v>0</v>
      </c>
      <c r="AL282" s="29">
        <v>2116</v>
      </c>
      <c r="AM282" s="29">
        <v>0</v>
      </c>
      <c r="AN282" s="29">
        <v>0</v>
      </c>
      <c r="AO282" s="29">
        <v>0</v>
      </c>
      <c r="AP282" s="29">
        <v>0</v>
      </c>
      <c r="AQ282" s="29">
        <v>0</v>
      </c>
      <c r="AR282" s="29">
        <v>0</v>
      </c>
      <c r="AS282" s="29">
        <v>0</v>
      </c>
      <c r="AT282" s="29">
        <v>0</v>
      </c>
      <c r="AU282" s="29">
        <v>0</v>
      </c>
      <c r="AV282" s="29">
        <v>0</v>
      </c>
      <c r="AW282" s="29">
        <v>0</v>
      </c>
      <c r="AX282" s="29">
        <v>0</v>
      </c>
      <c r="AY282" s="29">
        <v>0</v>
      </c>
      <c r="AZ282" s="29">
        <v>0</v>
      </c>
      <c r="BA282" s="29">
        <v>0</v>
      </c>
      <c r="BB282" s="29">
        <v>0</v>
      </c>
      <c r="BC282" s="29">
        <v>48103</v>
      </c>
      <c r="BD282" s="24">
        <f t="shared" si="629"/>
        <v>0</v>
      </c>
      <c r="BE282" s="24">
        <f t="shared" si="630"/>
        <v>0</v>
      </c>
      <c r="BF282" s="24">
        <v>0</v>
      </c>
      <c r="BG282" s="24">
        <v>0</v>
      </c>
      <c r="BH282" s="24">
        <v>0</v>
      </c>
      <c r="BI282" s="24">
        <f t="shared" si="631"/>
        <v>0</v>
      </c>
      <c r="BJ282" s="24">
        <v>0</v>
      </c>
      <c r="BK282" s="24">
        <v>0</v>
      </c>
      <c r="BL282" s="24">
        <v>0</v>
      </c>
      <c r="BM282" s="24">
        <v>0</v>
      </c>
      <c r="BN282" s="24">
        <v>0</v>
      </c>
      <c r="BO282" s="24">
        <f t="shared" si="507"/>
        <v>0</v>
      </c>
      <c r="BP282" s="24">
        <v>0</v>
      </c>
      <c r="BQ282" s="24">
        <v>0</v>
      </c>
      <c r="BR282" s="24">
        <f t="shared" si="632"/>
        <v>0</v>
      </c>
      <c r="BS282" s="24">
        <v>0</v>
      </c>
      <c r="BT282" s="24">
        <v>0</v>
      </c>
      <c r="BU282" s="24">
        <v>0</v>
      </c>
      <c r="BV282" s="24">
        <v>0</v>
      </c>
      <c r="BW282" s="24">
        <v>0</v>
      </c>
      <c r="BX282" s="24">
        <v>0</v>
      </c>
      <c r="BY282" s="24">
        <v>0</v>
      </c>
      <c r="BZ282" s="24">
        <v>0</v>
      </c>
      <c r="CA282" s="24">
        <v>0</v>
      </c>
      <c r="CB282" s="24">
        <v>0</v>
      </c>
      <c r="CC282" s="24">
        <v>0</v>
      </c>
      <c r="CD282" s="24">
        <f t="shared" si="633"/>
        <v>476651</v>
      </c>
      <c r="CE282" s="24">
        <f t="shared" si="634"/>
        <v>476651</v>
      </c>
      <c r="CF282" s="24">
        <f t="shared" si="508"/>
        <v>154426</v>
      </c>
      <c r="CG282" s="30"/>
      <c r="CH282" s="29">
        <v>154426</v>
      </c>
      <c r="CI282" s="24">
        <f t="shared" si="635"/>
        <v>0</v>
      </c>
      <c r="CJ282" s="24">
        <v>0</v>
      </c>
      <c r="CK282" s="24">
        <v>0</v>
      </c>
      <c r="CL282" s="24">
        <v>0</v>
      </c>
      <c r="CM282" s="24">
        <v>0</v>
      </c>
      <c r="CN282" s="24">
        <f t="shared" si="636"/>
        <v>322225</v>
      </c>
      <c r="CO282" s="29"/>
      <c r="CP282" s="29">
        <v>322225</v>
      </c>
      <c r="CQ282" s="24">
        <v>0</v>
      </c>
      <c r="CR282" s="24"/>
      <c r="CS282" s="24"/>
      <c r="CT282" s="24">
        <v>0</v>
      </c>
      <c r="CU282" s="24">
        <v>0</v>
      </c>
      <c r="CV282" s="47">
        <v>0</v>
      </c>
      <c r="CW282" s="24">
        <f t="shared" si="509"/>
        <v>0</v>
      </c>
      <c r="CX282" s="24">
        <f t="shared" si="510"/>
        <v>0</v>
      </c>
      <c r="CY282" s="24">
        <v>0</v>
      </c>
      <c r="CZ282" s="25">
        <v>0</v>
      </c>
      <c r="HJ282" s="61"/>
    </row>
    <row r="283" spans="1:218" s="63" customFormat="1" ht="15.6" x14ac:dyDescent="0.3">
      <c r="A283" s="20"/>
      <c r="B283" s="21" t="s">
        <v>377</v>
      </c>
      <c r="C283" s="21" t="s">
        <v>1</v>
      </c>
      <c r="D283" s="22" t="s">
        <v>378</v>
      </c>
      <c r="E283" s="23">
        <f t="shared" ref="E283:AD283" si="647">SUM(E284:E306)</f>
        <v>58325990</v>
      </c>
      <c r="F283" s="24">
        <f t="shared" si="647"/>
        <v>1956719</v>
      </c>
      <c r="G283" s="24">
        <f t="shared" si="647"/>
        <v>1956719</v>
      </c>
      <c r="H283" s="24">
        <f t="shared" si="647"/>
        <v>0</v>
      </c>
      <c r="I283" s="24">
        <f t="shared" si="647"/>
        <v>0</v>
      </c>
      <c r="J283" s="24">
        <f t="shared" si="647"/>
        <v>0</v>
      </c>
      <c r="K283" s="24">
        <f t="shared" si="647"/>
        <v>0</v>
      </c>
      <c r="L283" s="24">
        <f t="shared" si="647"/>
        <v>0</v>
      </c>
      <c r="M283" s="24">
        <f t="shared" si="647"/>
        <v>0</v>
      </c>
      <c r="N283" s="24">
        <f t="shared" si="647"/>
        <v>0</v>
      </c>
      <c r="O283" s="24">
        <f t="shared" si="647"/>
        <v>0</v>
      </c>
      <c r="P283" s="24">
        <f t="shared" si="647"/>
        <v>0</v>
      </c>
      <c r="Q283" s="24">
        <f t="shared" si="647"/>
        <v>0</v>
      </c>
      <c r="R283" s="24">
        <f t="shared" si="647"/>
        <v>0</v>
      </c>
      <c r="S283" s="24">
        <f t="shared" si="647"/>
        <v>0</v>
      </c>
      <c r="T283" s="24">
        <f t="shared" si="647"/>
        <v>0</v>
      </c>
      <c r="U283" s="24">
        <f t="shared" si="647"/>
        <v>0</v>
      </c>
      <c r="V283" s="24">
        <f t="shared" si="647"/>
        <v>0</v>
      </c>
      <c r="W283" s="24">
        <f t="shared" si="647"/>
        <v>0</v>
      </c>
      <c r="X283" s="24">
        <f t="shared" si="647"/>
        <v>0</v>
      </c>
      <c r="Y283" s="24">
        <f t="shared" si="647"/>
        <v>0</v>
      </c>
      <c r="Z283" s="24">
        <f t="shared" si="647"/>
        <v>0</v>
      </c>
      <c r="AA283" s="24">
        <f t="shared" si="647"/>
        <v>0</v>
      </c>
      <c r="AB283" s="24">
        <f t="shared" si="647"/>
        <v>0</v>
      </c>
      <c r="AC283" s="24">
        <f t="shared" si="647"/>
        <v>0</v>
      </c>
      <c r="AD283" s="24">
        <f t="shared" si="647"/>
        <v>0</v>
      </c>
      <c r="AE283" s="24"/>
      <c r="AF283" s="24">
        <f t="shared" ref="AF283:BA283" si="648">SUM(AF284:AF306)</f>
        <v>1956719</v>
      </c>
      <c r="AG283" s="24">
        <f t="shared" si="648"/>
        <v>0</v>
      </c>
      <c r="AH283" s="24">
        <f t="shared" si="648"/>
        <v>0</v>
      </c>
      <c r="AI283" s="24">
        <f t="shared" si="648"/>
        <v>0</v>
      </c>
      <c r="AJ283" s="24">
        <f t="shared" si="648"/>
        <v>0</v>
      </c>
      <c r="AK283" s="24">
        <f t="shared" si="648"/>
        <v>0</v>
      </c>
      <c r="AL283" s="24">
        <f t="shared" si="648"/>
        <v>0</v>
      </c>
      <c r="AM283" s="24">
        <f t="shared" si="648"/>
        <v>0</v>
      </c>
      <c r="AN283" s="24">
        <f t="shared" si="648"/>
        <v>0</v>
      </c>
      <c r="AO283" s="24">
        <f t="shared" si="648"/>
        <v>0</v>
      </c>
      <c r="AP283" s="24">
        <f t="shared" si="648"/>
        <v>0</v>
      </c>
      <c r="AQ283" s="24">
        <f t="shared" si="648"/>
        <v>0</v>
      </c>
      <c r="AR283" s="24">
        <f t="shared" si="648"/>
        <v>0</v>
      </c>
      <c r="AS283" s="24">
        <f t="shared" si="648"/>
        <v>0</v>
      </c>
      <c r="AT283" s="24">
        <f t="shared" si="648"/>
        <v>0</v>
      </c>
      <c r="AU283" s="24">
        <f t="shared" si="648"/>
        <v>0</v>
      </c>
      <c r="AV283" s="24">
        <f t="shared" si="648"/>
        <v>0</v>
      </c>
      <c r="AW283" s="24">
        <f t="shared" si="648"/>
        <v>0</v>
      </c>
      <c r="AX283" s="24">
        <f t="shared" si="648"/>
        <v>0</v>
      </c>
      <c r="AY283" s="24">
        <f t="shared" si="648"/>
        <v>0</v>
      </c>
      <c r="AZ283" s="24">
        <f t="shared" si="648"/>
        <v>0</v>
      </c>
      <c r="BA283" s="24">
        <f t="shared" si="648"/>
        <v>0</v>
      </c>
      <c r="BB283" s="24"/>
      <c r="BC283" s="24">
        <f t="shared" ref="BC283:CQ283" si="649">SUM(BC284:BC306)</f>
        <v>1956719</v>
      </c>
      <c r="BD283" s="24">
        <f t="shared" si="649"/>
        <v>0</v>
      </c>
      <c r="BE283" s="24">
        <f t="shared" si="649"/>
        <v>0</v>
      </c>
      <c r="BF283" s="24">
        <f t="shared" si="649"/>
        <v>0</v>
      </c>
      <c r="BG283" s="24">
        <f t="shared" si="649"/>
        <v>0</v>
      </c>
      <c r="BH283" s="24">
        <f t="shared" si="649"/>
        <v>0</v>
      </c>
      <c r="BI283" s="24">
        <f t="shared" si="649"/>
        <v>0</v>
      </c>
      <c r="BJ283" s="24">
        <f t="shared" si="649"/>
        <v>0</v>
      </c>
      <c r="BK283" s="24">
        <f t="shared" si="649"/>
        <v>0</v>
      </c>
      <c r="BL283" s="24">
        <f t="shared" si="649"/>
        <v>0</v>
      </c>
      <c r="BM283" s="24">
        <f t="shared" si="649"/>
        <v>0</v>
      </c>
      <c r="BN283" s="24">
        <f t="shared" si="649"/>
        <v>0</v>
      </c>
      <c r="BO283" s="24">
        <f t="shared" si="649"/>
        <v>0</v>
      </c>
      <c r="BP283" s="24">
        <f t="shared" si="649"/>
        <v>0</v>
      </c>
      <c r="BQ283" s="24">
        <f t="shared" si="649"/>
        <v>0</v>
      </c>
      <c r="BR283" s="24">
        <f t="shared" si="649"/>
        <v>0</v>
      </c>
      <c r="BS283" s="24">
        <f t="shared" si="649"/>
        <v>0</v>
      </c>
      <c r="BT283" s="24">
        <f t="shared" si="649"/>
        <v>0</v>
      </c>
      <c r="BU283" s="24">
        <f t="shared" si="649"/>
        <v>0</v>
      </c>
      <c r="BV283" s="24">
        <f t="shared" si="649"/>
        <v>0</v>
      </c>
      <c r="BW283" s="24">
        <f t="shared" si="649"/>
        <v>0</v>
      </c>
      <c r="BX283" s="24">
        <f t="shared" si="649"/>
        <v>0</v>
      </c>
      <c r="BY283" s="24">
        <f t="shared" si="649"/>
        <v>0</v>
      </c>
      <c r="BZ283" s="24">
        <f t="shared" si="649"/>
        <v>0</v>
      </c>
      <c r="CA283" s="24">
        <f t="shared" si="649"/>
        <v>0</v>
      </c>
      <c r="CB283" s="24">
        <f t="shared" si="649"/>
        <v>0</v>
      </c>
      <c r="CC283" s="24">
        <f t="shared" si="649"/>
        <v>0</v>
      </c>
      <c r="CD283" s="24">
        <f t="shared" si="649"/>
        <v>56369271</v>
      </c>
      <c r="CE283" s="24">
        <f t="shared" si="649"/>
        <v>0</v>
      </c>
      <c r="CF283" s="24">
        <f t="shared" si="649"/>
        <v>0</v>
      </c>
      <c r="CG283" s="24">
        <f t="shared" si="649"/>
        <v>0</v>
      </c>
      <c r="CH283" s="24">
        <f t="shared" si="649"/>
        <v>0</v>
      </c>
      <c r="CI283" s="24">
        <f t="shared" si="649"/>
        <v>0</v>
      </c>
      <c r="CJ283" s="24">
        <f t="shared" si="649"/>
        <v>0</v>
      </c>
      <c r="CK283" s="24">
        <f t="shared" si="649"/>
        <v>0</v>
      </c>
      <c r="CL283" s="24">
        <f t="shared" si="649"/>
        <v>0</v>
      </c>
      <c r="CM283" s="24">
        <f t="shared" si="649"/>
        <v>0</v>
      </c>
      <c r="CN283" s="24">
        <f t="shared" si="649"/>
        <v>0</v>
      </c>
      <c r="CO283" s="24">
        <f t="shared" si="649"/>
        <v>0</v>
      </c>
      <c r="CP283" s="24">
        <f t="shared" si="649"/>
        <v>0</v>
      </c>
      <c r="CQ283" s="24">
        <f t="shared" si="649"/>
        <v>0</v>
      </c>
      <c r="CR283" s="24"/>
      <c r="CS283" s="24"/>
      <c r="CT283" s="24">
        <f t="shared" ref="CT283:CZ283" si="650">SUM(CT284:CT306)</f>
        <v>0</v>
      </c>
      <c r="CU283" s="24">
        <f t="shared" si="650"/>
        <v>0</v>
      </c>
      <c r="CV283" s="47">
        <f t="shared" si="650"/>
        <v>56369271</v>
      </c>
      <c r="CW283" s="24">
        <f t="shared" si="650"/>
        <v>0</v>
      </c>
      <c r="CX283" s="24">
        <f t="shared" si="650"/>
        <v>0</v>
      </c>
      <c r="CY283" s="24">
        <f t="shared" si="650"/>
        <v>0</v>
      </c>
      <c r="CZ283" s="25">
        <f t="shared" si="650"/>
        <v>0</v>
      </c>
    </row>
    <row r="284" spans="1:218" s="63" customFormat="1" ht="31.2" x14ac:dyDescent="0.3">
      <c r="A284" s="26" t="s">
        <v>1</v>
      </c>
      <c r="B284" s="27" t="s">
        <v>1</v>
      </c>
      <c r="C284" s="27" t="s">
        <v>175</v>
      </c>
      <c r="D284" s="51" t="s">
        <v>590</v>
      </c>
      <c r="E284" s="23">
        <f t="shared" ref="E284:E306" si="651">SUM(F284+CD284+CW284)</f>
        <v>27500</v>
      </c>
      <c r="F284" s="24">
        <f t="shared" ref="F284:F306" si="652">SUM(G284+BD284)</f>
        <v>0</v>
      </c>
      <c r="G284" s="24">
        <f t="shared" ref="G284:G306" si="653">SUM(H284+I284+J284+Q284+T284+U284+V284+AF284+AE284)</f>
        <v>0</v>
      </c>
      <c r="H284" s="24">
        <v>0</v>
      </c>
      <c r="I284" s="24">
        <v>0</v>
      </c>
      <c r="J284" s="24">
        <f>SUM(K284:P284)</f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f>SUM(R284:S284)</f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f t="shared" ref="V284:V306" si="654">SUM(W284:AD284)</f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/>
      <c r="AF284" s="24">
        <f t="shared" ref="AF284:AF306" si="655">SUM(AG284:BC284)</f>
        <v>0</v>
      </c>
      <c r="AG284" s="24">
        <v>0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  <c r="AO284" s="24">
        <v>0</v>
      </c>
      <c r="AP284" s="24">
        <v>0</v>
      </c>
      <c r="AQ284" s="24">
        <v>0</v>
      </c>
      <c r="AR284" s="24">
        <v>0</v>
      </c>
      <c r="AS284" s="24">
        <v>0</v>
      </c>
      <c r="AT284" s="24">
        <v>0</v>
      </c>
      <c r="AU284" s="24">
        <v>0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0</v>
      </c>
      <c r="BB284" s="24"/>
      <c r="BC284" s="29"/>
      <c r="BD284" s="24">
        <f t="shared" ref="BD284:BD306" si="656">SUM(BE284+BI284+BM284+BO284+BR284)</f>
        <v>0</v>
      </c>
      <c r="BE284" s="24">
        <f t="shared" ref="BE284:BE306" si="657">SUM(BF284:BH284)</f>
        <v>0</v>
      </c>
      <c r="BF284" s="24">
        <v>0</v>
      </c>
      <c r="BG284" s="24">
        <v>0</v>
      </c>
      <c r="BH284" s="24">
        <v>0</v>
      </c>
      <c r="BI284" s="24">
        <f t="shared" ref="BI284:BI306" si="658">SUM(BL284:BL284)</f>
        <v>0</v>
      </c>
      <c r="BJ284" s="24">
        <v>0</v>
      </c>
      <c r="BK284" s="24">
        <v>0</v>
      </c>
      <c r="BL284" s="24">
        <v>0</v>
      </c>
      <c r="BM284" s="24">
        <v>0</v>
      </c>
      <c r="BN284" s="24">
        <v>0</v>
      </c>
      <c r="BO284" s="24">
        <f>SUM(BP284)</f>
        <v>0</v>
      </c>
      <c r="BP284" s="24">
        <v>0</v>
      </c>
      <c r="BQ284" s="24">
        <v>0</v>
      </c>
      <c r="BR284" s="24">
        <f t="shared" ref="BR284:BR306" si="659">SUM(BS284:CC284)</f>
        <v>0</v>
      </c>
      <c r="BS284" s="24">
        <v>0</v>
      </c>
      <c r="BT284" s="24">
        <v>0</v>
      </c>
      <c r="BU284" s="24">
        <v>0</v>
      </c>
      <c r="BV284" s="24">
        <v>0</v>
      </c>
      <c r="BW284" s="24">
        <v>0</v>
      </c>
      <c r="BX284" s="24">
        <v>0</v>
      </c>
      <c r="BY284" s="24">
        <v>0</v>
      </c>
      <c r="BZ284" s="24">
        <v>0</v>
      </c>
      <c r="CA284" s="24">
        <v>0</v>
      </c>
      <c r="CB284" s="24">
        <v>0</v>
      </c>
      <c r="CC284" s="24">
        <v>0</v>
      </c>
      <c r="CD284" s="24">
        <f t="shared" ref="CD284:CD306" si="660">SUM(CE284+CV284)</f>
        <v>27500</v>
      </c>
      <c r="CE284" s="24">
        <f t="shared" ref="CE284:CE306" si="661">SUM(CF284+CI284+CN284)</f>
        <v>0</v>
      </c>
      <c r="CF284" s="24">
        <f>SUM(CG284:CH284)</f>
        <v>0</v>
      </c>
      <c r="CG284" s="24">
        <v>0</v>
      </c>
      <c r="CH284" s="24">
        <v>0</v>
      </c>
      <c r="CI284" s="24">
        <f t="shared" ref="CI284:CI306" si="662">SUM(CJ284:CM284)</f>
        <v>0</v>
      </c>
      <c r="CJ284" s="24">
        <v>0</v>
      </c>
      <c r="CK284" s="24">
        <v>0</v>
      </c>
      <c r="CL284" s="24">
        <v>0</v>
      </c>
      <c r="CM284" s="24">
        <v>0</v>
      </c>
      <c r="CN284" s="24">
        <f t="shared" ref="CN284:CN306" si="663">SUM(CO284:CS284)</f>
        <v>0</v>
      </c>
      <c r="CO284" s="24">
        <v>0</v>
      </c>
      <c r="CP284" s="24">
        <v>0</v>
      </c>
      <c r="CQ284" s="24">
        <v>0</v>
      </c>
      <c r="CR284" s="24"/>
      <c r="CS284" s="24"/>
      <c r="CT284" s="24">
        <v>0</v>
      </c>
      <c r="CU284" s="24">
        <v>0</v>
      </c>
      <c r="CV284" s="47">
        <v>27500</v>
      </c>
      <c r="CW284" s="24">
        <f>SUM(CX284)</f>
        <v>0</v>
      </c>
      <c r="CX284" s="24">
        <f>SUM(CY284:CZ284)</f>
        <v>0</v>
      </c>
      <c r="CY284" s="24">
        <v>0</v>
      </c>
      <c r="CZ284" s="25">
        <v>0</v>
      </c>
    </row>
    <row r="285" spans="1:218" s="63" customFormat="1" ht="15.6" x14ac:dyDescent="0.3">
      <c r="A285" s="26" t="s">
        <v>1</v>
      </c>
      <c r="B285" s="27" t="s">
        <v>1</v>
      </c>
      <c r="C285" s="27" t="s">
        <v>82</v>
      </c>
      <c r="D285" s="28" t="s">
        <v>651</v>
      </c>
      <c r="E285" s="23">
        <f t="shared" si="651"/>
        <v>659000</v>
      </c>
      <c r="F285" s="24">
        <f t="shared" si="652"/>
        <v>659000</v>
      </c>
      <c r="G285" s="24">
        <f t="shared" ref="G285" si="664">SUM(H285+I285+J285+Q285+T285+U285+V285+AF285+AE285)</f>
        <v>659000</v>
      </c>
      <c r="H285" s="24">
        <v>0</v>
      </c>
      <c r="I285" s="24">
        <v>0</v>
      </c>
      <c r="J285" s="24">
        <f>SUM(K285:P285)</f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f>SUM(R285:S285)</f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f t="shared" ref="V285" si="665">SUM(W285:AD285)</f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/>
      <c r="AF285" s="24">
        <f t="shared" si="655"/>
        <v>659000</v>
      </c>
      <c r="AG285" s="24">
        <v>0</v>
      </c>
      <c r="AH285" s="24">
        <v>0</v>
      </c>
      <c r="AI285" s="24">
        <v>0</v>
      </c>
      <c r="AJ285" s="24">
        <v>0</v>
      </c>
      <c r="AK285" s="24">
        <v>0</v>
      </c>
      <c r="AL285" s="24">
        <v>0</v>
      </c>
      <c r="AM285" s="24">
        <v>0</v>
      </c>
      <c r="AN285" s="24">
        <v>0</v>
      </c>
      <c r="AO285" s="24">
        <v>0</v>
      </c>
      <c r="AP285" s="24">
        <v>0</v>
      </c>
      <c r="AQ285" s="24">
        <v>0</v>
      </c>
      <c r="AR285" s="24">
        <v>0</v>
      </c>
      <c r="AS285" s="24">
        <v>0</v>
      </c>
      <c r="AT285" s="24">
        <v>0</v>
      </c>
      <c r="AU285" s="24">
        <v>0</v>
      </c>
      <c r="AV285" s="24">
        <v>0</v>
      </c>
      <c r="AW285" s="24">
        <v>0</v>
      </c>
      <c r="AX285" s="24">
        <v>0</v>
      </c>
      <c r="AY285" s="24">
        <v>0</v>
      </c>
      <c r="AZ285" s="24">
        <v>0</v>
      </c>
      <c r="BA285" s="24">
        <v>0</v>
      </c>
      <c r="BB285" s="24"/>
      <c r="BC285" s="29">
        <f>3956096-3297096</f>
        <v>659000</v>
      </c>
      <c r="BD285" s="24">
        <f t="shared" ref="BD285" si="666">SUM(BE285+BI285+BM285+BO285+BR285)</f>
        <v>0</v>
      </c>
      <c r="BE285" s="24">
        <f t="shared" ref="BE285" si="667">SUM(BF285:BH285)</f>
        <v>0</v>
      </c>
      <c r="BF285" s="24">
        <v>0</v>
      </c>
      <c r="BG285" s="24">
        <v>0</v>
      </c>
      <c r="BH285" s="24">
        <v>0</v>
      </c>
      <c r="BI285" s="24">
        <f t="shared" ref="BI285" si="668">SUM(BL285:BL285)</f>
        <v>0</v>
      </c>
      <c r="BJ285" s="24">
        <v>0</v>
      </c>
      <c r="BK285" s="24">
        <v>0</v>
      </c>
      <c r="BL285" s="24">
        <v>0</v>
      </c>
      <c r="BM285" s="24">
        <v>0</v>
      </c>
      <c r="BN285" s="24">
        <v>0</v>
      </c>
      <c r="BO285" s="24">
        <f>SUM(BP285)</f>
        <v>0</v>
      </c>
      <c r="BP285" s="24">
        <v>0</v>
      </c>
      <c r="BQ285" s="24">
        <v>0</v>
      </c>
      <c r="BR285" s="24">
        <f t="shared" si="659"/>
        <v>0</v>
      </c>
      <c r="BS285" s="24">
        <v>0</v>
      </c>
      <c r="BT285" s="24">
        <v>0</v>
      </c>
      <c r="BU285" s="24">
        <v>0</v>
      </c>
      <c r="BV285" s="24">
        <v>0</v>
      </c>
      <c r="BW285" s="24">
        <v>0</v>
      </c>
      <c r="BX285" s="24">
        <v>0</v>
      </c>
      <c r="BY285" s="24">
        <v>0</v>
      </c>
      <c r="BZ285" s="24">
        <v>0</v>
      </c>
      <c r="CA285" s="24">
        <v>0</v>
      </c>
      <c r="CB285" s="24">
        <v>0</v>
      </c>
      <c r="CC285" s="24">
        <v>0</v>
      </c>
      <c r="CD285" s="24">
        <f t="shared" ref="CD285" si="669">SUM(CE285+CV285)</f>
        <v>0</v>
      </c>
      <c r="CE285" s="24">
        <f t="shared" ref="CE285" si="670">SUM(CF285+CI285+CN285)</f>
        <v>0</v>
      </c>
      <c r="CF285" s="24">
        <f>SUM(CG285:CH285)</f>
        <v>0</v>
      </c>
      <c r="CG285" s="24">
        <v>0</v>
      </c>
      <c r="CH285" s="24">
        <v>0</v>
      </c>
      <c r="CI285" s="24">
        <f t="shared" ref="CI285" si="671">SUM(CJ285:CM285)</f>
        <v>0</v>
      </c>
      <c r="CJ285" s="24">
        <v>0</v>
      </c>
      <c r="CK285" s="24">
        <v>0</v>
      </c>
      <c r="CL285" s="24">
        <v>0</v>
      </c>
      <c r="CM285" s="24">
        <v>0</v>
      </c>
      <c r="CN285" s="24">
        <f t="shared" ref="CN285" si="672">SUM(CO285:CS285)</f>
        <v>0</v>
      </c>
      <c r="CO285" s="24">
        <v>0</v>
      </c>
      <c r="CP285" s="24">
        <v>0</v>
      </c>
      <c r="CQ285" s="24">
        <v>0</v>
      </c>
      <c r="CR285" s="24"/>
      <c r="CS285" s="24"/>
      <c r="CT285" s="24">
        <v>0</v>
      </c>
      <c r="CU285" s="24">
        <v>0</v>
      </c>
      <c r="CV285" s="47"/>
      <c r="CW285" s="24">
        <f>SUM(CX285)</f>
        <v>0</v>
      </c>
      <c r="CX285" s="24">
        <f>SUM(CY285:CZ285)</f>
        <v>0</v>
      </c>
      <c r="CY285" s="24">
        <v>0</v>
      </c>
      <c r="CZ285" s="25">
        <v>0</v>
      </c>
    </row>
    <row r="286" spans="1:218" s="63" customFormat="1" ht="31.2" x14ac:dyDescent="0.3">
      <c r="A286" s="43"/>
      <c r="B286" s="44"/>
      <c r="C286" s="50" t="s">
        <v>84</v>
      </c>
      <c r="D286" s="51" t="s">
        <v>578</v>
      </c>
      <c r="E286" s="46">
        <f t="shared" si="651"/>
        <v>0</v>
      </c>
      <c r="F286" s="47">
        <f t="shared" si="652"/>
        <v>0</v>
      </c>
      <c r="G286" s="47">
        <f t="shared" si="653"/>
        <v>0</v>
      </c>
      <c r="H286" s="47">
        <v>0</v>
      </c>
      <c r="I286" s="47">
        <v>0</v>
      </c>
      <c r="J286" s="47">
        <f t="shared" ref="J286" si="673">SUM(K286:P286)</f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f t="shared" ref="Q286" si="674">SUM(R286:S286)</f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f t="shared" si="654"/>
        <v>0</v>
      </c>
      <c r="W286" s="47">
        <v>0</v>
      </c>
      <c r="X286" s="47">
        <v>0</v>
      </c>
      <c r="Y286" s="47">
        <v>0</v>
      </c>
      <c r="Z286" s="47">
        <v>0</v>
      </c>
      <c r="AA286" s="47">
        <v>0</v>
      </c>
      <c r="AB286" s="47">
        <v>0</v>
      </c>
      <c r="AC286" s="47">
        <v>0</v>
      </c>
      <c r="AD286" s="47">
        <v>0</v>
      </c>
      <c r="AE286" s="47">
        <v>0</v>
      </c>
      <c r="AF286" s="47">
        <f t="shared" si="655"/>
        <v>0</v>
      </c>
      <c r="AG286" s="48"/>
      <c r="AH286" s="48"/>
      <c r="AI286" s="47">
        <v>0</v>
      </c>
      <c r="AJ286" s="47">
        <v>0</v>
      </c>
      <c r="AK286" s="47">
        <v>0</v>
      </c>
      <c r="AL286" s="47">
        <v>0</v>
      </c>
      <c r="AM286" s="47">
        <v>0</v>
      </c>
      <c r="AN286" s="47">
        <v>0</v>
      </c>
      <c r="AO286" s="47">
        <v>0</v>
      </c>
      <c r="AP286" s="47">
        <v>0</v>
      </c>
      <c r="AQ286" s="47">
        <v>0</v>
      </c>
      <c r="AR286" s="47"/>
      <c r="AS286" s="47">
        <v>0</v>
      </c>
      <c r="AT286" s="47">
        <v>0</v>
      </c>
      <c r="AU286" s="47">
        <v>0</v>
      </c>
      <c r="AV286" s="47"/>
      <c r="AW286" s="47"/>
      <c r="AX286" s="47">
        <v>0</v>
      </c>
      <c r="AY286" s="47">
        <v>0</v>
      </c>
      <c r="AZ286" s="47">
        <v>0</v>
      </c>
      <c r="BA286" s="47">
        <v>0</v>
      </c>
      <c r="BB286" s="47"/>
      <c r="BC286" s="47">
        <v>0</v>
      </c>
      <c r="BD286" s="47">
        <f t="shared" si="656"/>
        <v>0</v>
      </c>
      <c r="BE286" s="47">
        <f t="shared" si="657"/>
        <v>0</v>
      </c>
      <c r="BF286" s="47">
        <v>0</v>
      </c>
      <c r="BG286" s="47">
        <v>0</v>
      </c>
      <c r="BH286" s="47">
        <v>0</v>
      </c>
      <c r="BI286" s="47">
        <f t="shared" si="658"/>
        <v>0</v>
      </c>
      <c r="BJ286" s="47">
        <v>0</v>
      </c>
      <c r="BK286" s="47">
        <v>0</v>
      </c>
      <c r="BL286" s="47">
        <v>0</v>
      </c>
      <c r="BM286" s="47">
        <v>0</v>
      </c>
      <c r="BN286" s="47">
        <v>0</v>
      </c>
      <c r="BO286" s="47">
        <f t="shared" ref="BO286" si="675">SUM(BP286)</f>
        <v>0</v>
      </c>
      <c r="BP286" s="47">
        <v>0</v>
      </c>
      <c r="BQ286" s="47">
        <v>0</v>
      </c>
      <c r="BR286" s="47">
        <f t="shared" si="659"/>
        <v>0</v>
      </c>
      <c r="BS286" s="47">
        <v>0</v>
      </c>
      <c r="BT286" s="47">
        <v>0</v>
      </c>
      <c r="BU286" s="47">
        <v>0</v>
      </c>
      <c r="BV286" s="47">
        <v>0</v>
      </c>
      <c r="BW286" s="47">
        <v>0</v>
      </c>
      <c r="BX286" s="47">
        <v>0</v>
      </c>
      <c r="BY286" s="47">
        <v>0</v>
      </c>
      <c r="BZ286" s="47">
        <v>0</v>
      </c>
      <c r="CA286" s="47">
        <v>0</v>
      </c>
      <c r="CB286" s="47">
        <v>0</v>
      </c>
      <c r="CC286" s="47">
        <v>0</v>
      </c>
      <c r="CD286" s="47">
        <f t="shared" si="660"/>
        <v>0</v>
      </c>
      <c r="CE286" s="47">
        <f t="shared" si="661"/>
        <v>0</v>
      </c>
      <c r="CF286" s="47">
        <f t="shared" ref="CF286" si="676">SUM(CG286:CH286)</f>
        <v>0</v>
      </c>
      <c r="CG286" s="47">
        <v>0</v>
      </c>
      <c r="CH286" s="47">
        <v>0</v>
      </c>
      <c r="CI286" s="47">
        <f t="shared" si="662"/>
        <v>0</v>
      </c>
      <c r="CJ286" s="47">
        <v>0</v>
      </c>
      <c r="CK286" s="47">
        <v>0</v>
      </c>
      <c r="CL286" s="47">
        <v>0</v>
      </c>
      <c r="CM286" s="47">
        <v>0</v>
      </c>
      <c r="CN286" s="47">
        <f t="shared" si="663"/>
        <v>0</v>
      </c>
      <c r="CO286" s="47">
        <v>0</v>
      </c>
      <c r="CP286" s="47">
        <v>0</v>
      </c>
      <c r="CQ286" s="47">
        <v>0</v>
      </c>
      <c r="CR286" s="47"/>
      <c r="CS286" s="47"/>
      <c r="CT286" s="47">
        <v>0</v>
      </c>
      <c r="CU286" s="47">
        <v>0</v>
      </c>
      <c r="CV286" s="42">
        <f>6585243-6585243</f>
        <v>0</v>
      </c>
      <c r="CW286" s="47">
        <f t="shared" ref="CW286" si="677">SUM(CX286)</f>
        <v>0</v>
      </c>
      <c r="CX286" s="47">
        <f t="shared" ref="CX286" si="678">SUM(CY286:CZ286)</f>
        <v>0</v>
      </c>
      <c r="CY286" s="47">
        <v>0</v>
      </c>
      <c r="CZ286" s="49">
        <v>0</v>
      </c>
    </row>
    <row r="287" spans="1:218" s="63" customFormat="1" ht="31.2" x14ac:dyDescent="0.3">
      <c r="A287" s="43" t="s">
        <v>1</v>
      </c>
      <c r="B287" s="44" t="s">
        <v>1</v>
      </c>
      <c r="C287" s="44" t="s">
        <v>84</v>
      </c>
      <c r="D287" s="45" t="s">
        <v>448</v>
      </c>
      <c r="E287" s="46">
        <f t="shared" si="651"/>
        <v>9123600</v>
      </c>
      <c r="F287" s="47">
        <f t="shared" si="652"/>
        <v>0</v>
      </c>
      <c r="G287" s="47">
        <f t="shared" si="653"/>
        <v>0</v>
      </c>
      <c r="H287" s="47">
        <v>0</v>
      </c>
      <c r="I287" s="47">
        <v>0</v>
      </c>
      <c r="J287" s="47">
        <f t="shared" si="504"/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f t="shared" si="505"/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f t="shared" si="654"/>
        <v>0</v>
      </c>
      <c r="W287" s="47">
        <v>0</v>
      </c>
      <c r="X287" s="47">
        <v>0</v>
      </c>
      <c r="Y287" s="47">
        <v>0</v>
      </c>
      <c r="Z287" s="47">
        <v>0</v>
      </c>
      <c r="AA287" s="47">
        <v>0</v>
      </c>
      <c r="AB287" s="47">
        <v>0</v>
      </c>
      <c r="AC287" s="47">
        <v>0</v>
      </c>
      <c r="AD287" s="47">
        <v>0</v>
      </c>
      <c r="AE287" s="47">
        <v>0</v>
      </c>
      <c r="AF287" s="47">
        <f t="shared" si="655"/>
        <v>0</v>
      </c>
      <c r="AG287" s="47">
        <v>0</v>
      </c>
      <c r="AH287" s="47">
        <v>0</v>
      </c>
      <c r="AI287" s="47">
        <v>0</v>
      </c>
      <c r="AJ287" s="47">
        <v>0</v>
      </c>
      <c r="AK287" s="47">
        <v>0</v>
      </c>
      <c r="AL287" s="47">
        <v>0</v>
      </c>
      <c r="AM287" s="47">
        <v>0</v>
      </c>
      <c r="AN287" s="47">
        <v>0</v>
      </c>
      <c r="AO287" s="47">
        <v>0</v>
      </c>
      <c r="AP287" s="47">
        <v>0</v>
      </c>
      <c r="AQ287" s="47">
        <v>0</v>
      </c>
      <c r="AR287" s="47">
        <v>0</v>
      </c>
      <c r="AS287" s="47">
        <v>0</v>
      </c>
      <c r="AT287" s="47">
        <v>0</v>
      </c>
      <c r="AU287" s="47">
        <v>0</v>
      </c>
      <c r="AV287" s="47">
        <v>0</v>
      </c>
      <c r="AW287" s="47">
        <v>0</v>
      </c>
      <c r="AX287" s="47">
        <v>0</v>
      </c>
      <c r="AY287" s="47">
        <v>0</v>
      </c>
      <c r="AZ287" s="47">
        <v>0</v>
      </c>
      <c r="BA287" s="47">
        <v>0</v>
      </c>
      <c r="BB287" s="47"/>
      <c r="BC287" s="47">
        <v>0</v>
      </c>
      <c r="BD287" s="47">
        <f t="shared" si="656"/>
        <v>0</v>
      </c>
      <c r="BE287" s="47">
        <f t="shared" si="657"/>
        <v>0</v>
      </c>
      <c r="BF287" s="47">
        <v>0</v>
      </c>
      <c r="BG287" s="47">
        <v>0</v>
      </c>
      <c r="BH287" s="47">
        <v>0</v>
      </c>
      <c r="BI287" s="47">
        <f t="shared" si="658"/>
        <v>0</v>
      </c>
      <c r="BJ287" s="47">
        <v>0</v>
      </c>
      <c r="BK287" s="47">
        <v>0</v>
      </c>
      <c r="BL287" s="47">
        <v>0</v>
      </c>
      <c r="BM287" s="47">
        <v>0</v>
      </c>
      <c r="BN287" s="47">
        <v>0</v>
      </c>
      <c r="BO287" s="47">
        <f t="shared" si="507"/>
        <v>0</v>
      </c>
      <c r="BP287" s="47">
        <v>0</v>
      </c>
      <c r="BQ287" s="47">
        <v>0</v>
      </c>
      <c r="BR287" s="47">
        <f t="shared" si="659"/>
        <v>0</v>
      </c>
      <c r="BS287" s="47">
        <v>0</v>
      </c>
      <c r="BT287" s="47">
        <v>0</v>
      </c>
      <c r="BU287" s="47">
        <v>0</v>
      </c>
      <c r="BV287" s="47">
        <v>0</v>
      </c>
      <c r="BW287" s="47">
        <v>0</v>
      </c>
      <c r="BX287" s="47">
        <v>0</v>
      </c>
      <c r="BY287" s="47">
        <v>0</v>
      </c>
      <c r="BZ287" s="47">
        <v>0</v>
      </c>
      <c r="CA287" s="47">
        <v>0</v>
      </c>
      <c r="CB287" s="47">
        <v>0</v>
      </c>
      <c r="CC287" s="47">
        <v>0</v>
      </c>
      <c r="CD287" s="47">
        <f t="shared" si="660"/>
        <v>9123600</v>
      </c>
      <c r="CE287" s="47">
        <f t="shared" si="661"/>
        <v>0</v>
      </c>
      <c r="CF287" s="47">
        <f t="shared" si="508"/>
        <v>0</v>
      </c>
      <c r="CG287" s="47">
        <v>0</v>
      </c>
      <c r="CH287" s="47">
        <v>0</v>
      </c>
      <c r="CI287" s="47">
        <f t="shared" si="662"/>
        <v>0</v>
      </c>
      <c r="CJ287" s="47">
        <v>0</v>
      </c>
      <c r="CK287" s="47">
        <v>0</v>
      </c>
      <c r="CL287" s="47">
        <v>0</v>
      </c>
      <c r="CM287" s="47">
        <v>0</v>
      </c>
      <c r="CN287" s="47">
        <f t="shared" si="663"/>
        <v>0</v>
      </c>
      <c r="CO287" s="47">
        <v>0</v>
      </c>
      <c r="CP287" s="47">
        <v>0</v>
      </c>
      <c r="CQ287" s="47">
        <v>0</v>
      </c>
      <c r="CR287" s="47"/>
      <c r="CS287" s="47"/>
      <c r="CT287" s="47">
        <v>0</v>
      </c>
      <c r="CU287" s="47">
        <v>0</v>
      </c>
      <c r="CV287" s="42">
        <v>9123600</v>
      </c>
      <c r="CW287" s="47">
        <f t="shared" si="509"/>
        <v>0</v>
      </c>
      <c r="CX287" s="47">
        <f t="shared" si="510"/>
        <v>0</v>
      </c>
      <c r="CY287" s="47">
        <v>0</v>
      </c>
      <c r="CZ287" s="49">
        <v>0</v>
      </c>
    </row>
    <row r="288" spans="1:218" s="63" customFormat="1" ht="15.6" x14ac:dyDescent="0.3">
      <c r="A288" s="43"/>
      <c r="B288" s="44"/>
      <c r="C288" s="50" t="s">
        <v>84</v>
      </c>
      <c r="D288" s="51" t="s">
        <v>579</v>
      </c>
      <c r="E288" s="46">
        <f t="shared" si="651"/>
        <v>10000</v>
      </c>
      <c r="F288" s="47">
        <f t="shared" si="652"/>
        <v>0</v>
      </c>
      <c r="G288" s="47">
        <f t="shared" si="653"/>
        <v>0</v>
      </c>
      <c r="H288" s="47">
        <v>0</v>
      </c>
      <c r="I288" s="47">
        <v>0</v>
      </c>
      <c r="J288" s="47">
        <f t="shared" ref="J288" si="679">SUM(K288:P288)</f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f t="shared" ref="Q288" si="680">SUM(R288:S288)</f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f t="shared" si="654"/>
        <v>0</v>
      </c>
      <c r="W288" s="47">
        <v>0</v>
      </c>
      <c r="X288" s="47">
        <v>0</v>
      </c>
      <c r="Y288" s="47">
        <v>0</v>
      </c>
      <c r="Z288" s="47">
        <v>0</v>
      </c>
      <c r="AA288" s="47">
        <v>0</v>
      </c>
      <c r="AB288" s="47">
        <v>0</v>
      </c>
      <c r="AC288" s="47">
        <v>0</v>
      </c>
      <c r="AD288" s="47">
        <v>0</v>
      </c>
      <c r="AE288" s="47">
        <v>0</v>
      </c>
      <c r="AF288" s="47">
        <f t="shared" si="655"/>
        <v>0</v>
      </c>
      <c r="AG288" s="48"/>
      <c r="AH288" s="48"/>
      <c r="AI288" s="47">
        <v>0</v>
      </c>
      <c r="AJ288" s="47">
        <v>0</v>
      </c>
      <c r="AK288" s="47">
        <v>0</v>
      </c>
      <c r="AL288" s="47">
        <v>0</v>
      </c>
      <c r="AM288" s="47">
        <v>0</v>
      </c>
      <c r="AN288" s="47">
        <v>0</v>
      </c>
      <c r="AO288" s="47">
        <v>0</v>
      </c>
      <c r="AP288" s="47">
        <v>0</v>
      </c>
      <c r="AQ288" s="47">
        <v>0</v>
      </c>
      <c r="AR288" s="47"/>
      <c r="AS288" s="47">
        <v>0</v>
      </c>
      <c r="AT288" s="47">
        <v>0</v>
      </c>
      <c r="AU288" s="47">
        <v>0</v>
      </c>
      <c r="AV288" s="47"/>
      <c r="AW288" s="47"/>
      <c r="AX288" s="47">
        <v>0</v>
      </c>
      <c r="AY288" s="47">
        <v>0</v>
      </c>
      <c r="AZ288" s="47">
        <v>0</v>
      </c>
      <c r="BA288" s="47">
        <v>0</v>
      </c>
      <c r="BB288" s="47"/>
      <c r="BC288" s="47">
        <v>0</v>
      </c>
      <c r="BD288" s="47">
        <f t="shared" si="656"/>
        <v>0</v>
      </c>
      <c r="BE288" s="47">
        <f t="shared" si="657"/>
        <v>0</v>
      </c>
      <c r="BF288" s="47">
        <v>0</v>
      </c>
      <c r="BG288" s="47">
        <v>0</v>
      </c>
      <c r="BH288" s="47">
        <v>0</v>
      </c>
      <c r="BI288" s="47">
        <f t="shared" si="658"/>
        <v>0</v>
      </c>
      <c r="BJ288" s="47">
        <v>0</v>
      </c>
      <c r="BK288" s="47">
        <v>0</v>
      </c>
      <c r="BL288" s="47">
        <v>0</v>
      </c>
      <c r="BM288" s="47">
        <v>0</v>
      </c>
      <c r="BN288" s="47">
        <v>0</v>
      </c>
      <c r="BO288" s="47">
        <f t="shared" si="507"/>
        <v>0</v>
      </c>
      <c r="BP288" s="47">
        <v>0</v>
      </c>
      <c r="BQ288" s="47">
        <v>0</v>
      </c>
      <c r="BR288" s="47">
        <f t="shared" si="659"/>
        <v>0</v>
      </c>
      <c r="BS288" s="47">
        <v>0</v>
      </c>
      <c r="BT288" s="47">
        <v>0</v>
      </c>
      <c r="BU288" s="47">
        <v>0</v>
      </c>
      <c r="BV288" s="47">
        <v>0</v>
      </c>
      <c r="BW288" s="47">
        <v>0</v>
      </c>
      <c r="BX288" s="47">
        <v>0</v>
      </c>
      <c r="BY288" s="47">
        <v>0</v>
      </c>
      <c r="BZ288" s="47">
        <v>0</v>
      </c>
      <c r="CA288" s="47">
        <v>0</v>
      </c>
      <c r="CB288" s="47">
        <v>0</v>
      </c>
      <c r="CC288" s="47">
        <v>0</v>
      </c>
      <c r="CD288" s="47">
        <f t="shared" si="660"/>
        <v>10000</v>
      </c>
      <c r="CE288" s="47">
        <f t="shared" si="661"/>
        <v>0</v>
      </c>
      <c r="CF288" s="47">
        <f t="shared" ref="CF288" si="681">SUM(CG288:CH288)</f>
        <v>0</v>
      </c>
      <c r="CG288" s="47">
        <v>0</v>
      </c>
      <c r="CH288" s="47">
        <v>0</v>
      </c>
      <c r="CI288" s="47">
        <f t="shared" si="662"/>
        <v>0</v>
      </c>
      <c r="CJ288" s="47">
        <v>0</v>
      </c>
      <c r="CK288" s="47">
        <v>0</v>
      </c>
      <c r="CL288" s="47">
        <v>0</v>
      </c>
      <c r="CM288" s="47">
        <v>0</v>
      </c>
      <c r="CN288" s="47">
        <f t="shared" si="663"/>
        <v>0</v>
      </c>
      <c r="CO288" s="47">
        <v>0</v>
      </c>
      <c r="CP288" s="47">
        <v>0</v>
      </c>
      <c r="CQ288" s="47">
        <v>0</v>
      </c>
      <c r="CR288" s="47"/>
      <c r="CS288" s="47"/>
      <c r="CT288" s="47">
        <v>0</v>
      </c>
      <c r="CU288" s="47">
        <v>0</v>
      </c>
      <c r="CV288" s="42">
        <f>520402-510402</f>
        <v>10000</v>
      </c>
      <c r="CW288" s="47">
        <f t="shared" si="509"/>
        <v>0</v>
      </c>
      <c r="CX288" s="47">
        <f t="shared" si="510"/>
        <v>0</v>
      </c>
      <c r="CY288" s="47">
        <v>0</v>
      </c>
      <c r="CZ288" s="49">
        <v>0</v>
      </c>
    </row>
    <row r="289" spans="1:218" s="63" customFormat="1" ht="31.2" x14ac:dyDescent="0.3">
      <c r="A289" s="43" t="s">
        <v>1</v>
      </c>
      <c r="B289" s="44" t="s">
        <v>1</v>
      </c>
      <c r="C289" s="52" t="s">
        <v>84</v>
      </c>
      <c r="D289" s="53" t="s">
        <v>609</v>
      </c>
      <c r="E289" s="46">
        <f t="shared" si="651"/>
        <v>62000</v>
      </c>
      <c r="F289" s="47">
        <f t="shared" si="652"/>
        <v>0</v>
      </c>
      <c r="G289" s="47">
        <f t="shared" si="653"/>
        <v>0</v>
      </c>
      <c r="H289" s="47">
        <v>0</v>
      </c>
      <c r="I289" s="47">
        <v>0</v>
      </c>
      <c r="J289" s="47">
        <f>SUM(K289:P289)</f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f>SUM(R289:S289)</f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f t="shared" si="654"/>
        <v>0</v>
      </c>
      <c r="W289" s="47">
        <v>0</v>
      </c>
      <c r="X289" s="47">
        <v>0</v>
      </c>
      <c r="Y289" s="47">
        <v>0</v>
      </c>
      <c r="Z289" s="47">
        <v>0</v>
      </c>
      <c r="AA289" s="47">
        <v>0</v>
      </c>
      <c r="AB289" s="47">
        <v>0</v>
      </c>
      <c r="AC289" s="47">
        <v>0</v>
      </c>
      <c r="AD289" s="47">
        <v>0</v>
      </c>
      <c r="AE289" s="47">
        <v>0</v>
      </c>
      <c r="AF289" s="47">
        <f t="shared" si="655"/>
        <v>0</v>
      </c>
      <c r="AG289" s="47">
        <v>0</v>
      </c>
      <c r="AH289" s="47">
        <v>0</v>
      </c>
      <c r="AI289" s="47">
        <v>0</v>
      </c>
      <c r="AJ289" s="47">
        <v>0</v>
      </c>
      <c r="AK289" s="47">
        <v>0</v>
      </c>
      <c r="AL289" s="47">
        <v>0</v>
      </c>
      <c r="AM289" s="47">
        <v>0</v>
      </c>
      <c r="AN289" s="47">
        <v>0</v>
      </c>
      <c r="AO289" s="47">
        <v>0</v>
      </c>
      <c r="AP289" s="47">
        <v>0</v>
      </c>
      <c r="AQ289" s="47">
        <v>0</v>
      </c>
      <c r="AR289" s="47">
        <v>0</v>
      </c>
      <c r="AS289" s="47">
        <v>0</v>
      </c>
      <c r="AT289" s="47">
        <v>0</v>
      </c>
      <c r="AU289" s="47">
        <v>0</v>
      </c>
      <c r="AV289" s="47">
        <v>0</v>
      </c>
      <c r="AW289" s="47">
        <v>0</v>
      </c>
      <c r="AX289" s="47">
        <v>0</v>
      </c>
      <c r="AY289" s="47">
        <v>0</v>
      </c>
      <c r="AZ289" s="47">
        <v>0</v>
      </c>
      <c r="BA289" s="47">
        <v>0</v>
      </c>
      <c r="BB289" s="47"/>
      <c r="BC289" s="47">
        <v>0</v>
      </c>
      <c r="BD289" s="47">
        <f t="shared" si="656"/>
        <v>0</v>
      </c>
      <c r="BE289" s="47">
        <f t="shared" si="657"/>
        <v>0</v>
      </c>
      <c r="BF289" s="47">
        <v>0</v>
      </c>
      <c r="BG289" s="47">
        <v>0</v>
      </c>
      <c r="BH289" s="47">
        <v>0</v>
      </c>
      <c r="BI289" s="47">
        <f t="shared" si="658"/>
        <v>0</v>
      </c>
      <c r="BJ289" s="47">
        <v>0</v>
      </c>
      <c r="BK289" s="47">
        <v>0</v>
      </c>
      <c r="BL289" s="47">
        <v>0</v>
      </c>
      <c r="BM289" s="47">
        <v>0</v>
      </c>
      <c r="BN289" s="47">
        <v>0</v>
      </c>
      <c r="BO289" s="47">
        <f>SUM(BP289)</f>
        <v>0</v>
      </c>
      <c r="BP289" s="47">
        <v>0</v>
      </c>
      <c r="BQ289" s="47">
        <v>0</v>
      </c>
      <c r="BR289" s="47">
        <f t="shared" si="659"/>
        <v>0</v>
      </c>
      <c r="BS289" s="47">
        <v>0</v>
      </c>
      <c r="BT289" s="47">
        <v>0</v>
      </c>
      <c r="BU289" s="47">
        <v>0</v>
      </c>
      <c r="BV289" s="47">
        <v>0</v>
      </c>
      <c r="BW289" s="47">
        <v>0</v>
      </c>
      <c r="BX289" s="47">
        <v>0</v>
      </c>
      <c r="BY289" s="47">
        <v>0</v>
      </c>
      <c r="BZ289" s="47">
        <v>0</v>
      </c>
      <c r="CA289" s="47">
        <v>0</v>
      </c>
      <c r="CB289" s="47">
        <v>0</v>
      </c>
      <c r="CC289" s="47">
        <v>0</v>
      </c>
      <c r="CD289" s="47">
        <f t="shared" si="660"/>
        <v>62000</v>
      </c>
      <c r="CE289" s="47">
        <f t="shared" si="661"/>
        <v>0</v>
      </c>
      <c r="CF289" s="47">
        <f>SUM(CG289:CH289)</f>
        <v>0</v>
      </c>
      <c r="CG289" s="47">
        <v>0</v>
      </c>
      <c r="CH289" s="47">
        <v>0</v>
      </c>
      <c r="CI289" s="47">
        <f t="shared" si="662"/>
        <v>0</v>
      </c>
      <c r="CJ289" s="47">
        <v>0</v>
      </c>
      <c r="CK289" s="47">
        <v>0</v>
      </c>
      <c r="CL289" s="47">
        <v>0</v>
      </c>
      <c r="CM289" s="47">
        <v>0</v>
      </c>
      <c r="CN289" s="47">
        <f t="shared" si="663"/>
        <v>0</v>
      </c>
      <c r="CO289" s="47">
        <v>0</v>
      </c>
      <c r="CP289" s="47">
        <v>0</v>
      </c>
      <c r="CQ289" s="47">
        <v>0</v>
      </c>
      <c r="CR289" s="47"/>
      <c r="CS289" s="47"/>
      <c r="CT289" s="47">
        <v>0</v>
      </c>
      <c r="CU289" s="47">
        <v>0</v>
      </c>
      <c r="CV289" s="42">
        <f>312000-250000</f>
        <v>62000</v>
      </c>
      <c r="CW289" s="47">
        <f>SUM(CX289)</f>
        <v>0</v>
      </c>
      <c r="CX289" s="47">
        <f>SUM(CY289:CZ289)</f>
        <v>0</v>
      </c>
      <c r="CY289" s="47">
        <v>0</v>
      </c>
      <c r="CZ289" s="49">
        <v>0</v>
      </c>
    </row>
    <row r="290" spans="1:218" s="63" customFormat="1" ht="31.2" x14ac:dyDescent="0.3">
      <c r="A290" s="43"/>
      <c r="B290" s="44"/>
      <c r="C290" s="50" t="s">
        <v>86</v>
      </c>
      <c r="D290" s="51" t="s">
        <v>608</v>
      </c>
      <c r="E290" s="46">
        <f t="shared" si="651"/>
        <v>2307669</v>
      </c>
      <c r="F290" s="47">
        <f t="shared" si="652"/>
        <v>0</v>
      </c>
      <c r="G290" s="47">
        <f t="shared" si="653"/>
        <v>0</v>
      </c>
      <c r="H290" s="47">
        <v>0</v>
      </c>
      <c r="I290" s="47">
        <v>0</v>
      </c>
      <c r="J290" s="47">
        <f t="shared" ref="J290" si="682">SUM(K290:P290)</f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f t="shared" ref="Q290" si="683">SUM(R290:S290)</f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f t="shared" si="654"/>
        <v>0</v>
      </c>
      <c r="W290" s="47">
        <v>0</v>
      </c>
      <c r="X290" s="47">
        <v>0</v>
      </c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7">
        <v>0</v>
      </c>
      <c r="AF290" s="47">
        <f t="shared" si="655"/>
        <v>0</v>
      </c>
      <c r="AG290" s="48"/>
      <c r="AH290" s="48"/>
      <c r="AI290" s="47">
        <v>0</v>
      </c>
      <c r="AJ290" s="47">
        <v>0</v>
      </c>
      <c r="AK290" s="47">
        <v>0</v>
      </c>
      <c r="AL290" s="47">
        <v>0</v>
      </c>
      <c r="AM290" s="47">
        <v>0</v>
      </c>
      <c r="AN290" s="47">
        <v>0</v>
      </c>
      <c r="AO290" s="47">
        <v>0</v>
      </c>
      <c r="AP290" s="47">
        <v>0</v>
      </c>
      <c r="AQ290" s="47">
        <v>0</v>
      </c>
      <c r="AR290" s="47"/>
      <c r="AS290" s="47">
        <v>0</v>
      </c>
      <c r="AT290" s="47">
        <v>0</v>
      </c>
      <c r="AU290" s="47">
        <v>0</v>
      </c>
      <c r="AV290" s="47"/>
      <c r="AW290" s="47"/>
      <c r="AX290" s="47">
        <v>0</v>
      </c>
      <c r="AY290" s="47">
        <v>0</v>
      </c>
      <c r="AZ290" s="47">
        <v>0</v>
      </c>
      <c r="BA290" s="47">
        <v>0</v>
      </c>
      <c r="BB290" s="47"/>
      <c r="BC290" s="47">
        <v>0</v>
      </c>
      <c r="BD290" s="47">
        <f t="shared" si="656"/>
        <v>0</v>
      </c>
      <c r="BE290" s="47">
        <f t="shared" si="657"/>
        <v>0</v>
      </c>
      <c r="BF290" s="47">
        <v>0</v>
      </c>
      <c r="BG290" s="47">
        <v>0</v>
      </c>
      <c r="BH290" s="47">
        <v>0</v>
      </c>
      <c r="BI290" s="47">
        <f t="shared" si="658"/>
        <v>0</v>
      </c>
      <c r="BJ290" s="47">
        <v>0</v>
      </c>
      <c r="BK290" s="47">
        <v>0</v>
      </c>
      <c r="BL290" s="47">
        <v>0</v>
      </c>
      <c r="BM290" s="47">
        <v>0</v>
      </c>
      <c r="BN290" s="47">
        <v>0</v>
      </c>
      <c r="BO290" s="47">
        <f t="shared" ref="BO290" si="684">SUM(BP290)</f>
        <v>0</v>
      </c>
      <c r="BP290" s="47">
        <v>0</v>
      </c>
      <c r="BQ290" s="47">
        <v>0</v>
      </c>
      <c r="BR290" s="47">
        <f t="shared" si="659"/>
        <v>0</v>
      </c>
      <c r="BS290" s="47">
        <v>0</v>
      </c>
      <c r="BT290" s="47">
        <v>0</v>
      </c>
      <c r="BU290" s="47">
        <v>0</v>
      </c>
      <c r="BV290" s="47">
        <v>0</v>
      </c>
      <c r="BW290" s="47">
        <v>0</v>
      </c>
      <c r="BX290" s="47">
        <v>0</v>
      </c>
      <c r="BY290" s="47">
        <v>0</v>
      </c>
      <c r="BZ290" s="47">
        <v>0</v>
      </c>
      <c r="CA290" s="47">
        <v>0</v>
      </c>
      <c r="CB290" s="47">
        <v>0</v>
      </c>
      <c r="CC290" s="47">
        <v>0</v>
      </c>
      <c r="CD290" s="47">
        <f t="shared" si="660"/>
        <v>2307669</v>
      </c>
      <c r="CE290" s="47">
        <f t="shared" si="661"/>
        <v>0</v>
      </c>
      <c r="CF290" s="47">
        <f t="shared" ref="CF290" si="685">SUM(CG290:CH290)</f>
        <v>0</v>
      </c>
      <c r="CG290" s="47">
        <v>0</v>
      </c>
      <c r="CH290" s="47">
        <v>0</v>
      </c>
      <c r="CI290" s="47">
        <f t="shared" si="662"/>
        <v>0</v>
      </c>
      <c r="CJ290" s="47">
        <v>0</v>
      </c>
      <c r="CK290" s="47">
        <v>0</v>
      </c>
      <c r="CL290" s="47">
        <v>0</v>
      </c>
      <c r="CM290" s="47">
        <v>0</v>
      </c>
      <c r="CN290" s="47">
        <f t="shared" si="663"/>
        <v>0</v>
      </c>
      <c r="CO290" s="47">
        <v>0</v>
      </c>
      <c r="CP290" s="47">
        <v>0</v>
      </c>
      <c r="CQ290" s="47">
        <v>0</v>
      </c>
      <c r="CR290" s="47"/>
      <c r="CS290" s="47"/>
      <c r="CT290" s="47">
        <v>0</v>
      </c>
      <c r="CU290" s="47">
        <v>0</v>
      </c>
      <c r="CV290" s="42">
        <v>2307669</v>
      </c>
      <c r="CW290" s="47">
        <f t="shared" ref="CW290" si="686">SUM(CX290)</f>
        <v>0</v>
      </c>
      <c r="CX290" s="47">
        <f t="shared" ref="CX290" si="687">SUM(CY290:CZ290)</f>
        <v>0</v>
      </c>
      <c r="CY290" s="47">
        <v>0</v>
      </c>
      <c r="CZ290" s="49">
        <v>0</v>
      </c>
    </row>
    <row r="291" spans="1:218" s="63" customFormat="1" ht="31.2" x14ac:dyDescent="0.3">
      <c r="A291" s="43" t="s">
        <v>1</v>
      </c>
      <c r="B291" s="44" t="s">
        <v>1</v>
      </c>
      <c r="C291" s="52" t="s">
        <v>86</v>
      </c>
      <c r="D291" s="53" t="s">
        <v>610</v>
      </c>
      <c r="E291" s="46">
        <f t="shared" si="651"/>
        <v>2500000</v>
      </c>
      <c r="F291" s="47">
        <f t="shared" si="652"/>
        <v>0</v>
      </c>
      <c r="G291" s="47">
        <f t="shared" si="653"/>
        <v>0</v>
      </c>
      <c r="H291" s="47">
        <v>0</v>
      </c>
      <c r="I291" s="47">
        <v>0</v>
      </c>
      <c r="J291" s="47">
        <f>SUM(K291:P291)</f>
        <v>0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f>SUM(R291:S291)</f>
        <v>0</v>
      </c>
      <c r="R291" s="47">
        <v>0</v>
      </c>
      <c r="S291" s="47">
        <v>0</v>
      </c>
      <c r="T291" s="47">
        <v>0</v>
      </c>
      <c r="U291" s="47">
        <v>0</v>
      </c>
      <c r="V291" s="47">
        <f t="shared" si="654"/>
        <v>0</v>
      </c>
      <c r="W291" s="47">
        <v>0</v>
      </c>
      <c r="X291" s="47">
        <v>0</v>
      </c>
      <c r="Y291" s="47">
        <v>0</v>
      </c>
      <c r="Z291" s="47">
        <v>0</v>
      </c>
      <c r="AA291" s="47">
        <v>0</v>
      </c>
      <c r="AB291" s="47">
        <v>0</v>
      </c>
      <c r="AC291" s="47">
        <v>0</v>
      </c>
      <c r="AD291" s="47">
        <v>0</v>
      </c>
      <c r="AE291" s="47">
        <v>0</v>
      </c>
      <c r="AF291" s="47">
        <f t="shared" si="655"/>
        <v>0</v>
      </c>
      <c r="AG291" s="47">
        <v>0</v>
      </c>
      <c r="AH291" s="47">
        <v>0</v>
      </c>
      <c r="AI291" s="47">
        <v>0</v>
      </c>
      <c r="AJ291" s="47">
        <v>0</v>
      </c>
      <c r="AK291" s="47">
        <v>0</v>
      </c>
      <c r="AL291" s="47">
        <v>0</v>
      </c>
      <c r="AM291" s="47">
        <v>0</v>
      </c>
      <c r="AN291" s="47">
        <v>0</v>
      </c>
      <c r="AO291" s="47">
        <v>0</v>
      </c>
      <c r="AP291" s="47">
        <v>0</v>
      </c>
      <c r="AQ291" s="47">
        <v>0</v>
      </c>
      <c r="AR291" s="47">
        <v>0</v>
      </c>
      <c r="AS291" s="47">
        <v>0</v>
      </c>
      <c r="AT291" s="47">
        <v>0</v>
      </c>
      <c r="AU291" s="47">
        <v>0</v>
      </c>
      <c r="AV291" s="47">
        <v>0</v>
      </c>
      <c r="AW291" s="47">
        <v>0</v>
      </c>
      <c r="AX291" s="47">
        <v>0</v>
      </c>
      <c r="AY291" s="47">
        <v>0</v>
      </c>
      <c r="AZ291" s="47">
        <v>0</v>
      </c>
      <c r="BA291" s="47">
        <v>0</v>
      </c>
      <c r="BB291" s="47"/>
      <c r="BC291" s="47">
        <v>0</v>
      </c>
      <c r="BD291" s="47">
        <f t="shared" si="656"/>
        <v>0</v>
      </c>
      <c r="BE291" s="47">
        <f t="shared" si="657"/>
        <v>0</v>
      </c>
      <c r="BF291" s="47">
        <v>0</v>
      </c>
      <c r="BG291" s="47">
        <v>0</v>
      </c>
      <c r="BH291" s="47">
        <v>0</v>
      </c>
      <c r="BI291" s="47">
        <f t="shared" si="658"/>
        <v>0</v>
      </c>
      <c r="BJ291" s="47">
        <v>0</v>
      </c>
      <c r="BK291" s="47">
        <v>0</v>
      </c>
      <c r="BL291" s="47">
        <v>0</v>
      </c>
      <c r="BM291" s="47">
        <v>0</v>
      </c>
      <c r="BN291" s="47">
        <v>0</v>
      </c>
      <c r="BO291" s="47">
        <f>SUM(BP291)</f>
        <v>0</v>
      </c>
      <c r="BP291" s="47">
        <v>0</v>
      </c>
      <c r="BQ291" s="47">
        <v>0</v>
      </c>
      <c r="BR291" s="47">
        <f t="shared" si="659"/>
        <v>0</v>
      </c>
      <c r="BS291" s="47">
        <v>0</v>
      </c>
      <c r="BT291" s="47">
        <v>0</v>
      </c>
      <c r="BU291" s="47">
        <v>0</v>
      </c>
      <c r="BV291" s="47">
        <v>0</v>
      </c>
      <c r="BW291" s="47">
        <v>0</v>
      </c>
      <c r="BX291" s="47">
        <v>0</v>
      </c>
      <c r="BY291" s="47">
        <v>0</v>
      </c>
      <c r="BZ291" s="47">
        <v>0</v>
      </c>
      <c r="CA291" s="47">
        <v>0</v>
      </c>
      <c r="CB291" s="47">
        <v>0</v>
      </c>
      <c r="CC291" s="47">
        <v>0</v>
      </c>
      <c r="CD291" s="47">
        <f t="shared" si="660"/>
        <v>2500000</v>
      </c>
      <c r="CE291" s="47">
        <f t="shared" si="661"/>
        <v>0</v>
      </c>
      <c r="CF291" s="47">
        <f>SUM(CG291:CH291)</f>
        <v>0</v>
      </c>
      <c r="CG291" s="47">
        <v>0</v>
      </c>
      <c r="CH291" s="47">
        <v>0</v>
      </c>
      <c r="CI291" s="47">
        <f t="shared" si="662"/>
        <v>0</v>
      </c>
      <c r="CJ291" s="47">
        <v>0</v>
      </c>
      <c r="CK291" s="47">
        <v>0</v>
      </c>
      <c r="CL291" s="47">
        <v>0</v>
      </c>
      <c r="CM291" s="47">
        <v>0</v>
      </c>
      <c r="CN291" s="47">
        <f t="shared" si="663"/>
        <v>0</v>
      </c>
      <c r="CO291" s="47">
        <v>0</v>
      </c>
      <c r="CP291" s="47">
        <v>0</v>
      </c>
      <c r="CQ291" s="47">
        <v>0</v>
      </c>
      <c r="CR291" s="47"/>
      <c r="CS291" s="47"/>
      <c r="CT291" s="47">
        <v>0</v>
      </c>
      <c r="CU291" s="47">
        <v>0</v>
      </c>
      <c r="CV291" s="42">
        <v>2500000</v>
      </c>
      <c r="CW291" s="47">
        <f>SUM(CX291)</f>
        <v>0</v>
      </c>
      <c r="CX291" s="47">
        <f>SUM(CY291:CZ291)</f>
        <v>0</v>
      </c>
      <c r="CY291" s="47">
        <v>0</v>
      </c>
      <c r="CZ291" s="49">
        <v>0</v>
      </c>
    </row>
    <row r="292" spans="1:218" s="63" customFormat="1" ht="15.6" x14ac:dyDescent="0.3">
      <c r="A292" s="43" t="s">
        <v>1</v>
      </c>
      <c r="B292" s="44" t="s">
        <v>1</v>
      </c>
      <c r="C292" s="44" t="s">
        <v>86</v>
      </c>
      <c r="D292" s="45" t="s">
        <v>379</v>
      </c>
      <c r="E292" s="46">
        <f t="shared" si="651"/>
        <v>4272608</v>
      </c>
      <c r="F292" s="47">
        <f t="shared" si="652"/>
        <v>0</v>
      </c>
      <c r="G292" s="47">
        <f t="shared" si="653"/>
        <v>0</v>
      </c>
      <c r="H292" s="47">
        <v>0</v>
      </c>
      <c r="I292" s="47">
        <v>0</v>
      </c>
      <c r="J292" s="47">
        <f>SUM(K292:P292)</f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f>SUM(R292:S292)</f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f t="shared" si="654"/>
        <v>0</v>
      </c>
      <c r="W292" s="47">
        <v>0</v>
      </c>
      <c r="X292" s="47">
        <v>0</v>
      </c>
      <c r="Y292" s="47">
        <v>0</v>
      </c>
      <c r="Z292" s="47">
        <v>0</v>
      </c>
      <c r="AA292" s="47">
        <v>0</v>
      </c>
      <c r="AB292" s="47">
        <v>0</v>
      </c>
      <c r="AC292" s="47">
        <v>0</v>
      </c>
      <c r="AD292" s="47">
        <v>0</v>
      </c>
      <c r="AE292" s="47">
        <v>0</v>
      </c>
      <c r="AF292" s="47">
        <f t="shared" si="655"/>
        <v>0</v>
      </c>
      <c r="AG292" s="47">
        <v>0</v>
      </c>
      <c r="AH292" s="47">
        <v>0</v>
      </c>
      <c r="AI292" s="47">
        <v>0</v>
      </c>
      <c r="AJ292" s="47">
        <v>0</v>
      </c>
      <c r="AK292" s="47">
        <v>0</v>
      </c>
      <c r="AL292" s="47">
        <v>0</v>
      </c>
      <c r="AM292" s="47">
        <v>0</v>
      </c>
      <c r="AN292" s="47">
        <v>0</v>
      </c>
      <c r="AO292" s="47">
        <v>0</v>
      </c>
      <c r="AP292" s="47">
        <v>0</v>
      </c>
      <c r="AQ292" s="47">
        <v>0</v>
      </c>
      <c r="AR292" s="47">
        <v>0</v>
      </c>
      <c r="AS292" s="47">
        <v>0</v>
      </c>
      <c r="AT292" s="47">
        <v>0</v>
      </c>
      <c r="AU292" s="47">
        <v>0</v>
      </c>
      <c r="AV292" s="47">
        <v>0</v>
      </c>
      <c r="AW292" s="47">
        <v>0</v>
      </c>
      <c r="AX292" s="47">
        <v>0</v>
      </c>
      <c r="AY292" s="47">
        <v>0</v>
      </c>
      <c r="AZ292" s="47">
        <v>0</v>
      </c>
      <c r="BA292" s="47">
        <v>0</v>
      </c>
      <c r="BB292" s="47"/>
      <c r="BC292" s="47">
        <v>0</v>
      </c>
      <c r="BD292" s="47">
        <f t="shared" si="656"/>
        <v>0</v>
      </c>
      <c r="BE292" s="47">
        <f t="shared" si="657"/>
        <v>0</v>
      </c>
      <c r="BF292" s="47">
        <v>0</v>
      </c>
      <c r="BG292" s="47">
        <v>0</v>
      </c>
      <c r="BH292" s="47">
        <v>0</v>
      </c>
      <c r="BI292" s="47">
        <f t="shared" si="658"/>
        <v>0</v>
      </c>
      <c r="BJ292" s="47">
        <v>0</v>
      </c>
      <c r="BK292" s="47">
        <v>0</v>
      </c>
      <c r="BL292" s="47">
        <v>0</v>
      </c>
      <c r="BM292" s="47">
        <v>0</v>
      </c>
      <c r="BN292" s="47">
        <v>0</v>
      </c>
      <c r="BO292" s="47">
        <f>SUM(BP292)</f>
        <v>0</v>
      </c>
      <c r="BP292" s="47">
        <v>0</v>
      </c>
      <c r="BQ292" s="47">
        <v>0</v>
      </c>
      <c r="BR292" s="47">
        <f t="shared" si="659"/>
        <v>0</v>
      </c>
      <c r="BS292" s="47">
        <v>0</v>
      </c>
      <c r="BT292" s="47">
        <v>0</v>
      </c>
      <c r="BU292" s="47">
        <v>0</v>
      </c>
      <c r="BV292" s="47">
        <v>0</v>
      </c>
      <c r="BW292" s="47">
        <v>0</v>
      </c>
      <c r="BX292" s="47">
        <v>0</v>
      </c>
      <c r="BY292" s="47">
        <v>0</v>
      </c>
      <c r="BZ292" s="47">
        <v>0</v>
      </c>
      <c r="CA292" s="47">
        <v>0</v>
      </c>
      <c r="CB292" s="47">
        <v>0</v>
      </c>
      <c r="CC292" s="47">
        <v>0</v>
      </c>
      <c r="CD292" s="47">
        <f t="shared" si="660"/>
        <v>4272608</v>
      </c>
      <c r="CE292" s="47">
        <f t="shared" si="661"/>
        <v>0</v>
      </c>
      <c r="CF292" s="47">
        <f>SUM(CG292:CH292)</f>
        <v>0</v>
      </c>
      <c r="CG292" s="47">
        <v>0</v>
      </c>
      <c r="CH292" s="47">
        <v>0</v>
      </c>
      <c r="CI292" s="47">
        <f t="shared" si="662"/>
        <v>0</v>
      </c>
      <c r="CJ292" s="47">
        <v>0</v>
      </c>
      <c r="CK292" s="47">
        <v>0</v>
      </c>
      <c r="CL292" s="47">
        <v>0</v>
      </c>
      <c r="CM292" s="47">
        <v>0</v>
      </c>
      <c r="CN292" s="47">
        <f t="shared" si="663"/>
        <v>0</v>
      </c>
      <c r="CO292" s="47">
        <v>0</v>
      </c>
      <c r="CP292" s="47">
        <v>0</v>
      </c>
      <c r="CQ292" s="47">
        <v>0</v>
      </c>
      <c r="CR292" s="47"/>
      <c r="CS292" s="47"/>
      <c r="CT292" s="47">
        <v>0</v>
      </c>
      <c r="CU292" s="47">
        <v>0</v>
      </c>
      <c r="CV292" s="42">
        <f>7889352-3616744</f>
        <v>4272608</v>
      </c>
      <c r="CW292" s="47">
        <f>SUM(CX292)</f>
        <v>0</v>
      </c>
      <c r="CX292" s="47">
        <f>SUM(CY292:CZ292)</f>
        <v>0</v>
      </c>
      <c r="CY292" s="47">
        <v>0</v>
      </c>
      <c r="CZ292" s="49">
        <v>0</v>
      </c>
    </row>
    <row r="293" spans="1:218" ht="15.6" x14ac:dyDescent="0.3">
      <c r="A293" s="43" t="s">
        <v>1</v>
      </c>
      <c r="B293" s="44" t="s">
        <v>1</v>
      </c>
      <c r="C293" s="44" t="s">
        <v>86</v>
      </c>
      <c r="D293" s="45" t="s">
        <v>380</v>
      </c>
      <c r="E293" s="46">
        <f t="shared" si="651"/>
        <v>14871466</v>
      </c>
      <c r="F293" s="47">
        <f t="shared" si="652"/>
        <v>0</v>
      </c>
      <c r="G293" s="47">
        <f t="shared" si="653"/>
        <v>0</v>
      </c>
      <c r="H293" s="47">
        <v>0</v>
      </c>
      <c r="I293" s="47">
        <v>0</v>
      </c>
      <c r="J293" s="47">
        <f>SUM(K293:P293)</f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f>SUM(R293:S293)</f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f t="shared" si="654"/>
        <v>0</v>
      </c>
      <c r="W293" s="47">
        <v>0</v>
      </c>
      <c r="X293" s="47">
        <v>0</v>
      </c>
      <c r="Y293" s="47">
        <v>0</v>
      </c>
      <c r="Z293" s="47">
        <v>0</v>
      </c>
      <c r="AA293" s="47">
        <v>0</v>
      </c>
      <c r="AB293" s="47">
        <v>0</v>
      </c>
      <c r="AC293" s="47">
        <v>0</v>
      </c>
      <c r="AD293" s="47">
        <v>0</v>
      </c>
      <c r="AE293" s="47">
        <v>0</v>
      </c>
      <c r="AF293" s="47">
        <f t="shared" si="655"/>
        <v>0</v>
      </c>
      <c r="AG293" s="47">
        <v>0</v>
      </c>
      <c r="AH293" s="47">
        <v>0</v>
      </c>
      <c r="AI293" s="47">
        <v>0</v>
      </c>
      <c r="AJ293" s="47">
        <v>0</v>
      </c>
      <c r="AK293" s="47">
        <v>0</v>
      </c>
      <c r="AL293" s="47">
        <v>0</v>
      </c>
      <c r="AM293" s="47">
        <v>0</v>
      </c>
      <c r="AN293" s="47">
        <v>0</v>
      </c>
      <c r="AO293" s="47">
        <v>0</v>
      </c>
      <c r="AP293" s="47">
        <v>0</v>
      </c>
      <c r="AQ293" s="47">
        <v>0</v>
      </c>
      <c r="AR293" s="47">
        <v>0</v>
      </c>
      <c r="AS293" s="47">
        <v>0</v>
      </c>
      <c r="AT293" s="47">
        <v>0</v>
      </c>
      <c r="AU293" s="47">
        <v>0</v>
      </c>
      <c r="AV293" s="47">
        <v>0</v>
      </c>
      <c r="AW293" s="47">
        <v>0</v>
      </c>
      <c r="AX293" s="47">
        <v>0</v>
      </c>
      <c r="AY293" s="47">
        <v>0</v>
      </c>
      <c r="AZ293" s="47">
        <v>0</v>
      </c>
      <c r="BA293" s="47">
        <v>0</v>
      </c>
      <c r="BB293" s="47"/>
      <c r="BC293" s="47">
        <v>0</v>
      </c>
      <c r="BD293" s="47">
        <f t="shared" si="656"/>
        <v>0</v>
      </c>
      <c r="BE293" s="47">
        <f t="shared" si="657"/>
        <v>0</v>
      </c>
      <c r="BF293" s="47">
        <v>0</v>
      </c>
      <c r="BG293" s="47">
        <v>0</v>
      </c>
      <c r="BH293" s="47">
        <v>0</v>
      </c>
      <c r="BI293" s="47">
        <f t="shared" si="658"/>
        <v>0</v>
      </c>
      <c r="BJ293" s="47">
        <v>0</v>
      </c>
      <c r="BK293" s="47">
        <v>0</v>
      </c>
      <c r="BL293" s="47">
        <v>0</v>
      </c>
      <c r="BM293" s="47">
        <v>0</v>
      </c>
      <c r="BN293" s="47">
        <v>0</v>
      </c>
      <c r="BO293" s="47">
        <f>SUM(BP293)</f>
        <v>0</v>
      </c>
      <c r="BP293" s="47">
        <v>0</v>
      </c>
      <c r="BQ293" s="47">
        <v>0</v>
      </c>
      <c r="BR293" s="47">
        <f t="shared" si="659"/>
        <v>0</v>
      </c>
      <c r="BS293" s="47">
        <v>0</v>
      </c>
      <c r="BT293" s="47">
        <v>0</v>
      </c>
      <c r="BU293" s="47">
        <v>0</v>
      </c>
      <c r="BV293" s="47">
        <v>0</v>
      </c>
      <c r="BW293" s="47">
        <v>0</v>
      </c>
      <c r="BX293" s="47">
        <v>0</v>
      </c>
      <c r="BY293" s="47">
        <v>0</v>
      </c>
      <c r="BZ293" s="47">
        <v>0</v>
      </c>
      <c r="CA293" s="47">
        <v>0</v>
      </c>
      <c r="CB293" s="47">
        <v>0</v>
      </c>
      <c r="CC293" s="47">
        <v>0</v>
      </c>
      <c r="CD293" s="47">
        <f t="shared" si="660"/>
        <v>14871466</v>
      </c>
      <c r="CE293" s="47">
        <f t="shared" si="661"/>
        <v>0</v>
      </c>
      <c r="CF293" s="47">
        <f>SUM(CG293:CH293)</f>
        <v>0</v>
      </c>
      <c r="CG293" s="47">
        <v>0</v>
      </c>
      <c r="CH293" s="47">
        <v>0</v>
      </c>
      <c r="CI293" s="47">
        <f t="shared" si="662"/>
        <v>0</v>
      </c>
      <c r="CJ293" s="47">
        <v>0</v>
      </c>
      <c r="CK293" s="47">
        <v>0</v>
      </c>
      <c r="CL293" s="47">
        <v>0</v>
      </c>
      <c r="CM293" s="47">
        <v>0</v>
      </c>
      <c r="CN293" s="47">
        <f t="shared" si="663"/>
        <v>0</v>
      </c>
      <c r="CO293" s="47">
        <v>0</v>
      </c>
      <c r="CP293" s="47">
        <v>0</v>
      </c>
      <c r="CQ293" s="47">
        <v>0</v>
      </c>
      <c r="CR293" s="47"/>
      <c r="CS293" s="47"/>
      <c r="CT293" s="47">
        <v>0</v>
      </c>
      <c r="CU293" s="47">
        <v>0</v>
      </c>
      <c r="CV293" s="42">
        <v>14871466</v>
      </c>
      <c r="CW293" s="47">
        <f>SUM(CX293)</f>
        <v>0</v>
      </c>
      <c r="CX293" s="47">
        <f>SUM(CY293:CZ293)</f>
        <v>0</v>
      </c>
      <c r="CY293" s="47">
        <v>0</v>
      </c>
      <c r="CZ293" s="49">
        <v>0</v>
      </c>
      <c r="HJ293" s="63"/>
    </row>
    <row r="294" spans="1:218" s="63" customFormat="1" ht="31.2" x14ac:dyDescent="0.3">
      <c r="A294" s="43" t="s">
        <v>1</v>
      </c>
      <c r="B294" s="44" t="s">
        <v>1</v>
      </c>
      <c r="C294" s="44" t="s">
        <v>86</v>
      </c>
      <c r="D294" s="45" t="s">
        <v>381</v>
      </c>
      <c r="E294" s="46">
        <f t="shared" si="651"/>
        <v>5728889</v>
      </c>
      <c r="F294" s="47">
        <f t="shared" si="652"/>
        <v>0</v>
      </c>
      <c r="G294" s="47">
        <f t="shared" si="653"/>
        <v>0</v>
      </c>
      <c r="H294" s="47">
        <v>0</v>
      </c>
      <c r="I294" s="47">
        <v>0</v>
      </c>
      <c r="J294" s="47">
        <f>SUM(K294:P294)</f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f>SUM(R294:S294)</f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f t="shared" si="654"/>
        <v>0</v>
      </c>
      <c r="W294" s="47">
        <v>0</v>
      </c>
      <c r="X294" s="47">
        <v>0</v>
      </c>
      <c r="Y294" s="47">
        <v>0</v>
      </c>
      <c r="Z294" s="47">
        <v>0</v>
      </c>
      <c r="AA294" s="47">
        <v>0</v>
      </c>
      <c r="AB294" s="47">
        <v>0</v>
      </c>
      <c r="AC294" s="47">
        <v>0</v>
      </c>
      <c r="AD294" s="47">
        <v>0</v>
      </c>
      <c r="AE294" s="47">
        <v>0</v>
      </c>
      <c r="AF294" s="47">
        <f t="shared" si="655"/>
        <v>0</v>
      </c>
      <c r="AG294" s="47">
        <v>0</v>
      </c>
      <c r="AH294" s="47">
        <v>0</v>
      </c>
      <c r="AI294" s="47">
        <v>0</v>
      </c>
      <c r="AJ294" s="47">
        <v>0</v>
      </c>
      <c r="AK294" s="47">
        <v>0</v>
      </c>
      <c r="AL294" s="47">
        <v>0</v>
      </c>
      <c r="AM294" s="47">
        <v>0</v>
      </c>
      <c r="AN294" s="47">
        <v>0</v>
      </c>
      <c r="AO294" s="47">
        <v>0</v>
      </c>
      <c r="AP294" s="47">
        <v>0</v>
      </c>
      <c r="AQ294" s="47">
        <v>0</v>
      </c>
      <c r="AR294" s="47">
        <v>0</v>
      </c>
      <c r="AS294" s="47">
        <v>0</v>
      </c>
      <c r="AT294" s="47">
        <v>0</v>
      </c>
      <c r="AU294" s="47">
        <v>0</v>
      </c>
      <c r="AV294" s="47">
        <v>0</v>
      </c>
      <c r="AW294" s="47">
        <v>0</v>
      </c>
      <c r="AX294" s="47">
        <v>0</v>
      </c>
      <c r="AY294" s="47">
        <v>0</v>
      </c>
      <c r="AZ294" s="47">
        <v>0</v>
      </c>
      <c r="BA294" s="47">
        <v>0</v>
      </c>
      <c r="BB294" s="47"/>
      <c r="BC294" s="47">
        <v>0</v>
      </c>
      <c r="BD294" s="47">
        <f t="shared" si="656"/>
        <v>0</v>
      </c>
      <c r="BE294" s="47">
        <f t="shared" si="657"/>
        <v>0</v>
      </c>
      <c r="BF294" s="47">
        <v>0</v>
      </c>
      <c r="BG294" s="47">
        <v>0</v>
      </c>
      <c r="BH294" s="47">
        <v>0</v>
      </c>
      <c r="BI294" s="47">
        <f t="shared" si="658"/>
        <v>0</v>
      </c>
      <c r="BJ294" s="47">
        <v>0</v>
      </c>
      <c r="BK294" s="47">
        <v>0</v>
      </c>
      <c r="BL294" s="47">
        <v>0</v>
      </c>
      <c r="BM294" s="47">
        <v>0</v>
      </c>
      <c r="BN294" s="47">
        <v>0</v>
      </c>
      <c r="BO294" s="47">
        <f>SUM(BP294)</f>
        <v>0</v>
      </c>
      <c r="BP294" s="47">
        <v>0</v>
      </c>
      <c r="BQ294" s="47">
        <v>0</v>
      </c>
      <c r="BR294" s="47">
        <f t="shared" si="659"/>
        <v>0</v>
      </c>
      <c r="BS294" s="47">
        <v>0</v>
      </c>
      <c r="BT294" s="47">
        <v>0</v>
      </c>
      <c r="BU294" s="47">
        <v>0</v>
      </c>
      <c r="BV294" s="47">
        <v>0</v>
      </c>
      <c r="BW294" s="47">
        <v>0</v>
      </c>
      <c r="BX294" s="47">
        <v>0</v>
      </c>
      <c r="BY294" s="47">
        <v>0</v>
      </c>
      <c r="BZ294" s="47">
        <v>0</v>
      </c>
      <c r="CA294" s="47">
        <v>0</v>
      </c>
      <c r="CB294" s="47">
        <v>0</v>
      </c>
      <c r="CC294" s="47">
        <v>0</v>
      </c>
      <c r="CD294" s="47">
        <f t="shared" si="660"/>
        <v>5728889</v>
      </c>
      <c r="CE294" s="47">
        <f t="shared" si="661"/>
        <v>0</v>
      </c>
      <c r="CF294" s="47">
        <f>SUM(CG294:CH294)</f>
        <v>0</v>
      </c>
      <c r="CG294" s="47">
        <v>0</v>
      </c>
      <c r="CH294" s="47">
        <v>0</v>
      </c>
      <c r="CI294" s="47">
        <f t="shared" si="662"/>
        <v>0</v>
      </c>
      <c r="CJ294" s="47">
        <v>0</v>
      </c>
      <c r="CK294" s="47">
        <v>0</v>
      </c>
      <c r="CL294" s="47">
        <v>0</v>
      </c>
      <c r="CM294" s="47">
        <v>0</v>
      </c>
      <c r="CN294" s="47">
        <f t="shared" si="663"/>
        <v>0</v>
      </c>
      <c r="CO294" s="47">
        <v>0</v>
      </c>
      <c r="CP294" s="47">
        <v>0</v>
      </c>
      <c r="CQ294" s="47">
        <v>0</v>
      </c>
      <c r="CR294" s="47"/>
      <c r="CS294" s="47"/>
      <c r="CT294" s="47">
        <v>0</v>
      </c>
      <c r="CU294" s="47">
        <v>0</v>
      </c>
      <c r="CV294" s="42">
        <f>6628889-900000</f>
        <v>5728889</v>
      </c>
      <c r="CW294" s="47">
        <f>SUM(CX294)</f>
        <v>0</v>
      </c>
      <c r="CX294" s="47">
        <f>SUM(CY294:CZ294)</f>
        <v>0</v>
      </c>
      <c r="CY294" s="47">
        <v>0</v>
      </c>
      <c r="CZ294" s="49">
        <v>0</v>
      </c>
      <c r="HJ294" s="61"/>
    </row>
    <row r="295" spans="1:218" s="63" customFormat="1" ht="15.6" x14ac:dyDescent="0.3">
      <c r="A295" s="43" t="s">
        <v>1</v>
      </c>
      <c r="B295" s="44" t="s">
        <v>1</v>
      </c>
      <c r="C295" s="44" t="s">
        <v>86</v>
      </c>
      <c r="D295" s="45" t="s">
        <v>382</v>
      </c>
      <c r="E295" s="46">
        <f t="shared" si="651"/>
        <v>3517216</v>
      </c>
      <c r="F295" s="47">
        <f t="shared" si="652"/>
        <v>0</v>
      </c>
      <c r="G295" s="47">
        <f t="shared" si="653"/>
        <v>0</v>
      </c>
      <c r="H295" s="47">
        <v>0</v>
      </c>
      <c r="I295" s="47">
        <v>0</v>
      </c>
      <c r="J295" s="47">
        <f t="shared" si="504"/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f t="shared" si="505"/>
        <v>0</v>
      </c>
      <c r="R295" s="47">
        <v>0</v>
      </c>
      <c r="S295" s="47">
        <v>0</v>
      </c>
      <c r="T295" s="47">
        <v>0</v>
      </c>
      <c r="U295" s="47">
        <v>0</v>
      </c>
      <c r="V295" s="47">
        <f t="shared" si="654"/>
        <v>0</v>
      </c>
      <c r="W295" s="47">
        <v>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0</v>
      </c>
      <c r="AE295" s="47">
        <v>0</v>
      </c>
      <c r="AF295" s="47">
        <f t="shared" si="655"/>
        <v>0</v>
      </c>
      <c r="AG295" s="47">
        <v>0</v>
      </c>
      <c r="AH295" s="47">
        <v>0</v>
      </c>
      <c r="AI295" s="47">
        <v>0</v>
      </c>
      <c r="AJ295" s="47">
        <v>0</v>
      </c>
      <c r="AK295" s="47">
        <v>0</v>
      </c>
      <c r="AL295" s="47">
        <v>0</v>
      </c>
      <c r="AM295" s="47">
        <v>0</v>
      </c>
      <c r="AN295" s="47">
        <v>0</v>
      </c>
      <c r="AO295" s="47">
        <v>0</v>
      </c>
      <c r="AP295" s="47">
        <v>0</v>
      </c>
      <c r="AQ295" s="47">
        <v>0</v>
      </c>
      <c r="AR295" s="47">
        <v>0</v>
      </c>
      <c r="AS295" s="47">
        <v>0</v>
      </c>
      <c r="AT295" s="47">
        <v>0</v>
      </c>
      <c r="AU295" s="47">
        <v>0</v>
      </c>
      <c r="AV295" s="47">
        <v>0</v>
      </c>
      <c r="AW295" s="47">
        <v>0</v>
      </c>
      <c r="AX295" s="47">
        <v>0</v>
      </c>
      <c r="AY295" s="47">
        <v>0</v>
      </c>
      <c r="AZ295" s="47">
        <v>0</v>
      </c>
      <c r="BA295" s="47">
        <v>0</v>
      </c>
      <c r="BB295" s="47"/>
      <c r="BC295" s="47">
        <v>0</v>
      </c>
      <c r="BD295" s="47">
        <f t="shared" si="656"/>
        <v>0</v>
      </c>
      <c r="BE295" s="47">
        <f t="shared" si="657"/>
        <v>0</v>
      </c>
      <c r="BF295" s="47">
        <v>0</v>
      </c>
      <c r="BG295" s="47">
        <v>0</v>
      </c>
      <c r="BH295" s="47">
        <v>0</v>
      </c>
      <c r="BI295" s="47">
        <f t="shared" si="658"/>
        <v>0</v>
      </c>
      <c r="BJ295" s="47">
        <v>0</v>
      </c>
      <c r="BK295" s="47">
        <v>0</v>
      </c>
      <c r="BL295" s="47">
        <v>0</v>
      </c>
      <c r="BM295" s="47">
        <v>0</v>
      </c>
      <c r="BN295" s="47">
        <v>0</v>
      </c>
      <c r="BO295" s="47">
        <f t="shared" si="507"/>
        <v>0</v>
      </c>
      <c r="BP295" s="47">
        <v>0</v>
      </c>
      <c r="BQ295" s="47">
        <v>0</v>
      </c>
      <c r="BR295" s="47">
        <f t="shared" si="659"/>
        <v>0</v>
      </c>
      <c r="BS295" s="47">
        <v>0</v>
      </c>
      <c r="BT295" s="47">
        <v>0</v>
      </c>
      <c r="BU295" s="47">
        <v>0</v>
      </c>
      <c r="BV295" s="47">
        <v>0</v>
      </c>
      <c r="BW295" s="47">
        <v>0</v>
      </c>
      <c r="BX295" s="47">
        <v>0</v>
      </c>
      <c r="BY295" s="47">
        <v>0</v>
      </c>
      <c r="BZ295" s="47">
        <v>0</v>
      </c>
      <c r="CA295" s="47">
        <v>0</v>
      </c>
      <c r="CB295" s="47">
        <v>0</v>
      </c>
      <c r="CC295" s="47">
        <v>0</v>
      </c>
      <c r="CD295" s="47">
        <f t="shared" si="660"/>
        <v>3517216</v>
      </c>
      <c r="CE295" s="47">
        <f t="shared" si="661"/>
        <v>0</v>
      </c>
      <c r="CF295" s="47">
        <f t="shared" si="508"/>
        <v>0</v>
      </c>
      <c r="CG295" s="47">
        <v>0</v>
      </c>
      <c r="CH295" s="47">
        <v>0</v>
      </c>
      <c r="CI295" s="47">
        <f t="shared" si="662"/>
        <v>0</v>
      </c>
      <c r="CJ295" s="47">
        <v>0</v>
      </c>
      <c r="CK295" s="47">
        <v>0</v>
      </c>
      <c r="CL295" s="47">
        <v>0</v>
      </c>
      <c r="CM295" s="47">
        <v>0</v>
      </c>
      <c r="CN295" s="47">
        <f t="shared" si="663"/>
        <v>0</v>
      </c>
      <c r="CO295" s="47">
        <v>0</v>
      </c>
      <c r="CP295" s="47">
        <v>0</v>
      </c>
      <c r="CQ295" s="47">
        <v>0</v>
      </c>
      <c r="CR295" s="47"/>
      <c r="CS295" s="47"/>
      <c r="CT295" s="47">
        <v>0</v>
      </c>
      <c r="CU295" s="47">
        <v>0</v>
      </c>
      <c r="CV295" s="42">
        <f>5848152-2330936</f>
        <v>3517216</v>
      </c>
      <c r="CW295" s="47">
        <f t="shared" si="509"/>
        <v>0</v>
      </c>
      <c r="CX295" s="47">
        <f t="shared" si="510"/>
        <v>0</v>
      </c>
      <c r="CY295" s="47">
        <v>0</v>
      </c>
      <c r="CZ295" s="49">
        <v>0</v>
      </c>
    </row>
    <row r="296" spans="1:218" s="63" customFormat="1" ht="15.6" x14ac:dyDescent="0.3">
      <c r="A296" s="26" t="s">
        <v>1</v>
      </c>
      <c r="B296" s="27" t="s">
        <v>1</v>
      </c>
      <c r="C296" s="27" t="s">
        <v>88</v>
      </c>
      <c r="D296" s="28" t="s">
        <v>383</v>
      </c>
      <c r="E296" s="23">
        <f t="shared" si="651"/>
        <v>237406</v>
      </c>
      <c r="F296" s="24">
        <f t="shared" si="652"/>
        <v>0</v>
      </c>
      <c r="G296" s="24">
        <f>SUM(H296+I296+J296+Q296+T296+U296+V296+AF296+AE296)</f>
        <v>0</v>
      </c>
      <c r="H296" s="24">
        <v>0</v>
      </c>
      <c r="I296" s="24">
        <v>0</v>
      </c>
      <c r="J296" s="24">
        <f>SUM(K296:P296)</f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f>SUM(R296:S296)</f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f>SUM(W296:AD296)</f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0</v>
      </c>
      <c r="AE296" s="24">
        <v>0</v>
      </c>
      <c r="AF296" s="24">
        <f t="shared" si="655"/>
        <v>0</v>
      </c>
      <c r="AG296" s="24">
        <v>0</v>
      </c>
      <c r="AH296" s="24">
        <v>0</v>
      </c>
      <c r="AI296" s="24">
        <v>0</v>
      </c>
      <c r="AJ296" s="24">
        <v>0</v>
      </c>
      <c r="AK296" s="24">
        <v>0</v>
      </c>
      <c r="AL296" s="24">
        <v>0</v>
      </c>
      <c r="AM296" s="24">
        <v>0</v>
      </c>
      <c r="AN296" s="24">
        <v>0</v>
      </c>
      <c r="AO296" s="24">
        <v>0</v>
      </c>
      <c r="AP296" s="24">
        <v>0</v>
      </c>
      <c r="AQ296" s="24">
        <v>0</v>
      </c>
      <c r="AR296" s="24">
        <v>0</v>
      </c>
      <c r="AS296" s="24">
        <v>0</v>
      </c>
      <c r="AT296" s="24">
        <v>0</v>
      </c>
      <c r="AU296" s="24">
        <v>0</v>
      </c>
      <c r="AV296" s="24">
        <v>0</v>
      </c>
      <c r="AW296" s="24">
        <v>0</v>
      </c>
      <c r="AX296" s="24">
        <v>0</v>
      </c>
      <c r="AY296" s="24">
        <v>0</v>
      </c>
      <c r="AZ296" s="24">
        <v>0</v>
      </c>
      <c r="BA296" s="24">
        <v>0</v>
      </c>
      <c r="BB296" s="24"/>
      <c r="BC296" s="24">
        <v>0</v>
      </c>
      <c r="BD296" s="24">
        <f>SUM(BE296+BI296+BM296+BO296+BR296)</f>
        <v>0</v>
      </c>
      <c r="BE296" s="24">
        <f>SUM(BF296:BH296)</f>
        <v>0</v>
      </c>
      <c r="BF296" s="24">
        <v>0</v>
      </c>
      <c r="BG296" s="24">
        <v>0</v>
      </c>
      <c r="BH296" s="24">
        <v>0</v>
      </c>
      <c r="BI296" s="24">
        <f>SUM(BL296:BL296)</f>
        <v>0</v>
      </c>
      <c r="BJ296" s="24">
        <v>0</v>
      </c>
      <c r="BK296" s="24">
        <v>0</v>
      </c>
      <c r="BL296" s="24">
        <v>0</v>
      </c>
      <c r="BM296" s="24">
        <v>0</v>
      </c>
      <c r="BN296" s="24">
        <v>0</v>
      </c>
      <c r="BO296" s="24">
        <f>SUM(BP296)</f>
        <v>0</v>
      </c>
      <c r="BP296" s="24">
        <v>0</v>
      </c>
      <c r="BQ296" s="24">
        <v>0</v>
      </c>
      <c r="BR296" s="24">
        <f>SUM(BS296:CC296)</f>
        <v>0</v>
      </c>
      <c r="BS296" s="24">
        <v>0</v>
      </c>
      <c r="BT296" s="24">
        <v>0</v>
      </c>
      <c r="BU296" s="24">
        <v>0</v>
      </c>
      <c r="BV296" s="24">
        <v>0</v>
      </c>
      <c r="BW296" s="24">
        <v>0</v>
      </c>
      <c r="BX296" s="24">
        <v>0</v>
      </c>
      <c r="BY296" s="24">
        <v>0</v>
      </c>
      <c r="BZ296" s="24">
        <v>0</v>
      </c>
      <c r="CA296" s="24">
        <v>0</v>
      </c>
      <c r="CB296" s="24">
        <v>0</v>
      </c>
      <c r="CC296" s="24">
        <v>0</v>
      </c>
      <c r="CD296" s="24">
        <f>SUM(CE296+CV296)</f>
        <v>237406</v>
      </c>
      <c r="CE296" s="24">
        <f>SUM(CF296+CI296+CN296)</f>
        <v>0</v>
      </c>
      <c r="CF296" s="24">
        <f>SUM(CG296:CH296)</f>
        <v>0</v>
      </c>
      <c r="CG296" s="24">
        <v>0</v>
      </c>
      <c r="CH296" s="24">
        <v>0</v>
      </c>
      <c r="CI296" s="24">
        <f>SUM(CJ296:CM296)</f>
        <v>0</v>
      </c>
      <c r="CJ296" s="24">
        <v>0</v>
      </c>
      <c r="CK296" s="24">
        <v>0</v>
      </c>
      <c r="CL296" s="24">
        <v>0</v>
      </c>
      <c r="CM296" s="24">
        <v>0</v>
      </c>
      <c r="CN296" s="24">
        <f>SUM(CO296:CS296)</f>
        <v>0</v>
      </c>
      <c r="CO296" s="24">
        <v>0</v>
      </c>
      <c r="CP296" s="24">
        <v>0</v>
      </c>
      <c r="CQ296" s="24">
        <v>0</v>
      </c>
      <c r="CR296" s="24"/>
      <c r="CS296" s="24"/>
      <c r="CT296" s="24">
        <v>0</v>
      </c>
      <c r="CU296" s="24">
        <v>0</v>
      </c>
      <c r="CV296" s="42">
        <f>253100-15694</f>
        <v>237406</v>
      </c>
      <c r="CW296" s="24">
        <f>SUM(CX296)</f>
        <v>0</v>
      </c>
      <c r="CX296" s="24">
        <f>SUM(CY296:CZ296)</f>
        <v>0</v>
      </c>
      <c r="CY296" s="24">
        <v>0</v>
      </c>
      <c r="CZ296" s="25">
        <v>0</v>
      </c>
    </row>
    <row r="297" spans="1:218" s="63" customFormat="1" ht="31.2" x14ac:dyDescent="0.3">
      <c r="A297" s="43"/>
      <c r="B297" s="44"/>
      <c r="C297" s="50" t="s">
        <v>88</v>
      </c>
      <c r="D297" s="51" t="s">
        <v>580</v>
      </c>
      <c r="E297" s="46">
        <f t="shared" si="651"/>
        <v>108572</v>
      </c>
      <c r="F297" s="47">
        <f t="shared" si="652"/>
        <v>0</v>
      </c>
      <c r="G297" s="47">
        <f>SUM(H297+I297+J297+Q297+T297+U297+V297+AF297+AE297)</f>
        <v>0</v>
      </c>
      <c r="H297" s="47">
        <v>0</v>
      </c>
      <c r="I297" s="47">
        <v>0</v>
      </c>
      <c r="J297" s="47">
        <f t="shared" ref="J297" si="688">SUM(K297:P297)</f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f t="shared" ref="Q297" si="689">SUM(R297:S297)</f>
        <v>0</v>
      </c>
      <c r="R297" s="47">
        <v>0</v>
      </c>
      <c r="S297" s="47">
        <v>0</v>
      </c>
      <c r="T297" s="47">
        <v>0</v>
      </c>
      <c r="U297" s="47">
        <v>0</v>
      </c>
      <c r="V297" s="47">
        <f>SUM(W297:AD297)</f>
        <v>0</v>
      </c>
      <c r="W297" s="47">
        <v>0</v>
      </c>
      <c r="X297" s="47">
        <v>0</v>
      </c>
      <c r="Y297" s="47">
        <v>0</v>
      </c>
      <c r="Z297" s="47">
        <v>0</v>
      </c>
      <c r="AA297" s="47">
        <v>0</v>
      </c>
      <c r="AB297" s="47">
        <v>0</v>
      </c>
      <c r="AC297" s="47">
        <v>0</v>
      </c>
      <c r="AD297" s="47">
        <v>0</v>
      </c>
      <c r="AE297" s="47">
        <v>0</v>
      </c>
      <c r="AF297" s="47">
        <f t="shared" si="655"/>
        <v>0</v>
      </c>
      <c r="AG297" s="48"/>
      <c r="AH297" s="48"/>
      <c r="AI297" s="47">
        <v>0</v>
      </c>
      <c r="AJ297" s="47">
        <v>0</v>
      </c>
      <c r="AK297" s="47">
        <v>0</v>
      </c>
      <c r="AL297" s="47">
        <v>0</v>
      </c>
      <c r="AM297" s="47">
        <v>0</v>
      </c>
      <c r="AN297" s="47">
        <v>0</v>
      </c>
      <c r="AO297" s="47">
        <v>0</v>
      </c>
      <c r="AP297" s="47">
        <v>0</v>
      </c>
      <c r="AQ297" s="47">
        <v>0</v>
      </c>
      <c r="AR297" s="47"/>
      <c r="AS297" s="47">
        <v>0</v>
      </c>
      <c r="AT297" s="47">
        <v>0</v>
      </c>
      <c r="AU297" s="47">
        <v>0</v>
      </c>
      <c r="AV297" s="47"/>
      <c r="AW297" s="47"/>
      <c r="AX297" s="47">
        <v>0</v>
      </c>
      <c r="AY297" s="47">
        <v>0</v>
      </c>
      <c r="AZ297" s="47">
        <v>0</v>
      </c>
      <c r="BA297" s="47">
        <v>0</v>
      </c>
      <c r="BB297" s="47"/>
      <c r="BC297" s="47">
        <v>0</v>
      </c>
      <c r="BD297" s="47">
        <f>SUM(BE297+BI297+BM297+BO297+BR297)</f>
        <v>0</v>
      </c>
      <c r="BE297" s="47">
        <f>SUM(BF297:BH297)</f>
        <v>0</v>
      </c>
      <c r="BF297" s="47">
        <v>0</v>
      </c>
      <c r="BG297" s="47">
        <v>0</v>
      </c>
      <c r="BH297" s="47">
        <v>0</v>
      </c>
      <c r="BI297" s="47">
        <f>SUM(BL297:BL297)</f>
        <v>0</v>
      </c>
      <c r="BJ297" s="47">
        <v>0</v>
      </c>
      <c r="BK297" s="47">
        <v>0</v>
      </c>
      <c r="BL297" s="47">
        <v>0</v>
      </c>
      <c r="BM297" s="47">
        <v>0</v>
      </c>
      <c r="BN297" s="47">
        <v>0</v>
      </c>
      <c r="BO297" s="47">
        <f>SUM(BP297)</f>
        <v>0</v>
      </c>
      <c r="BP297" s="47">
        <v>0</v>
      </c>
      <c r="BQ297" s="47">
        <v>0</v>
      </c>
      <c r="BR297" s="47">
        <f>SUM(BS297:CC297)</f>
        <v>0</v>
      </c>
      <c r="BS297" s="47">
        <v>0</v>
      </c>
      <c r="BT297" s="47">
        <v>0</v>
      </c>
      <c r="BU297" s="47">
        <v>0</v>
      </c>
      <c r="BV297" s="47">
        <v>0</v>
      </c>
      <c r="BW297" s="47">
        <v>0</v>
      </c>
      <c r="BX297" s="47">
        <v>0</v>
      </c>
      <c r="BY297" s="47">
        <v>0</v>
      </c>
      <c r="BZ297" s="47">
        <v>0</v>
      </c>
      <c r="CA297" s="47">
        <v>0</v>
      </c>
      <c r="CB297" s="47">
        <v>0</v>
      </c>
      <c r="CC297" s="47">
        <v>0</v>
      </c>
      <c r="CD297" s="47">
        <f>SUM(CE297+CV297)</f>
        <v>108572</v>
      </c>
      <c r="CE297" s="47">
        <f>SUM(CF297+CI297+CN297)</f>
        <v>0</v>
      </c>
      <c r="CF297" s="47">
        <f t="shared" ref="CF297" si="690">SUM(CG297:CH297)</f>
        <v>0</v>
      </c>
      <c r="CG297" s="47">
        <v>0</v>
      </c>
      <c r="CH297" s="47">
        <v>0</v>
      </c>
      <c r="CI297" s="47">
        <f>SUM(CJ297:CM297)</f>
        <v>0</v>
      </c>
      <c r="CJ297" s="47">
        <v>0</v>
      </c>
      <c r="CK297" s="47">
        <v>0</v>
      </c>
      <c r="CL297" s="47">
        <v>0</v>
      </c>
      <c r="CM297" s="47">
        <v>0</v>
      </c>
      <c r="CN297" s="47">
        <f>SUM(CO297:CS297)</f>
        <v>0</v>
      </c>
      <c r="CO297" s="47">
        <v>0</v>
      </c>
      <c r="CP297" s="47">
        <v>0</v>
      </c>
      <c r="CQ297" s="47">
        <v>0</v>
      </c>
      <c r="CR297" s="47"/>
      <c r="CS297" s="47"/>
      <c r="CT297" s="47">
        <v>0</v>
      </c>
      <c r="CU297" s="47">
        <v>0</v>
      </c>
      <c r="CV297" s="42">
        <f>111539-2967</f>
        <v>108572</v>
      </c>
      <c r="CW297" s="47">
        <f>SUM(CX297)</f>
        <v>0</v>
      </c>
      <c r="CX297" s="47">
        <f>SUM(CY297:CZ297)</f>
        <v>0</v>
      </c>
      <c r="CY297" s="47">
        <v>0</v>
      </c>
      <c r="CZ297" s="49">
        <v>0</v>
      </c>
    </row>
    <row r="298" spans="1:218" s="63" customFormat="1" ht="46.8" x14ac:dyDescent="0.3">
      <c r="A298" s="43"/>
      <c r="B298" s="44"/>
      <c r="C298" s="50" t="s">
        <v>159</v>
      </c>
      <c r="D298" s="51" t="s">
        <v>659</v>
      </c>
      <c r="E298" s="46">
        <f t="shared" si="651"/>
        <v>0</v>
      </c>
      <c r="F298" s="47">
        <f t="shared" si="652"/>
        <v>0</v>
      </c>
      <c r="G298" s="47">
        <f t="shared" ref="G298:G299" si="691">SUM(H298+I298+J298+Q298+T298+U298+V298+AF298+AE298)</f>
        <v>0</v>
      </c>
      <c r="H298" s="47">
        <v>0</v>
      </c>
      <c r="I298" s="47">
        <v>0</v>
      </c>
      <c r="J298" s="47">
        <f t="shared" ref="J298:J299" si="692">SUM(K298:P298)</f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f t="shared" ref="Q298:Q299" si="693">SUM(R298:S298)</f>
        <v>0</v>
      </c>
      <c r="R298" s="47">
        <v>0</v>
      </c>
      <c r="S298" s="47">
        <v>0</v>
      </c>
      <c r="T298" s="47">
        <v>0</v>
      </c>
      <c r="U298" s="47">
        <v>0</v>
      </c>
      <c r="V298" s="47">
        <f t="shared" ref="V298:V299" si="694">SUM(W298:AD298)</f>
        <v>0</v>
      </c>
      <c r="W298" s="47">
        <v>0</v>
      </c>
      <c r="X298" s="47">
        <v>0</v>
      </c>
      <c r="Y298" s="47">
        <v>0</v>
      </c>
      <c r="Z298" s="47">
        <v>0</v>
      </c>
      <c r="AA298" s="47">
        <v>0</v>
      </c>
      <c r="AB298" s="47">
        <v>0</v>
      </c>
      <c r="AC298" s="47">
        <v>0</v>
      </c>
      <c r="AD298" s="47">
        <v>0</v>
      </c>
      <c r="AE298" s="47">
        <v>0</v>
      </c>
      <c r="AF298" s="47">
        <f t="shared" si="655"/>
        <v>0</v>
      </c>
      <c r="AG298" s="48"/>
      <c r="AH298" s="48"/>
      <c r="AI298" s="47">
        <v>0</v>
      </c>
      <c r="AJ298" s="47">
        <v>0</v>
      </c>
      <c r="AK298" s="47">
        <v>0</v>
      </c>
      <c r="AL298" s="47">
        <v>0</v>
      </c>
      <c r="AM298" s="47">
        <v>0</v>
      </c>
      <c r="AN298" s="47">
        <v>0</v>
      </c>
      <c r="AO298" s="47">
        <v>0</v>
      </c>
      <c r="AP298" s="47">
        <v>0</v>
      </c>
      <c r="AQ298" s="47">
        <v>0</v>
      </c>
      <c r="AR298" s="47"/>
      <c r="AS298" s="47">
        <v>0</v>
      </c>
      <c r="AT298" s="47">
        <v>0</v>
      </c>
      <c r="AU298" s="47">
        <v>0</v>
      </c>
      <c r="AV298" s="47"/>
      <c r="AW298" s="47"/>
      <c r="AX298" s="47">
        <v>0</v>
      </c>
      <c r="AY298" s="47">
        <v>0</v>
      </c>
      <c r="AZ298" s="47">
        <v>0</v>
      </c>
      <c r="BA298" s="47">
        <v>0</v>
      </c>
      <c r="BB298" s="47"/>
      <c r="BC298" s="47">
        <v>0</v>
      </c>
      <c r="BD298" s="47">
        <f t="shared" si="656"/>
        <v>0</v>
      </c>
      <c r="BE298" s="47">
        <f t="shared" ref="BE298:BE299" si="695">SUM(BF298:BH298)</f>
        <v>0</v>
      </c>
      <c r="BF298" s="47">
        <v>0</v>
      </c>
      <c r="BG298" s="47">
        <v>0</v>
      </c>
      <c r="BH298" s="47">
        <v>0</v>
      </c>
      <c r="BI298" s="47">
        <f t="shared" si="658"/>
        <v>0</v>
      </c>
      <c r="BJ298" s="47">
        <v>0</v>
      </c>
      <c r="BK298" s="47">
        <v>0</v>
      </c>
      <c r="BL298" s="47">
        <v>0</v>
      </c>
      <c r="BM298" s="47">
        <v>0</v>
      </c>
      <c r="BN298" s="47">
        <v>0</v>
      </c>
      <c r="BO298" s="47">
        <f t="shared" ref="BO298:BO299" si="696">SUM(BP298)</f>
        <v>0</v>
      </c>
      <c r="BP298" s="47">
        <v>0</v>
      </c>
      <c r="BQ298" s="47">
        <v>0</v>
      </c>
      <c r="BR298" s="47">
        <f t="shared" si="659"/>
        <v>0</v>
      </c>
      <c r="BS298" s="47">
        <v>0</v>
      </c>
      <c r="BT298" s="47">
        <v>0</v>
      </c>
      <c r="BU298" s="47">
        <v>0</v>
      </c>
      <c r="BV298" s="47">
        <v>0</v>
      </c>
      <c r="BW298" s="47">
        <v>0</v>
      </c>
      <c r="BX298" s="47">
        <v>0</v>
      </c>
      <c r="BY298" s="47">
        <v>0</v>
      </c>
      <c r="BZ298" s="47">
        <v>0</v>
      </c>
      <c r="CA298" s="47">
        <v>0</v>
      </c>
      <c r="CB298" s="47">
        <v>0</v>
      </c>
      <c r="CC298" s="47">
        <v>0</v>
      </c>
      <c r="CD298" s="47">
        <f t="shared" si="660"/>
        <v>0</v>
      </c>
      <c r="CE298" s="47">
        <f t="shared" si="661"/>
        <v>0</v>
      </c>
      <c r="CF298" s="47">
        <f t="shared" ref="CF298:CF299" si="697">SUM(CG298:CH298)</f>
        <v>0</v>
      </c>
      <c r="CG298" s="47">
        <v>0</v>
      </c>
      <c r="CH298" s="42">
        <f>8631700-8631700</f>
        <v>0</v>
      </c>
      <c r="CI298" s="47">
        <f t="shared" si="662"/>
        <v>0</v>
      </c>
      <c r="CJ298" s="47">
        <v>0</v>
      </c>
      <c r="CK298" s="47">
        <v>0</v>
      </c>
      <c r="CL298" s="47">
        <v>0</v>
      </c>
      <c r="CM298" s="47">
        <v>0</v>
      </c>
      <c r="CN298" s="47">
        <f t="shared" si="663"/>
        <v>0</v>
      </c>
      <c r="CO298" s="47">
        <v>0</v>
      </c>
      <c r="CP298" s="47">
        <v>0</v>
      </c>
      <c r="CQ298" s="47">
        <v>0</v>
      </c>
      <c r="CR298" s="47"/>
      <c r="CS298" s="47"/>
      <c r="CT298" s="47">
        <v>0</v>
      </c>
      <c r="CU298" s="47">
        <v>0</v>
      </c>
      <c r="CV298" s="42">
        <v>0</v>
      </c>
      <c r="CW298" s="47">
        <f t="shared" ref="CW298:CW299" si="698">SUM(CX298)</f>
        <v>0</v>
      </c>
      <c r="CX298" s="47">
        <f t="shared" ref="CX298:CX299" si="699">SUM(CY298:CZ298)</f>
        <v>0</v>
      </c>
      <c r="CY298" s="47">
        <v>0</v>
      </c>
      <c r="CZ298" s="49">
        <v>0</v>
      </c>
    </row>
    <row r="299" spans="1:218" s="63" customFormat="1" ht="31.2" x14ac:dyDescent="0.3">
      <c r="A299" s="43"/>
      <c r="B299" s="44"/>
      <c r="C299" s="50" t="s">
        <v>94</v>
      </c>
      <c r="D299" s="51" t="s">
        <v>581</v>
      </c>
      <c r="E299" s="46">
        <f t="shared" si="651"/>
        <v>1297719</v>
      </c>
      <c r="F299" s="47">
        <f t="shared" si="652"/>
        <v>1297719</v>
      </c>
      <c r="G299" s="47">
        <f t="shared" si="691"/>
        <v>1297719</v>
      </c>
      <c r="H299" s="47">
        <v>0</v>
      </c>
      <c r="I299" s="47">
        <v>0</v>
      </c>
      <c r="J299" s="47">
        <f t="shared" si="692"/>
        <v>0</v>
      </c>
      <c r="K299" s="47">
        <v>0</v>
      </c>
      <c r="L299" s="47">
        <v>0</v>
      </c>
      <c r="M299" s="47">
        <v>0</v>
      </c>
      <c r="N299" s="47">
        <v>0</v>
      </c>
      <c r="O299" s="47">
        <v>0</v>
      </c>
      <c r="P299" s="47">
        <v>0</v>
      </c>
      <c r="Q299" s="47">
        <f t="shared" si="693"/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f t="shared" si="694"/>
        <v>0</v>
      </c>
      <c r="W299" s="47">
        <v>0</v>
      </c>
      <c r="X299" s="47">
        <v>0</v>
      </c>
      <c r="Y299" s="47">
        <v>0</v>
      </c>
      <c r="Z299" s="47">
        <v>0</v>
      </c>
      <c r="AA299" s="47">
        <v>0</v>
      </c>
      <c r="AB299" s="47">
        <v>0</v>
      </c>
      <c r="AC299" s="47">
        <v>0</v>
      </c>
      <c r="AD299" s="47">
        <v>0</v>
      </c>
      <c r="AE299" s="47">
        <v>0</v>
      </c>
      <c r="AF299" s="47">
        <f t="shared" si="655"/>
        <v>1297719</v>
      </c>
      <c r="AG299" s="48"/>
      <c r="AH299" s="48"/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47">
        <v>0</v>
      </c>
      <c r="AP299" s="47">
        <v>0</v>
      </c>
      <c r="AQ299" s="47">
        <v>0</v>
      </c>
      <c r="AR299" s="47"/>
      <c r="AS299" s="47">
        <v>0</v>
      </c>
      <c r="AT299" s="47">
        <v>0</v>
      </c>
      <c r="AU299" s="47">
        <v>0</v>
      </c>
      <c r="AV299" s="47"/>
      <c r="AW299" s="47"/>
      <c r="AX299" s="47">
        <v>0</v>
      </c>
      <c r="AY299" s="47">
        <v>0</v>
      </c>
      <c r="AZ299" s="47">
        <v>0</v>
      </c>
      <c r="BA299" s="47">
        <v>0</v>
      </c>
      <c r="BB299" s="47"/>
      <c r="BC299" s="42">
        <v>1297719</v>
      </c>
      <c r="BD299" s="47">
        <f t="shared" si="656"/>
        <v>0</v>
      </c>
      <c r="BE299" s="47">
        <f t="shared" si="695"/>
        <v>0</v>
      </c>
      <c r="BF299" s="47">
        <v>0</v>
      </c>
      <c r="BG299" s="47">
        <v>0</v>
      </c>
      <c r="BH299" s="47">
        <v>0</v>
      </c>
      <c r="BI299" s="47">
        <f t="shared" si="658"/>
        <v>0</v>
      </c>
      <c r="BJ299" s="47">
        <v>0</v>
      </c>
      <c r="BK299" s="47">
        <v>0</v>
      </c>
      <c r="BL299" s="47">
        <v>0</v>
      </c>
      <c r="BM299" s="47">
        <v>0</v>
      </c>
      <c r="BN299" s="47">
        <v>0</v>
      </c>
      <c r="BO299" s="47">
        <f t="shared" si="696"/>
        <v>0</v>
      </c>
      <c r="BP299" s="47">
        <v>0</v>
      </c>
      <c r="BQ299" s="47">
        <v>0</v>
      </c>
      <c r="BR299" s="47">
        <f t="shared" si="659"/>
        <v>0</v>
      </c>
      <c r="BS299" s="47">
        <v>0</v>
      </c>
      <c r="BT299" s="47">
        <v>0</v>
      </c>
      <c r="BU299" s="47">
        <v>0</v>
      </c>
      <c r="BV299" s="47">
        <v>0</v>
      </c>
      <c r="BW299" s="47">
        <v>0</v>
      </c>
      <c r="BX299" s="47">
        <v>0</v>
      </c>
      <c r="BY299" s="47">
        <v>0</v>
      </c>
      <c r="BZ299" s="47">
        <v>0</v>
      </c>
      <c r="CA299" s="47">
        <v>0</v>
      </c>
      <c r="CB299" s="47">
        <v>0</v>
      </c>
      <c r="CC299" s="47">
        <v>0</v>
      </c>
      <c r="CD299" s="47">
        <f t="shared" si="660"/>
        <v>0</v>
      </c>
      <c r="CE299" s="47">
        <f t="shared" si="661"/>
        <v>0</v>
      </c>
      <c r="CF299" s="47">
        <f t="shared" si="697"/>
        <v>0</v>
      </c>
      <c r="CG299" s="47">
        <v>0</v>
      </c>
      <c r="CH299" s="47">
        <v>0</v>
      </c>
      <c r="CI299" s="47">
        <f t="shared" si="662"/>
        <v>0</v>
      </c>
      <c r="CJ299" s="47">
        <v>0</v>
      </c>
      <c r="CK299" s="47">
        <v>0</v>
      </c>
      <c r="CL299" s="47">
        <v>0</v>
      </c>
      <c r="CM299" s="47">
        <v>0</v>
      </c>
      <c r="CN299" s="47">
        <f t="shared" si="663"/>
        <v>0</v>
      </c>
      <c r="CO299" s="47">
        <v>0</v>
      </c>
      <c r="CP299" s="47">
        <v>0</v>
      </c>
      <c r="CQ299" s="47">
        <v>0</v>
      </c>
      <c r="CR299" s="47"/>
      <c r="CS299" s="47"/>
      <c r="CT299" s="47">
        <v>0</v>
      </c>
      <c r="CU299" s="47">
        <v>0</v>
      </c>
      <c r="CV299" s="42">
        <v>0</v>
      </c>
      <c r="CW299" s="47">
        <f t="shared" si="698"/>
        <v>0</v>
      </c>
      <c r="CX299" s="47">
        <f t="shared" si="699"/>
        <v>0</v>
      </c>
      <c r="CY299" s="47">
        <v>0</v>
      </c>
      <c r="CZ299" s="49">
        <v>0</v>
      </c>
    </row>
    <row r="300" spans="1:218" s="63" customFormat="1" ht="31.2" x14ac:dyDescent="0.3">
      <c r="A300" s="43" t="s">
        <v>1</v>
      </c>
      <c r="B300" s="44" t="s">
        <v>1</v>
      </c>
      <c r="C300" s="44" t="s">
        <v>198</v>
      </c>
      <c r="D300" s="45" t="s">
        <v>449</v>
      </c>
      <c r="E300" s="46">
        <f t="shared" si="651"/>
        <v>912435</v>
      </c>
      <c r="F300" s="47">
        <f t="shared" si="652"/>
        <v>0</v>
      </c>
      <c r="G300" s="47">
        <f t="shared" si="653"/>
        <v>0</v>
      </c>
      <c r="H300" s="47">
        <v>0</v>
      </c>
      <c r="I300" s="47">
        <v>0</v>
      </c>
      <c r="J300" s="47">
        <f t="shared" si="504"/>
        <v>0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7">
        <f t="shared" si="505"/>
        <v>0</v>
      </c>
      <c r="R300" s="47">
        <v>0</v>
      </c>
      <c r="S300" s="47">
        <v>0</v>
      </c>
      <c r="T300" s="47">
        <v>0</v>
      </c>
      <c r="U300" s="47">
        <v>0</v>
      </c>
      <c r="V300" s="47">
        <f t="shared" si="654"/>
        <v>0</v>
      </c>
      <c r="W300" s="47">
        <v>0</v>
      </c>
      <c r="X300" s="47">
        <v>0</v>
      </c>
      <c r="Y300" s="47">
        <v>0</v>
      </c>
      <c r="Z300" s="47">
        <v>0</v>
      </c>
      <c r="AA300" s="47">
        <v>0</v>
      </c>
      <c r="AB300" s="47">
        <v>0</v>
      </c>
      <c r="AC300" s="47">
        <v>0</v>
      </c>
      <c r="AD300" s="47">
        <v>0</v>
      </c>
      <c r="AE300" s="47">
        <v>0</v>
      </c>
      <c r="AF300" s="47">
        <f t="shared" si="655"/>
        <v>0</v>
      </c>
      <c r="AG300" s="47">
        <v>0</v>
      </c>
      <c r="AH300" s="47">
        <v>0</v>
      </c>
      <c r="AI300" s="47">
        <v>0</v>
      </c>
      <c r="AJ300" s="47">
        <v>0</v>
      </c>
      <c r="AK300" s="47">
        <v>0</v>
      </c>
      <c r="AL300" s="47">
        <v>0</v>
      </c>
      <c r="AM300" s="47">
        <v>0</v>
      </c>
      <c r="AN300" s="47">
        <v>0</v>
      </c>
      <c r="AO300" s="47">
        <v>0</v>
      </c>
      <c r="AP300" s="47">
        <v>0</v>
      </c>
      <c r="AQ300" s="47">
        <v>0</v>
      </c>
      <c r="AR300" s="47">
        <v>0</v>
      </c>
      <c r="AS300" s="47">
        <v>0</v>
      </c>
      <c r="AT300" s="47">
        <v>0</v>
      </c>
      <c r="AU300" s="47">
        <v>0</v>
      </c>
      <c r="AV300" s="47">
        <v>0</v>
      </c>
      <c r="AW300" s="47">
        <v>0</v>
      </c>
      <c r="AX300" s="47">
        <v>0</v>
      </c>
      <c r="AY300" s="47">
        <v>0</v>
      </c>
      <c r="AZ300" s="47">
        <v>0</v>
      </c>
      <c r="BA300" s="47">
        <v>0</v>
      </c>
      <c r="BB300" s="47"/>
      <c r="BC300" s="47">
        <v>0</v>
      </c>
      <c r="BD300" s="47">
        <f t="shared" si="656"/>
        <v>0</v>
      </c>
      <c r="BE300" s="47">
        <f t="shared" si="657"/>
        <v>0</v>
      </c>
      <c r="BF300" s="47">
        <v>0</v>
      </c>
      <c r="BG300" s="47">
        <v>0</v>
      </c>
      <c r="BH300" s="47">
        <v>0</v>
      </c>
      <c r="BI300" s="47">
        <f t="shared" si="658"/>
        <v>0</v>
      </c>
      <c r="BJ300" s="47">
        <v>0</v>
      </c>
      <c r="BK300" s="47">
        <v>0</v>
      </c>
      <c r="BL300" s="47">
        <v>0</v>
      </c>
      <c r="BM300" s="47">
        <v>0</v>
      </c>
      <c r="BN300" s="47">
        <v>0</v>
      </c>
      <c r="BO300" s="47">
        <f t="shared" si="507"/>
        <v>0</v>
      </c>
      <c r="BP300" s="47">
        <v>0</v>
      </c>
      <c r="BQ300" s="47">
        <v>0</v>
      </c>
      <c r="BR300" s="47">
        <f t="shared" si="659"/>
        <v>0</v>
      </c>
      <c r="BS300" s="47">
        <v>0</v>
      </c>
      <c r="BT300" s="47">
        <v>0</v>
      </c>
      <c r="BU300" s="47">
        <v>0</v>
      </c>
      <c r="BV300" s="47">
        <v>0</v>
      </c>
      <c r="BW300" s="47">
        <v>0</v>
      </c>
      <c r="BX300" s="47">
        <v>0</v>
      </c>
      <c r="BY300" s="47">
        <v>0</v>
      </c>
      <c r="BZ300" s="47">
        <v>0</v>
      </c>
      <c r="CA300" s="47">
        <v>0</v>
      </c>
      <c r="CB300" s="47">
        <v>0</v>
      </c>
      <c r="CC300" s="47">
        <v>0</v>
      </c>
      <c r="CD300" s="47">
        <f t="shared" si="660"/>
        <v>912435</v>
      </c>
      <c r="CE300" s="47">
        <f t="shared" si="661"/>
        <v>0</v>
      </c>
      <c r="CF300" s="47">
        <f t="shared" si="508"/>
        <v>0</v>
      </c>
      <c r="CG300" s="47">
        <v>0</v>
      </c>
      <c r="CH300" s="47">
        <v>0</v>
      </c>
      <c r="CI300" s="47">
        <f t="shared" si="662"/>
        <v>0</v>
      </c>
      <c r="CJ300" s="47">
        <v>0</v>
      </c>
      <c r="CK300" s="47">
        <v>0</v>
      </c>
      <c r="CL300" s="47">
        <v>0</v>
      </c>
      <c r="CM300" s="47">
        <v>0</v>
      </c>
      <c r="CN300" s="47">
        <f t="shared" si="663"/>
        <v>0</v>
      </c>
      <c r="CO300" s="47">
        <v>0</v>
      </c>
      <c r="CP300" s="47">
        <v>0</v>
      </c>
      <c r="CQ300" s="47">
        <v>0</v>
      </c>
      <c r="CR300" s="47"/>
      <c r="CS300" s="47"/>
      <c r="CT300" s="47">
        <v>0</v>
      </c>
      <c r="CU300" s="47">
        <v>0</v>
      </c>
      <c r="CV300" s="42">
        <v>912435</v>
      </c>
      <c r="CW300" s="47">
        <f t="shared" si="509"/>
        <v>0</v>
      </c>
      <c r="CX300" s="47">
        <f t="shared" si="510"/>
        <v>0</v>
      </c>
      <c r="CY300" s="47">
        <v>0</v>
      </c>
      <c r="CZ300" s="49">
        <v>0</v>
      </c>
    </row>
    <row r="301" spans="1:218" s="63" customFormat="1" ht="31.2" x14ac:dyDescent="0.3">
      <c r="A301" s="43"/>
      <c r="B301" s="44"/>
      <c r="C301" s="50" t="s">
        <v>198</v>
      </c>
      <c r="D301" s="51" t="s">
        <v>657</v>
      </c>
      <c r="E301" s="46">
        <f t="shared" si="651"/>
        <v>12679</v>
      </c>
      <c r="F301" s="47">
        <f t="shared" si="652"/>
        <v>0</v>
      </c>
      <c r="G301" s="47">
        <f t="shared" ref="G301:G305" si="700">SUM(H301+I301+J301+Q301+T301+U301+V301+AF301+AE301)</f>
        <v>0</v>
      </c>
      <c r="H301" s="47">
        <v>0</v>
      </c>
      <c r="I301" s="47">
        <v>0</v>
      </c>
      <c r="J301" s="47">
        <f t="shared" ref="J301:J302" si="701">SUM(K301:P301)</f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f t="shared" ref="Q301:Q305" si="702">SUM(R301:S301)</f>
        <v>0</v>
      </c>
      <c r="R301" s="47">
        <v>0</v>
      </c>
      <c r="S301" s="47">
        <v>0</v>
      </c>
      <c r="T301" s="47">
        <v>0</v>
      </c>
      <c r="U301" s="47">
        <v>0</v>
      </c>
      <c r="V301" s="47">
        <f t="shared" ref="V301:V305" si="703">SUM(W301:AD301)</f>
        <v>0</v>
      </c>
      <c r="W301" s="47">
        <v>0</v>
      </c>
      <c r="X301" s="47">
        <v>0</v>
      </c>
      <c r="Y301" s="47">
        <v>0</v>
      </c>
      <c r="Z301" s="47">
        <v>0</v>
      </c>
      <c r="AA301" s="47">
        <v>0</v>
      </c>
      <c r="AB301" s="47">
        <v>0</v>
      </c>
      <c r="AC301" s="47">
        <v>0</v>
      </c>
      <c r="AD301" s="47">
        <v>0</v>
      </c>
      <c r="AE301" s="47">
        <v>0</v>
      </c>
      <c r="AF301" s="47">
        <f t="shared" si="655"/>
        <v>0</v>
      </c>
      <c r="AG301" s="48"/>
      <c r="AH301" s="48"/>
      <c r="AI301" s="47">
        <v>0</v>
      </c>
      <c r="AJ301" s="47">
        <v>0</v>
      </c>
      <c r="AK301" s="47">
        <v>0</v>
      </c>
      <c r="AL301" s="47">
        <v>0</v>
      </c>
      <c r="AM301" s="47">
        <v>0</v>
      </c>
      <c r="AN301" s="47">
        <v>0</v>
      </c>
      <c r="AO301" s="47">
        <v>0</v>
      </c>
      <c r="AP301" s="47">
        <v>0</v>
      </c>
      <c r="AQ301" s="47">
        <v>0</v>
      </c>
      <c r="AR301" s="47"/>
      <c r="AS301" s="47">
        <v>0</v>
      </c>
      <c r="AT301" s="47">
        <v>0</v>
      </c>
      <c r="AU301" s="47">
        <v>0</v>
      </c>
      <c r="AV301" s="47"/>
      <c r="AW301" s="47"/>
      <c r="AX301" s="47">
        <v>0</v>
      </c>
      <c r="AY301" s="47">
        <v>0</v>
      </c>
      <c r="AZ301" s="47">
        <v>0</v>
      </c>
      <c r="BA301" s="47">
        <v>0</v>
      </c>
      <c r="BB301" s="47"/>
      <c r="BC301" s="47">
        <v>0</v>
      </c>
      <c r="BD301" s="47">
        <f t="shared" si="656"/>
        <v>0</v>
      </c>
      <c r="BE301" s="47">
        <f t="shared" ref="BE301:BE302" si="704">SUM(BF301:BH301)</f>
        <v>0</v>
      </c>
      <c r="BF301" s="47">
        <v>0</v>
      </c>
      <c r="BG301" s="47">
        <v>0</v>
      </c>
      <c r="BH301" s="47">
        <v>0</v>
      </c>
      <c r="BI301" s="47">
        <f t="shared" si="658"/>
        <v>0</v>
      </c>
      <c r="BJ301" s="47">
        <v>0</v>
      </c>
      <c r="BK301" s="47">
        <v>0</v>
      </c>
      <c r="BL301" s="47">
        <v>0</v>
      </c>
      <c r="BM301" s="47">
        <v>0</v>
      </c>
      <c r="BN301" s="47">
        <v>0</v>
      </c>
      <c r="BO301" s="47">
        <f t="shared" ref="BO301:BO305" si="705">SUM(BP301)</f>
        <v>0</v>
      </c>
      <c r="BP301" s="47">
        <v>0</v>
      </c>
      <c r="BQ301" s="47">
        <v>0</v>
      </c>
      <c r="BR301" s="47">
        <f t="shared" si="659"/>
        <v>0</v>
      </c>
      <c r="BS301" s="47">
        <v>0</v>
      </c>
      <c r="BT301" s="47">
        <v>0</v>
      </c>
      <c r="BU301" s="47">
        <v>0</v>
      </c>
      <c r="BV301" s="47">
        <v>0</v>
      </c>
      <c r="BW301" s="47">
        <v>0</v>
      </c>
      <c r="BX301" s="47">
        <v>0</v>
      </c>
      <c r="BY301" s="47">
        <v>0</v>
      </c>
      <c r="BZ301" s="47">
        <v>0</v>
      </c>
      <c r="CA301" s="47">
        <v>0</v>
      </c>
      <c r="CB301" s="47">
        <v>0</v>
      </c>
      <c r="CC301" s="47">
        <v>0</v>
      </c>
      <c r="CD301" s="47">
        <f t="shared" si="660"/>
        <v>12679</v>
      </c>
      <c r="CE301" s="47">
        <f t="shared" si="661"/>
        <v>0</v>
      </c>
      <c r="CF301" s="47">
        <f t="shared" ref="CF301:CF302" si="706">SUM(CG301:CH301)</f>
        <v>0</v>
      </c>
      <c r="CG301" s="47">
        <v>0</v>
      </c>
      <c r="CH301" s="47">
        <v>0</v>
      </c>
      <c r="CI301" s="47">
        <f t="shared" si="662"/>
        <v>0</v>
      </c>
      <c r="CJ301" s="47">
        <v>0</v>
      </c>
      <c r="CK301" s="47">
        <v>0</v>
      </c>
      <c r="CL301" s="47">
        <v>0</v>
      </c>
      <c r="CM301" s="47">
        <v>0</v>
      </c>
      <c r="CN301" s="47">
        <f t="shared" si="663"/>
        <v>0</v>
      </c>
      <c r="CO301" s="47">
        <v>0</v>
      </c>
      <c r="CP301" s="47">
        <v>0</v>
      </c>
      <c r="CQ301" s="47">
        <v>0</v>
      </c>
      <c r="CR301" s="47"/>
      <c r="CS301" s="47"/>
      <c r="CT301" s="47">
        <v>0</v>
      </c>
      <c r="CU301" s="47">
        <v>0</v>
      </c>
      <c r="CV301" s="42">
        <v>12679</v>
      </c>
      <c r="CW301" s="47">
        <f t="shared" ref="CW301:CW305" si="707">SUM(CX301)</f>
        <v>0</v>
      </c>
      <c r="CX301" s="47">
        <f t="shared" ref="CX301:CX302" si="708">SUM(CY301:CZ301)</f>
        <v>0</v>
      </c>
      <c r="CY301" s="47">
        <v>0</v>
      </c>
      <c r="CZ301" s="49">
        <v>0</v>
      </c>
    </row>
    <row r="302" spans="1:218" ht="31.2" x14ac:dyDescent="0.3">
      <c r="A302" s="43"/>
      <c r="B302" s="44"/>
      <c r="C302" s="50" t="s">
        <v>98</v>
      </c>
      <c r="D302" s="51" t="s">
        <v>587</v>
      </c>
      <c r="E302" s="46">
        <f t="shared" si="651"/>
        <v>12500</v>
      </c>
      <c r="F302" s="47">
        <f t="shared" si="652"/>
        <v>0</v>
      </c>
      <c r="G302" s="47">
        <f t="shared" si="700"/>
        <v>0</v>
      </c>
      <c r="H302" s="47">
        <v>0</v>
      </c>
      <c r="I302" s="47">
        <v>0</v>
      </c>
      <c r="J302" s="47">
        <f t="shared" si="701"/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f t="shared" si="702"/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f t="shared" si="703"/>
        <v>0</v>
      </c>
      <c r="W302" s="47">
        <v>0</v>
      </c>
      <c r="X302" s="47">
        <v>0</v>
      </c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f t="shared" si="655"/>
        <v>0</v>
      </c>
      <c r="AG302" s="48"/>
      <c r="AH302" s="48"/>
      <c r="AI302" s="47">
        <v>0</v>
      </c>
      <c r="AJ302" s="47">
        <v>0</v>
      </c>
      <c r="AK302" s="47">
        <v>0</v>
      </c>
      <c r="AL302" s="47">
        <v>0</v>
      </c>
      <c r="AM302" s="47">
        <v>0</v>
      </c>
      <c r="AN302" s="47">
        <v>0</v>
      </c>
      <c r="AO302" s="47">
        <v>0</v>
      </c>
      <c r="AP302" s="47">
        <v>0</v>
      </c>
      <c r="AQ302" s="47">
        <v>0</v>
      </c>
      <c r="AR302" s="47"/>
      <c r="AS302" s="47">
        <v>0</v>
      </c>
      <c r="AT302" s="47">
        <v>0</v>
      </c>
      <c r="AU302" s="47">
        <v>0</v>
      </c>
      <c r="AV302" s="47"/>
      <c r="AW302" s="47"/>
      <c r="AX302" s="47">
        <v>0</v>
      </c>
      <c r="AY302" s="47">
        <v>0</v>
      </c>
      <c r="AZ302" s="47">
        <v>0</v>
      </c>
      <c r="BA302" s="47">
        <v>0</v>
      </c>
      <c r="BB302" s="47"/>
      <c r="BC302" s="47">
        <v>0</v>
      </c>
      <c r="BD302" s="47">
        <f t="shared" si="656"/>
        <v>0</v>
      </c>
      <c r="BE302" s="47">
        <f t="shared" si="704"/>
        <v>0</v>
      </c>
      <c r="BF302" s="47">
        <v>0</v>
      </c>
      <c r="BG302" s="47">
        <v>0</v>
      </c>
      <c r="BH302" s="47">
        <v>0</v>
      </c>
      <c r="BI302" s="47">
        <f t="shared" si="658"/>
        <v>0</v>
      </c>
      <c r="BJ302" s="47">
        <v>0</v>
      </c>
      <c r="BK302" s="47">
        <v>0</v>
      </c>
      <c r="BL302" s="47">
        <v>0</v>
      </c>
      <c r="BM302" s="47">
        <v>0</v>
      </c>
      <c r="BN302" s="47">
        <v>0</v>
      </c>
      <c r="BO302" s="47">
        <f t="shared" si="705"/>
        <v>0</v>
      </c>
      <c r="BP302" s="47">
        <v>0</v>
      </c>
      <c r="BQ302" s="47">
        <v>0</v>
      </c>
      <c r="BR302" s="47">
        <f t="shared" si="659"/>
        <v>0</v>
      </c>
      <c r="BS302" s="47">
        <v>0</v>
      </c>
      <c r="BT302" s="47">
        <v>0</v>
      </c>
      <c r="BU302" s="47">
        <v>0</v>
      </c>
      <c r="BV302" s="47">
        <v>0</v>
      </c>
      <c r="BW302" s="47">
        <v>0</v>
      </c>
      <c r="BX302" s="47">
        <v>0</v>
      </c>
      <c r="BY302" s="47">
        <v>0</v>
      </c>
      <c r="BZ302" s="47">
        <v>0</v>
      </c>
      <c r="CA302" s="47">
        <v>0</v>
      </c>
      <c r="CB302" s="47">
        <v>0</v>
      </c>
      <c r="CC302" s="47">
        <v>0</v>
      </c>
      <c r="CD302" s="47">
        <f t="shared" si="660"/>
        <v>12500</v>
      </c>
      <c r="CE302" s="47">
        <f t="shared" si="661"/>
        <v>0</v>
      </c>
      <c r="CF302" s="47">
        <f t="shared" si="706"/>
        <v>0</v>
      </c>
      <c r="CG302" s="47">
        <v>0</v>
      </c>
      <c r="CH302" s="47">
        <v>0</v>
      </c>
      <c r="CI302" s="47">
        <f t="shared" si="662"/>
        <v>0</v>
      </c>
      <c r="CJ302" s="47">
        <v>0</v>
      </c>
      <c r="CK302" s="47">
        <v>0</v>
      </c>
      <c r="CL302" s="47">
        <v>0</v>
      </c>
      <c r="CM302" s="47">
        <v>0</v>
      </c>
      <c r="CN302" s="47">
        <f t="shared" si="663"/>
        <v>0</v>
      </c>
      <c r="CO302" s="47">
        <v>0</v>
      </c>
      <c r="CP302" s="47">
        <v>0</v>
      </c>
      <c r="CQ302" s="47">
        <v>0</v>
      </c>
      <c r="CR302" s="47"/>
      <c r="CS302" s="47"/>
      <c r="CT302" s="47">
        <v>0</v>
      </c>
      <c r="CU302" s="47">
        <v>0</v>
      </c>
      <c r="CV302" s="42">
        <f>40000-27500</f>
        <v>12500</v>
      </c>
      <c r="CW302" s="47">
        <f t="shared" si="707"/>
        <v>0</v>
      </c>
      <c r="CX302" s="47">
        <f t="shared" si="708"/>
        <v>0</v>
      </c>
      <c r="CY302" s="47">
        <v>0</v>
      </c>
      <c r="CZ302" s="49">
        <v>0</v>
      </c>
      <c r="HJ302" s="63"/>
    </row>
    <row r="303" spans="1:218" ht="15.6" x14ac:dyDescent="0.3">
      <c r="A303" s="26" t="s">
        <v>1</v>
      </c>
      <c r="B303" s="27" t="s">
        <v>1</v>
      </c>
      <c r="C303" s="27" t="s">
        <v>329</v>
      </c>
      <c r="D303" s="51" t="s">
        <v>658</v>
      </c>
      <c r="E303" s="23">
        <f t="shared" si="651"/>
        <v>644170</v>
      </c>
      <c r="F303" s="24">
        <f t="shared" si="652"/>
        <v>0</v>
      </c>
      <c r="G303" s="24">
        <f t="shared" ref="G303" si="709">SUM(H303+I303+J303+Q303+T303+U303+V303+AF303+AE303)</f>
        <v>0</v>
      </c>
      <c r="H303" s="24">
        <v>0</v>
      </c>
      <c r="I303" s="24">
        <v>0</v>
      </c>
      <c r="J303" s="24">
        <f t="shared" ref="J303" si="710">SUM(K303:P303)</f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f t="shared" ref="Q303" si="711">SUM(R303:S303)</f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f t="shared" ref="V303" si="712">SUM(W303:AD303)</f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f t="shared" si="655"/>
        <v>0</v>
      </c>
      <c r="AG303" s="24">
        <v>0</v>
      </c>
      <c r="AH303" s="24">
        <v>0</v>
      </c>
      <c r="AI303" s="24">
        <v>0</v>
      </c>
      <c r="AJ303" s="24">
        <v>0</v>
      </c>
      <c r="AK303" s="24">
        <v>0</v>
      </c>
      <c r="AL303" s="24">
        <v>0</v>
      </c>
      <c r="AM303" s="24">
        <v>0</v>
      </c>
      <c r="AN303" s="24">
        <v>0</v>
      </c>
      <c r="AO303" s="24">
        <v>0</v>
      </c>
      <c r="AP303" s="24">
        <v>0</v>
      </c>
      <c r="AQ303" s="24">
        <v>0</v>
      </c>
      <c r="AR303" s="24">
        <v>0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0</v>
      </c>
      <c r="BB303" s="24"/>
      <c r="BC303" s="24">
        <v>0</v>
      </c>
      <c r="BD303" s="24">
        <f t="shared" ref="BD303" si="713">SUM(BE303+BI303+BM303+BO303+BR303)</f>
        <v>0</v>
      </c>
      <c r="BE303" s="24">
        <f t="shared" ref="BE303" si="714">SUM(BF303:BH303)</f>
        <v>0</v>
      </c>
      <c r="BF303" s="24">
        <v>0</v>
      </c>
      <c r="BG303" s="24">
        <v>0</v>
      </c>
      <c r="BH303" s="24">
        <v>0</v>
      </c>
      <c r="BI303" s="24">
        <f t="shared" ref="BI303" si="715">SUM(BL303:BL303)</f>
        <v>0</v>
      </c>
      <c r="BJ303" s="24">
        <v>0</v>
      </c>
      <c r="BK303" s="24">
        <v>0</v>
      </c>
      <c r="BL303" s="24">
        <v>0</v>
      </c>
      <c r="BM303" s="24">
        <v>0</v>
      </c>
      <c r="BN303" s="24">
        <v>0</v>
      </c>
      <c r="BO303" s="24">
        <f t="shared" ref="BO303" si="716">SUM(BP303)</f>
        <v>0</v>
      </c>
      <c r="BP303" s="24">
        <v>0</v>
      </c>
      <c r="BQ303" s="24">
        <v>0</v>
      </c>
      <c r="BR303" s="24">
        <f t="shared" si="659"/>
        <v>0</v>
      </c>
      <c r="BS303" s="24">
        <v>0</v>
      </c>
      <c r="BT303" s="24">
        <v>0</v>
      </c>
      <c r="BU303" s="24">
        <v>0</v>
      </c>
      <c r="BV303" s="24">
        <v>0</v>
      </c>
      <c r="BW303" s="24">
        <v>0</v>
      </c>
      <c r="BX303" s="24">
        <v>0</v>
      </c>
      <c r="BY303" s="24">
        <v>0</v>
      </c>
      <c r="BZ303" s="24">
        <v>0</v>
      </c>
      <c r="CA303" s="24">
        <v>0</v>
      </c>
      <c r="CB303" s="24">
        <v>0</v>
      </c>
      <c r="CC303" s="24">
        <v>0</v>
      </c>
      <c r="CD303" s="24">
        <f t="shared" ref="CD303" si="717">SUM(CE303+CV303)</f>
        <v>644170</v>
      </c>
      <c r="CE303" s="24">
        <f t="shared" ref="CE303" si="718">SUM(CF303+CI303+CN303)</f>
        <v>0</v>
      </c>
      <c r="CF303" s="24">
        <f t="shared" ref="CF303" si="719">SUM(CG303:CH303)</f>
        <v>0</v>
      </c>
      <c r="CG303" s="24">
        <v>0</v>
      </c>
      <c r="CH303" s="24">
        <v>0</v>
      </c>
      <c r="CI303" s="24">
        <f t="shared" ref="CI303" si="720">SUM(CJ303:CM303)</f>
        <v>0</v>
      </c>
      <c r="CJ303" s="24">
        <v>0</v>
      </c>
      <c r="CK303" s="24">
        <v>0</v>
      </c>
      <c r="CL303" s="24">
        <v>0</v>
      </c>
      <c r="CM303" s="24">
        <v>0</v>
      </c>
      <c r="CN303" s="24">
        <f t="shared" ref="CN303" si="721">SUM(CO303:CS303)</f>
        <v>0</v>
      </c>
      <c r="CO303" s="24">
        <v>0</v>
      </c>
      <c r="CP303" s="24">
        <v>0</v>
      </c>
      <c r="CQ303" s="24">
        <v>0</v>
      </c>
      <c r="CR303" s="24"/>
      <c r="CS303" s="24"/>
      <c r="CT303" s="24">
        <v>0</v>
      </c>
      <c r="CU303" s="24">
        <v>0</v>
      </c>
      <c r="CV303" s="42">
        <v>644170</v>
      </c>
      <c r="CW303" s="24">
        <f t="shared" ref="CW303" si="722">SUM(CX303)</f>
        <v>0</v>
      </c>
      <c r="CX303" s="24">
        <f t="shared" ref="CX303" si="723">SUM(CY303:CZ303)</f>
        <v>0</v>
      </c>
      <c r="CY303" s="24">
        <v>0</v>
      </c>
      <c r="CZ303" s="25">
        <v>0</v>
      </c>
    </row>
    <row r="304" spans="1:218" ht="31.2" x14ac:dyDescent="0.3">
      <c r="A304" s="26" t="s">
        <v>1</v>
      </c>
      <c r="B304" s="27" t="s">
        <v>1</v>
      </c>
      <c r="C304" s="27" t="s">
        <v>329</v>
      </c>
      <c r="D304" s="51" t="s">
        <v>600</v>
      </c>
      <c r="E304" s="23">
        <f t="shared" si="651"/>
        <v>97500</v>
      </c>
      <c r="F304" s="24">
        <f t="shared" si="652"/>
        <v>0</v>
      </c>
      <c r="G304" s="24">
        <f>SUM(H304+I304+J304+Q304+T304+U304+V304+AF304+AE304)</f>
        <v>0</v>
      </c>
      <c r="H304" s="24">
        <v>0</v>
      </c>
      <c r="I304" s="24">
        <v>0</v>
      </c>
      <c r="J304" s="24">
        <f>SUM(K304:P304)</f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f>SUM(R304:S304)</f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f>SUM(W304:AD304)</f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f t="shared" si="655"/>
        <v>0</v>
      </c>
      <c r="AG304" s="24">
        <v>0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0</v>
      </c>
      <c r="AQ304" s="24">
        <v>0</v>
      </c>
      <c r="AR304" s="24">
        <v>0</v>
      </c>
      <c r="AS304" s="24">
        <v>0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/>
      <c r="BC304" s="24">
        <v>0</v>
      </c>
      <c r="BD304" s="24">
        <f>SUM(BE304+BI304+BM304+BO304+BR304)</f>
        <v>0</v>
      </c>
      <c r="BE304" s="24">
        <f>SUM(BF304:BH304)</f>
        <v>0</v>
      </c>
      <c r="BF304" s="24">
        <v>0</v>
      </c>
      <c r="BG304" s="24">
        <v>0</v>
      </c>
      <c r="BH304" s="24">
        <v>0</v>
      </c>
      <c r="BI304" s="24">
        <f>SUM(BL304:BL304)</f>
        <v>0</v>
      </c>
      <c r="BJ304" s="24">
        <v>0</v>
      </c>
      <c r="BK304" s="24">
        <v>0</v>
      </c>
      <c r="BL304" s="24">
        <v>0</v>
      </c>
      <c r="BM304" s="24">
        <v>0</v>
      </c>
      <c r="BN304" s="24">
        <v>0</v>
      </c>
      <c r="BO304" s="24">
        <f>SUM(BP304)</f>
        <v>0</v>
      </c>
      <c r="BP304" s="24">
        <v>0</v>
      </c>
      <c r="BQ304" s="24">
        <v>0</v>
      </c>
      <c r="BR304" s="24">
        <f>SUM(BS304:CC304)</f>
        <v>0</v>
      </c>
      <c r="BS304" s="24">
        <v>0</v>
      </c>
      <c r="BT304" s="24">
        <v>0</v>
      </c>
      <c r="BU304" s="24">
        <v>0</v>
      </c>
      <c r="BV304" s="24">
        <v>0</v>
      </c>
      <c r="BW304" s="24">
        <v>0</v>
      </c>
      <c r="BX304" s="24">
        <v>0</v>
      </c>
      <c r="BY304" s="24">
        <v>0</v>
      </c>
      <c r="BZ304" s="24">
        <v>0</v>
      </c>
      <c r="CA304" s="24">
        <v>0</v>
      </c>
      <c r="CB304" s="24">
        <v>0</v>
      </c>
      <c r="CC304" s="24">
        <v>0</v>
      </c>
      <c r="CD304" s="24">
        <f>SUM(CE304+CV304)</f>
        <v>97500</v>
      </c>
      <c r="CE304" s="24">
        <f>SUM(CF304+CI304+CN304)</f>
        <v>0</v>
      </c>
      <c r="CF304" s="24">
        <f>SUM(CG304:CH304)</f>
        <v>0</v>
      </c>
      <c r="CG304" s="24">
        <v>0</v>
      </c>
      <c r="CH304" s="24">
        <v>0</v>
      </c>
      <c r="CI304" s="24">
        <f>SUM(CJ304:CM304)</f>
        <v>0</v>
      </c>
      <c r="CJ304" s="24">
        <v>0</v>
      </c>
      <c r="CK304" s="24">
        <v>0</v>
      </c>
      <c r="CL304" s="24">
        <v>0</v>
      </c>
      <c r="CM304" s="24">
        <v>0</v>
      </c>
      <c r="CN304" s="24">
        <f>SUM(CO304:CS304)</f>
        <v>0</v>
      </c>
      <c r="CO304" s="24">
        <v>0</v>
      </c>
      <c r="CP304" s="24">
        <v>0</v>
      </c>
      <c r="CQ304" s="24">
        <v>0</v>
      </c>
      <c r="CR304" s="24"/>
      <c r="CS304" s="24"/>
      <c r="CT304" s="24">
        <v>0</v>
      </c>
      <c r="CU304" s="24">
        <v>0</v>
      </c>
      <c r="CV304" s="42">
        <v>97500</v>
      </c>
      <c r="CW304" s="24">
        <f>SUM(CX304)</f>
        <v>0</v>
      </c>
      <c r="CX304" s="24">
        <f>SUM(CY304:CZ304)</f>
        <v>0</v>
      </c>
      <c r="CY304" s="24">
        <v>0</v>
      </c>
      <c r="CZ304" s="25">
        <v>0</v>
      </c>
    </row>
    <row r="305" spans="1:218" ht="31.2" x14ac:dyDescent="0.3">
      <c r="A305" s="26" t="s">
        <v>1</v>
      </c>
      <c r="B305" s="27" t="s">
        <v>1</v>
      </c>
      <c r="C305" s="27" t="s">
        <v>329</v>
      </c>
      <c r="D305" s="28" t="s">
        <v>450</v>
      </c>
      <c r="E305" s="23">
        <f t="shared" si="651"/>
        <v>0</v>
      </c>
      <c r="F305" s="24">
        <f t="shared" si="652"/>
        <v>0</v>
      </c>
      <c r="G305" s="24">
        <f t="shared" si="700"/>
        <v>0</v>
      </c>
      <c r="H305" s="24">
        <v>0</v>
      </c>
      <c r="I305" s="24">
        <v>0</v>
      </c>
      <c r="J305" s="24">
        <f t="shared" ref="J305" si="724">SUM(K305:P305)</f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f t="shared" si="702"/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f t="shared" si="703"/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f t="shared" si="655"/>
        <v>0</v>
      </c>
      <c r="AG305" s="24">
        <v>0</v>
      </c>
      <c r="AH305" s="24">
        <v>0</v>
      </c>
      <c r="AI305" s="24">
        <v>0</v>
      </c>
      <c r="AJ305" s="24">
        <v>0</v>
      </c>
      <c r="AK305" s="24">
        <v>0</v>
      </c>
      <c r="AL305" s="24">
        <v>0</v>
      </c>
      <c r="AM305" s="24">
        <v>0</v>
      </c>
      <c r="AN305" s="24">
        <v>0</v>
      </c>
      <c r="AO305" s="24">
        <v>0</v>
      </c>
      <c r="AP305" s="24">
        <v>0</v>
      </c>
      <c r="AQ305" s="24">
        <v>0</v>
      </c>
      <c r="AR305" s="24">
        <v>0</v>
      </c>
      <c r="AS305" s="24">
        <v>0</v>
      </c>
      <c r="AT305" s="24">
        <v>0</v>
      </c>
      <c r="AU305" s="24">
        <v>0</v>
      </c>
      <c r="AV305" s="24">
        <v>0</v>
      </c>
      <c r="AW305" s="24">
        <v>0</v>
      </c>
      <c r="AX305" s="24">
        <v>0</v>
      </c>
      <c r="AY305" s="24">
        <v>0</v>
      </c>
      <c r="AZ305" s="24">
        <v>0</v>
      </c>
      <c r="BA305" s="24">
        <v>0</v>
      </c>
      <c r="BB305" s="24"/>
      <c r="BC305" s="24">
        <v>0</v>
      </c>
      <c r="BD305" s="24">
        <f t="shared" ref="BD305" si="725">SUM(BE305+BI305+BM305+BO305+BR305)</f>
        <v>0</v>
      </c>
      <c r="BE305" s="24">
        <f t="shared" ref="BE305" si="726">SUM(BF305:BH305)</f>
        <v>0</v>
      </c>
      <c r="BF305" s="24">
        <v>0</v>
      </c>
      <c r="BG305" s="24">
        <v>0</v>
      </c>
      <c r="BH305" s="24">
        <v>0</v>
      </c>
      <c r="BI305" s="24">
        <f t="shared" ref="BI305" si="727">SUM(BL305:BL305)</f>
        <v>0</v>
      </c>
      <c r="BJ305" s="24">
        <v>0</v>
      </c>
      <c r="BK305" s="24">
        <v>0</v>
      </c>
      <c r="BL305" s="24">
        <v>0</v>
      </c>
      <c r="BM305" s="24">
        <v>0</v>
      </c>
      <c r="BN305" s="24">
        <v>0</v>
      </c>
      <c r="BO305" s="24">
        <f t="shared" si="705"/>
        <v>0</v>
      </c>
      <c r="BP305" s="24">
        <v>0</v>
      </c>
      <c r="BQ305" s="24">
        <v>0</v>
      </c>
      <c r="BR305" s="24">
        <f t="shared" si="659"/>
        <v>0</v>
      </c>
      <c r="BS305" s="24">
        <v>0</v>
      </c>
      <c r="BT305" s="24">
        <v>0</v>
      </c>
      <c r="BU305" s="24">
        <v>0</v>
      </c>
      <c r="BV305" s="24">
        <v>0</v>
      </c>
      <c r="BW305" s="24">
        <v>0</v>
      </c>
      <c r="BX305" s="24">
        <v>0</v>
      </c>
      <c r="BY305" s="24">
        <v>0</v>
      </c>
      <c r="BZ305" s="24">
        <v>0</v>
      </c>
      <c r="CA305" s="24">
        <v>0</v>
      </c>
      <c r="CB305" s="24">
        <v>0</v>
      </c>
      <c r="CC305" s="24">
        <v>0</v>
      </c>
      <c r="CD305" s="24">
        <f t="shared" ref="CD305" si="728">SUM(CE305+CV305)</f>
        <v>0</v>
      </c>
      <c r="CE305" s="24">
        <f t="shared" ref="CE305" si="729">SUM(CF305+CI305+CN305)</f>
        <v>0</v>
      </c>
      <c r="CF305" s="24">
        <f t="shared" ref="CF305" si="730">SUM(CG305:CH305)</f>
        <v>0</v>
      </c>
      <c r="CG305" s="24">
        <v>0</v>
      </c>
      <c r="CH305" s="24">
        <v>0</v>
      </c>
      <c r="CI305" s="24">
        <f t="shared" ref="CI305" si="731">SUM(CJ305:CM305)</f>
        <v>0</v>
      </c>
      <c r="CJ305" s="24">
        <v>0</v>
      </c>
      <c r="CK305" s="24">
        <v>0</v>
      </c>
      <c r="CL305" s="24">
        <v>0</v>
      </c>
      <c r="CM305" s="24">
        <v>0</v>
      </c>
      <c r="CN305" s="24">
        <f t="shared" ref="CN305" si="732">SUM(CO305:CS305)</f>
        <v>0</v>
      </c>
      <c r="CO305" s="24">
        <v>0</v>
      </c>
      <c r="CP305" s="24">
        <v>0</v>
      </c>
      <c r="CQ305" s="24">
        <v>0</v>
      </c>
      <c r="CR305" s="24"/>
      <c r="CS305" s="24"/>
      <c r="CT305" s="24">
        <v>0</v>
      </c>
      <c r="CU305" s="24">
        <v>0</v>
      </c>
      <c r="CV305" s="42">
        <f>2088785-2088785</f>
        <v>0</v>
      </c>
      <c r="CW305" s="24">
        <f t="shared" si="707"/>
        <v>0</v>
      </c>
      <c r="CX305" s="24">
        <f t="shared" ref="CX305" si="733">SUM(CY305:CZ305)</f>
        <v>0</v>
      </c>
      <c r="CY305" s="24">
        <v>0</v>
      </c>
      <c r="CZ305" s="25">
        <v>0</v>
      </c>
    </row>
    <row r="306" spans="1:218" ht="31.2" x14ac:dyDescent="0.3">
      <c r="A306" s="26" t="s">
        <v>1</v>
      </c>
      <c r="B306" s="27" t="s">
        <v>1</v>
      </c>
      <c r="C306" s="27" t="s">
        <v>329</v>
      </c>
      <c r="D306" s="28" t="s">
        <v>598</v>
      </c>
      <c r="E306" s="23">
        <f t="shared" si="651"/>
        <v>11923061</v>
      </c>
      <c r="F306" s="24">
        <f t="shared" si="652"/>
        <v>0</v>
      </c>
      <c r="G306" s="24">
        <f t="shared" si="653"/>
        <v>0</v>
      </c>
      <c r="H306" s="24">
        <v>0</v>
      </c>
      <c r="I306" s="24">
        <v>0</v>
      </c>
      <c r="J306" s="24">
        <f t="shared" si="504"/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f t="shared" si="505"/>
        <v>0</v>
      </c>
      <c r="R306" s="24">
        <v>0</v>
      </c>
      <c r="S306" s="24">
        <v>0</v>
      </c>
      <c r="T306" s="24">
        <v>0</v>
      </c>
      <c r="U306" s="24">
        <v>0</v>
      </c>
      <c r="V306" s="24">
        <f t="shared" si="654"/>
        <v>0</v>
      </c>
      <c r="W306" s="24">
        <v>0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0</v>
      </c>
      <c r="AD306" s="24">
        <v>0</v>
      </c>
      <c r="AE306" s="24">
        <v>0</v>
      </c>
      <c r="AF306" s="24">
        <f t="shared" si="655"/>
        <v>0</v>
      </c>
      <c r="AG306" s="24">
        <v>0</v>
      </c>
      <c r="AH306" s="24">
        <v>0</v>
      </c>
      <c r="AI306" s="24">
        <v>0</v>
      </c>
      <c r="AJ306" s="24">
        <v>0</v>
      </c>
      <c r="AK306" s="24">
        <v>0</v>
      </c>
      <c r="AL306" s="24">
        <v>0</v>
      </c>
      <c r="AM306" s="24">
        <v>0</v>
      </c>
      <c r="AN306" s="24">
        <v>0</v>
      </c>
      <c r="AO306" s="24">
        <v>0</v>
      </c>
      <c r="AP306" s="24">
        <v>0</v>
      </c>
      <c r="AQ306" s="24">
        <v>0</v>
      </c>
      <c r="AR306" s="24">
        <v>0</v>
      </c>
      <c r="AS306" s="24">
        <v>0</v>
      </c>
      <c r="AT306" s="24">
        <v>0</v>
      </c>
      <c r="AU306" s="24">
        <v>0</v>
      </c>
      <c r="AV306" s="24">
        <v>0</v>
      </c>
      <c r="AW306" s="24">
        <v>0</v>
      </c>
      <c r="AX306" s="24">
        <v>0</v>
      </c>
      <c r="AY306" s="24">
        <v>0</v>
      </c>
      <c r="AZ306" s="24">
        <v>0</v>
      </c>
      <c r="BA306" s="24">
        <v>0</v>
      </c>
      <c r="BB306" s="24"/>
      <c r="BC306" s="24">
        <v>0</v>
      </c>
      <c r="BD306" s="24">
        <f t="shared" si="656"/>
        <v>0</v>
      </c>
      <c r="BE306" s="24">
        <f t="shared" si="657"/>
        <v>0</v>
      </c>
      <c r="BF306" s="24">
        <v>0</v>
      </c>
      <c r="BG306" s="24">
        <v>0</v>
      </c>
      <c r="BH306" s="24">
        <v>0</v>
      </c>
      <c r="BI306" s="24">
        <f t="shared" si="658"/>
        <v>0</v>
      </c>
      <c r="BJ306" s="24">
        <v>0</v>
      </c>
      <c r="BK306" s="24">
        <v>0</v>
      </c>
      <c r="BL306" s="24">
        <v>0</v>
      </c>
      <c r="BM306" s="24">
        <v>0</v>
      </c>
      <c r="BN306" s="24">
        <v>0</v>
      </c>
      <c r="BO306" s="24">
        <f t="shared" si="507"/>
        <v>0</v>
      </c>
      <c r="BP306" s="24">
        <v>0</v>
      </c>
      <c r="BQ306" s="24">
        <v>0</v>
      </c>
      <c r="BR306" s="24">
        <f t="shared" si="659"/>
        <v>0</v>
      </c>
      <c r="BS306" s="24">
        <v>0</v>
      </c>
      <c r="BT306" s="24">
        <v>0</v>
      </c>
      <c r="BU306" s="24">
        <v>0</v>
      </c>
      <c r="BV306" s="24">
        <v>0</v>
      </c>
      <c r="BW306" s="24">
        <v>0</v>
      </c>
      <c r="BX306" s="24">
        <v>0</v>
      </c>
      <c r="BY306" s="24">
        <v>0</v>
      </c>
      <c r="BZ306" s="24">
        <v>0</v>
      </c>
      <c r="CA306" s="24">
        <v>0</v>
      </c>
      <c r="CB306" s="24">
        <v>0</v>
      </c>
      <c r="CC306" s="24">
        <v>0</v>
      </c>
      <c r="CD306" s="24">
        <f t="shared" si="660"/>
        <v>11923061</v>
      </c>
      <c r="CE306" s="24">
        <f t="shared" si="661"/>
        <v>0</v>
      </c>
      <c r="CF306" s="24">
        <f t="shared" si="508"/>
        <v>0</v>
      </c>
      <c r="CG306" s="24">
        <v>0</v>
      </c>
      <c r="CH306" s="24">
        <v>0</v>
      </c>
      <c r="CI306" s="24">
        <f t="shared" si="662"/>
        <v>0</v>
      </c>
      <c r="CJ306" s="24">
        <v>0</v>
      </c>
      <c r="CK306" s="24">
        <v>0</v>
      </c>
      <c r="CL306" s="24">
        <v>0</v>
      </c>
      <c r="CM306" s="24">
        <v>0</v>
      </c>
      <c r="CN306" s="24">
        <f t="shared" si="663"/>
        <v>0</v>
      </c>
      <c r="CO306" s="24">
        <v>0</v>
      </c>
      <c r="CP306" s="24">
        <v>0</v>
      </c>
      <c r="CQ306" s="24">
        <v>0</v>
      </c>
      <c r="CR306" s="24"/>
      <c r="CS306" s="24"/>
      <c r="CT306" s="24">
        <v>0</v>
      </c>
      <c r="CU306" s="24">
        <v>0</v>
      </c>
      <c r="CV306" s="42">
        <f>11550000+373061</f>
        <v>11923061</v>
      </c>
      <c r="CW306" s="24">
        <f t="shared" si="509"/>
        <v>0</v>
      </c>
      <c r="CX306" s="24">
        <f t="shared" si="510"/>
        <v>0</v>
      </c>
      <c r="CY306" s="24">
        <v>0</v>
      </c>
      <c r="CZ306" s="25">
        <v>0</v>
      </c>
    </row>
    <row r="307" spans="1:218" ht="15.6" x14ac:dyDescent="0.3">
      <c r="A307" s="20"/>
      <c r="B307" s="21" t="s">
        <v>384</v>
      </c>
      <c r="C307" s="21" t="s">
        <v>1</v>
      </c>
      <c r="D307" s="22" t="s">
        <v>385</v>
      </c>
      <c r="E307" s="23">
        <f t="shared" ref="E307:BU309" si="734">SUM(E308)</f>
        <v>8313090</v>
      </c>
      <c r="F307" s="24">
        <f t="shared" si="734"/>
        <v>0</v>
      </c>
      <c r="G307" s="24">
        <f t="shared" si="734"/>
        <v>0</v>
      </c>
      <c r="H307" s="24">
        <f t="shared" si="734"/>
        <v>0</v>
      </c>
      <c r="I307" s="24">
        <f t="shared" si="734"/>
        <v>0</v>
      </c>
      <c r="J307" s="24">
        <f t="shared" si="734"/>
        <v>0</v>
      </c>
      <c r="K307" s="24">
        <f t="shared" si="734"/>
        <v>0</v>
      </c>
      <c r="L307" s="24">
        <f t="shared" si="734"/>
        <v>0</v>
      </c>
      <c r="M307" s="24">
        <f t="shared" si="734"/>
        <v>0</v>
      </c>
      <c r="N307" s="24">
        <f t="shared" si="734"/>
        <v>0</v>
      </c>
      <c r="O307" s="24">
        <f t="shared" si="734"/>
        <v>0</v>
      </c>
      <c r="P307" s="24">
        <f t="shared" si="734"/>
        <v>0</v>
      </c>
      <c r="Q307" s="24">
        <f t="shared" si="734"/>
        <v>0</v>
      </c>
      <c r="R307" s="24">
        <f t="shared" si="734"/>
        <v>0</v>
      </c>
      <c r="S307" s="24">
        <f t="shared" si="734"/>
        <v>0</v>
      </c>
      <c r="T307" s="24">
        <f t="shared" si="734"/>
        <v>0</v>
      </c>
      <c r="U307" s="24">
        <f t="shared" si="734"/>
        <v>0</v>
      </c>
      <c r="V307" s="24">
        <f t="shared" si="734"/>
        <v>0</v>
      </c>
      <c r="W307" s="24">
        <f t="shared" si="734"/>
        <v>0</v>
      </c>
      <c r="X307" s="24">
        <f t="shared" si="734"/>
        <v>0</v>
      </c>
      <c r="Y307" s="24">
        <f t="shared" si="734"/>
        <v>0</v>
      </c>
      <c r="Z307" s="24">
        <f t="shared" si="734"/>
        <v>0</v>
      </c>
      <c r="AA307" s="24">
        <f t="shared" si="734"/>
        <v>0</v>
      </c>
      <c r="AB307" s="24">
        <f t="shared" si="734"/>
        <v>0</v>
      </c>
      <c r="AC307" s="24">
        <f t="shared" si="734"/>
        <v>0</v>
      </c>
      <c r="AD307" s="24">
        <f t="shared" si="734"/>
        <v>0</v>
      </c>
      <c r="AE307" s="24">
        <f t="shared" si="734"/>
        <v>0</v>
      </c>
      <c r="AF307" s="24">
        <f t="shared" si="734"/>
        <v>0</v>
      </c>
      <c r="AG307" s="24">
        <f t="shared" si="734"/>
        <v>0</v>
      </c>
      <c r="AH307" s="24">
        <f t="shared" si="734"/>
        <v>0</v>
      </c>
      <c r="AI307" s="24">
        <f t="shared" si="734"/>
        <v>0</v>
      </c>
      <c r="AJ307" s="24">
        <f t="shared" si="734"/>
        <v>0</v>
      </c>
      <c r="AK307" s="24">
        <f t="shared" si="734"/>
        <v>0</v>
      </c>
      <c r="AL307" s="24">
        <f t="shared" si="734"/>
        <v>0</v>
      </c>
      <c r="AM307" s="24">
        <f t="shared" si="734"/>
        <v>0</v>
      </c>
      <c r="AN307" s="24">
        <f t="shared" si="734"/>
        <v>0</v>
      </c>
      <c r="AO307" s="24">
        <f t="shared" si="734"/>
        <v>0</v>
      </c>
      <c r="AP307" s="24">
        <f t="shared" si="734"/>
        <v>0</v>
      </c>
      <c r="AQ307" s="24">
        <f t="shared" si="734"/>
        <v>0</v>
      </c>
      <c r="AR307" s="24">
        <f t="shared" si="734"/>
        <v>0</v>
      </c>
      <c r="AS307" s="24">
        <f t="shared" si="734"/>
        <v>0</v>
      </c>
      <c r="AT307" s="24">
        <f t="shared" si="734"/>
        <v>0</v>
      </c>
      <c r="AU307" s="24">
        <f t="shared" si="734"/>
        <v>0</v>
      </c>
      <c r="AV307" s="24">
        <f t="shared" si="734"/>
        <v>0</v>
      </c>
      <c r="AW307" s="24">
        <f t="shared" si="734"/>
        <v>0</v>
      </c>
      <c r="AX307" s="24">
        <f t="shared" si="734"/>
        <v>0</v>
      </c>
      <c r="AY307" s="24">
        <f t="shared" si="734"/>
        <v>0</v>
      </c>
      <c r="AZ307" s="24">
        <f t="shared" si="734"/>
        <v>0</v>
      </c>
      <c r="BA307" s="24">
        <f t="shared" si="734"/>
        <v>0</v>
      </c>
      <c r="BB307" s="24"/>
      <c r="BC307" s="24">
        <f t="shared" si="734"/>
        <v>0</v>
      </c>
      <c r="BD307" s="24">
        <f t="shared" si="734"/>
        <v>0</v>
      </c>
      <c r="BE307" s="24">
        <f t="shared" si="734"/>
        <v>0</v>
      </c>
      <c r="BF307" s="24">
        <f t="shared" si="734"/>
        <v>0</v>
      </c>
      <c r="BG307" s="24">
        <f t="shared" si="734"/>
        <v>0</v>
      </c>
      <c r="BH307" s="24">
        <f t="shared" si="734"/>
        <v>0</v>
      </c>
      <c r="BI307" s="24">
        <f t="shared" si="734"/>
        <v>0</v>
      </c>
      <c r="BJ307" s="24">
        <f t="shared" si="734"/>
        <v>0</v>
      </c>
      <c r="BK307" s="24">
        <f t="shared" si="734"/>
        <v>0</v>
      </c>
      <c r="BL307" s="24">
        <f t="shared" si="734"/>
        <v>0</v>
      </c>
      <c r="BM307" s="24">
        <f t="shared" si="734"/>
        <v>0</v>
      </c>
      <c r="BN307" s="24">
        <f t="shared" si="734"/>
        <v>0</v>
      </c>
      <c r="BO307" s="24">
        <f t="shared" si="734"/>
        <v>0</v>
      </c>
      <c r="BP307" s="24">
        <f t="shared" si="734"/>
        <v>0</v>
      </c>
      <c r="BQ307" s="24">
        <f t="shared" si="734"/>
        <v>0</v>
      </c>
      <c r="BR307" s="24">
        <f t="shared" si="734"/>
        <v>0</v>
      </c>
      <c r="BS307" s="24">
        <f t="shared" si="734"/>
        <v>0</v>
      </c>
      <c r="BT307" s="24">
        <f t="shared" si="734"/>
        <v>0</v>
      </c>
      <c r="BU307" s="24">
        <f t="shared" si="734"/>
        <v>0</v>
      </c>
      <c r="BV307" s="24">
        <f t="shared" ref="BV307:CZ309" si="735">SUM(BV308)</f>
        <v>0</v>
      </c>
      <c r="BW307" s="24">
        <f t="shared" si="735"/>
        <v>0</v>
      </c>
      <c r="BX307" s="24">
        <f t="shared" si="735"/>
        <v>0</v>
      </c>
      <c r="BY307" s="24">
        <f t="shared" si="735"/>
        <v>0</v>
      </c>
      <c r="BZ307" s="24">
        <f t="shared" si="735"/>
        <v>0</v>
      </c>
      <c r="CA307" s="24">
        <f t="shared" si="735"/>
        <v>0</v>
      </c>
      <c r="CB307" s="24">
        <f t="shared" si="735"/>
        <v>0</v>
      </c>
      <c r="CC307" s="24">
        <f t="shared" si="735"/>
        <v>0</v>
      </c>
      <c r="CD307" s="24">
        <f t="shared" si="735"/>
        <v>8313090</v>
      </c>
      <c r="CE307" s="24">
        <f t="shared" si="735"/>
        <v>0</v>
      </c>
      <c r="CF307" s="24">
        <f t="shared" si="735"/>
        <v>0</v>
      </c>
      <c r="CG307" s="24">
        <f t="shared" si="735"/>
        <v>0</v>
      </c>
      <c r="CH307" s="24">
        <f t="shared" si="735"/>
        <v>0</v>
      </c>
      <c r="CI307" s="24">
        <f t="shared" si="735"/>
        <v>0</v>
      </c>
      <c r="CJ307" s="24">
        <f t="shared" si="735"/>
        <v>0</v>
      </c>
      <c r="CK307" s="24">
        <f t="shared" si="735"/>
        <v>0</v>
      </c>
      <c r="CL307" s="24">
        <f t="shared" si="735"/>
        <v>0</v>
      </c>
      <c r="CM307" s="24">
        <f t="shared" si="735"/>
        <v>0</v>
      </c>
      <c r="CN307" s="24">
        <f t="shared" si="735"/>
        <v>0</v>
      </c>
      <c r="CO307" s="24">
        <f t="shared" si="735"/>
        <v>0</v>
      </c>
      <c r="CP307" s="24">
        <f t="shared" si="735"/>
        <v>0</v>
      </c>
      <c r="CQ307" s="24">
        <f t="shared" si="735"/>
        <v>0</v>
      </c>
      <c r="CR307" s="24"/>
      <c r="CS307" s="24"/>
      <c r="CT307" s="24">
        <f t="shared" si="735"/>
        <v>0</v>
      </c>
      <c r="CU307" s="24">
        <f t="shared" si="735"/>
        <v>0</v>
      </c>
      <c r="CV307" s="47">
        <f t="shared" si="735"/>
        <v>8313090</v>
      </c>
      <c r="CW307" s="24">
        <f t="shared" si="735"/>
        <v>0</v>
      </c>
      <c r="CX307" s="24">
        <f t="shared" si="735"/>
        <v>0</v>
      </c>
      <c r="CY307" s="24">
        <f t="shared" si="735"/>
        <v>0</v>
      </c>
      <c r="CZ307" s="25">
        <f t="shared" si="735"/>
        <v>0</v>
      </c>
    </row>
    <row r="308" spans="1:218" ht="15.6" x14ac:dyDescent="0.3">
      <c r="A308" s="26"/>
      <c r="B308" s="27" t="s">
        <v>1</v>
      </c>
      <c r="C308" s="27" t="s">
        <v>386</v>
      </c>
      <c r="D308" s="28" t="s">
        <v>385</v>
      </c>
      <c r="E308" s="23">
        <f>SUM(F308+CD308+CW308)</f>
        <v>8313090</v>
      </c>
      <c r="F308" s="24">
        <f>SUM(G308+BD308)</f>
        <v>0</v>
      </c>
      <c r="G308" s="24">
        <f>SUM(H308+I308+J308+Q308+T308+U308+V308+AF308+AE308)</f>
        <v>0</v>
      </c>
      <c r="H308" s="24">
        <v>0</v>
      </c>
      <c r="I308" s="24">
        <v>0</v>
      </c>
      <c r="J308" s="24">
        <f t="shared" si="504"/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f t="shared" si="505"/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f t="shared" ref="V308" si="736">SUM(W308:AD308)</f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f>SUM(AG308:BC308)</f>
        <v>0</v>
      </c>
      <c r="AG308" s="24">
        <v>0</v>
      </c>
      <c r="AH308" s="24">
        <v>0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0</v>
      </c>
      <c r="AQ308" s="24">
        <v>0</v>
      </c>
      <c r="AR308" s="24">
        <v>0</v>
      </c>
      <c r="AS308" s="24">
        <v>0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0</v>
      </c>
      <c r="BB308" s="24"/>
      <c r="BC308" s="24">
        <v>0</v>
      </c>
      <c r="BD308" s="24">
        <f>SUM(BE308+BI308+BM308+BO308+BR308)</f>
        <v>0</v>
      </c>
      <c r="BE308" s="24">
        <f>SUM(BF308:BH308)</f>
        <v>0</v>
      </c>
      <c r="BF308" s="24">
        <v>0</v>
      </c>
      <c r="BG308" s="24">
        <v>0</v>
      </c>
      <c r="BH308" s="24">
        <v>0</v>
      </c>
      <c r="BI308" s="24">
        <f>SUM(BL308:BL308)</f>
        <v>0</v>
      </c>
      <c r="BJ308" s="24">
        <v>0</v>
      </c>
      <c r="BK308" s="24">
        <v>0</v>
      </c>
      <c r="BL308" s="24">
        <v>0</v>
      </c>
      <c r="BM308" s="24">
        <v>0</v>
      </c>
      <c r="BN308" s="24">
        <v>0</v>
      </c>
      <c r="BO308" s="24">
        <f t="shared" si="507"/>
        <v>0</v>
      </c>
      <c r="BP308" s="24">
        <v>0</v>
      </c>
      <c r="BQ308" s="24">
        <v>0</v>
      </c>
      <c r="BR308" s="24">
        <f>SUM(BS308:CC308)</f>
        <v>0</v>
      </c>
      <c r="BS308" s="24">
        <v>0</v>
      </c>
      <c r="BT308" s="24">
        <v>0</v>
      </c>
      <c r="BU308" s="24">
        <v>0</v>
      </c>
      <c r="BV308" s="24">
        <v>0</v>
      </c>
      <c r="BW308" s="24">
        <v>0</v>
      </c>
      <c r="BX308" s="24">
        <v>0</v>
      </c>
      <c r="BY308" s="24">
        <v>0</v>
      </c>
      <c r="BZ308" s="24">
        <v>0</v>
      </c>
      <c r="CA308" s="24">
        <v>0</v>
      </c>
      <c r="CB308" s="24">
        <v>0</v>
      </c>
      <c r="CC308" s="24">
        <v>0</v>
      </c>
      <c r="CD308" s="24">
        <f>SUM(CE308+CV308)</f>
        <v>8313090</v>
      </c>
      <c r="CE308" s="24">
        <f>SUM(CF308+CI308+CN308)</f>
        <v>0</v>
      </c>
      <c r="CF308" s="24">
        <f t="shared" si="508"/>
        <v>0</v>
      </c>
      <c r="CG308" s="24">
        <v>0</v>
      </c>
      <c r="CH308" s="24">
        <v>0</v>
      </c>
      <c r="CI308" s="24">
        <f>SUM(CJ308:CM308)</f>
        <v>0</v>
      </c>
      <c r="CJ308" s="24">
        <v>0</v>
      </c>
      <c r="CK308" s="24">
        <v>0</v>
      </c>
      <c r="CL308" s="24">
        <v>0</v>
      </c>
      <c r="CM308" s="24">
        <v>0</v>
      </c>
      <c r="CN308" s="24">
        <f>SUM(CO308:CS308)</f>
        <v>0</v>
      </c>
      <c r="CO308" s="24">
        <v>0</v>
      </c>
      <c r="CP308" s="24">
        <v>0</v>
      </c>
      <c r="CQ308" s="24">
        <v>0</v>
      </c>
      <c r="CR308" s="24"/>
      <c r="CS308" s="24"/>
      <c r="CT308" s="24">
        <v>0</v>
      </c>
      <c r="CU308" s="24">
        <v>0</v>
      </c>
      <c r="CV308" s="47">
        <f>6000000+6000000-3617016-69894</f>
        <v>8313090</v>
      </c>
      <c r="CW308" s="24">
        <f t="shared" si="509"/>
        <v>0</v>
      </c>
      <c r="CX308" s="24">
        <f t="shared" si="510"/>
        <v>0</v>
      </c>
      <c r="CY308" s="24">
        <v>0</v>
      </c>
      <c r="CZ308" s="25">
        <v>0</v>
      </c>
    </row>
    <row r="309" spans="1:218" ht="15.6" x14ac:dyDescent="0.3">
      <c r="A309" s="20"/>
      <c r="B309" s="21" t="s">
        <v>387</v>
      </c>
      <c r="C309" s="21" t="s">
        <v>1</v>
      </c>
      <c r="D309" s="37" t="s">
        <v>388</v>
      </c>
      <c r="E309" s="23">
        <f t="shared" si="734"/>
        <v>6356904</v>
      </c>
      <c r="F309" s="24">
        <f t="shared" si="734"/>
        <v>6356904</v>
      </c>
      <c r="G309" s="24">
        <f t="shared" si="734"/>
        <v>0</v>
      </c>
      <c r="H309" s="24">
        <f t="shared" si="734"/>
        <v>0</v>
      </c>
      <c r="I309" s="24">
        <f t="shared" si="734"/>
        <v>0</v>
      </c>
      <c r="J309" s="24">
        <f t="shared" si="734"/>
        <v>0</v>
      </c>
      <c r="K309" s="24">
        <f t="shared" si="734"/>
        <v>0</v>
      </c>
      <c r="L309" s="24">
        <f t="shared" si="734"/>
        <v>0</v>
      </c>
      <c r="M309" s="24">
        <f t="shared" si="734"/>
        <v>0</v>
      </c>
      <c r="N309" s="24">
        <f t="shared" si="734"/>
        <v>0</v>
      </c>
      <c r="O309" s="24">
        <f t="shared" si="734"/>
        <v>0</v>
      </c>
      <c r="P309" s="24">
        <f t="shared" si="734"/>
        <v>0</v>
      </c>
      <c r="Q309" s="24">
        <f t="shared" si="734"/>
        <v>0</v>
      </c>
      <c r="R309" s="24">
        <f t="shared" si="734"/>
        <v>0</v>
      </c>
      <c r="S309" s="24">
        <f t="shared" si="734"/>
        <v>0</v>
      </c>
      <c r="T309" s="24">
        <f t="shared" si="734"/>
        <v>0</v>
      </c>
      <c r="U309" s="24">
        <f t="shared" si="734"/>
        <v>0</v>
      </c>
      <c r="V309" s="24">
        <f t="shared" si="734"/>
        <v>0</v>
      </c>
      <c r="W309" s="24">
        <f t="shared" si="734"/>
        <v>0</v>
      </c>
      <c r="X309" s="24">
        <f t="shared" si="734"/>
        <v>0</v>
      </c>
      <c r="Y309" s="24">
        <f t="shared" si="734"/>
        <v>0</v>
      </c>
      <c r="Z309" s="24">
        <f t="shared" si="734"/>
        <v>0</v>
      </c>
      <c r="AA309" s="24">
        <f t="shared" si="734"/>
        <v>0</v>
      </c>
      <c r="AB309" s="24">
        <f t="shared" si="734"/>
        <v>0</v>
      </c>
      <c r="AC309" s="24">
        <f t="shared" si="734"/>
        <v>0</v>
      </c>
      <c r="AD309" s="24">
        <f t="shared" si="734"/>
        <v>0</v>
      </c>
      <c r="AE309" s="24">
        <f t="shared" si="734"/>
        <v>0</v>
      </c>
      <c r="AF309" s="24">
        <f t="shared" si="734"/>
        <v>0</v>
      </c>
      <c r="AG309" s="24">
        <f t="shared" si="734"/>
        <v>0</v>
      </c>
      <c r="AH309" s="24">
        <f t="shared" si="734"/>
        <v>0</v>
      </c>
      <c r="AI309" s="24">
        <f t="shared" si="734"/>
        <v>0</v>
      </c>
      <c r="AJ309" s="24">
        <f t="shared" si="734"/>
        <v>0</v>
      </c>
      <c r="AK309" s="24">
        <f t="shared" si="734"/>
        <v>0</v>
      </c>
      <c r="AL309" s="24">
        <f t="shared" si="734"/>
        <v>0</v>
      </c>
      <c r="AM309" s="24">
        <f t="shared" si="734"/>
        <v>0</v>
      </c>
      <c r="AN309" s="24">
        <f t="shared" si="734"/>
        <v>0</v>
      </c>
      <c r="AO309" s="24">
        <f t="shared" si="734"/>
        <v>0</v>
      </c>
      <c r="AP309" s="24">
        <f t="shared" si="734"/>
        <v>0</v>
      </c>
      <c r="AQ309" s="24">
        <f t="shared" si="734"/>
        <v>0</v>
      </c>
      <c r="AR309" s="24">
        <f t="shared" si="734"/>
        <v>0</v>
      </c>
      <c r="AS309" s="24">
        <f t="shared" si="734"/>
        <v>0</v>
      </c>
      <c r="AT309" s="24">
        <f t="shared" si="734"/>
        <v>0</v>
      </c>
      <c r="AU309" s="24">
        <f t="shared" si="734"/>
        <v>0</v>
      </c>
      <c r="AV309" s="24">
        <f t="shared" si="734"/>
        <v>0</v>
      </c>
      <c r="AW309" s="24">
        <f t="shared" si="734"/>
        <v>0</v>
      </c>
      <c r="AX309" s="24">
        <f t="shared" si="734"/>
        <v>0</v>
      </c>
      <c r="AY309" s="24">
        <f t="shared" si="734"/>
        <v>0</v>
      </c>
      <c r="AZ309" s="24">
        <f t="shared" si="734"/>
        <v>0</v>
      </c>
      <c r="BA309" s="24">
        <f t="shared" si="734"/>
        <v>0</v>
      </c>
      <c r="BB309" s="24"/>
      <c r="BC309" s="24">
        <f t="shared" si="734"/>
        <v>0</v>
      </c>
      <c r="BD309" s="24">
        <f t="shared" si="734"/>
        <v>6356904</v>
      </c>
      <c r="BE309" s="24">
        <f t="shared" si="734"/>
        <v>0</v>
      </c>
      <c r="BF309" s="24">
        <f t="shared" si="734"/>
        <v>0</v>
      </c>
      <c r="BG309" s="24">
        <f t="shared" si="734"/>
        <v>0</v>
      </c>
      <c r="BH309" s="24">
        <f t="shared" si="734"/>
        <v>0</v>
      </c>
      <c r="BI309" s="24">
        <f t="shared" si="734"/>
        <v>0</v>
      </c>
      <c r="BJ309" s="24">
        <f t="shared" si="734"/>
        <v>0</v>
      </c>
      <c r="BK309" s="24">
        <f t="shared" si="734"/>
        <v>0</v>
      </c>
      <c r="BL309" s="24">
        <f t="shared" si="734"/>
        <v>0</v>
      </c>
      <c r="BM309" s="24">
        <f t="shared" si="734"/>
        <v>6356904</v>
      </c>
      <c r="BN309" s="24">
        <f t="shared" si="734"/>
        <v>0</v>
      </c>
      <c r="BO309" s="24">
        <f t="shared" si="734"/>
        <v>0</v>
      </c>
      <c r="BP309" s="24">
        <f t="shared" si="734"/>
        <v>0</v>
      </c>
      <c r="BQ309" s="24">
        <f t="shared" si="734"/>
        <v>0</v>
      </c>
      <c r="BR309" s="24">
        <f t="shared" si="734"/>
        <v>0</v>
      </c>
      <c r="BS309" s="24">
        <f t="shared" si="734"/>
        <v>0</v>
      </c>
      <c r="BT309" s="24">
        <f t="shared" si="734"/>
        <v>0</v>
      </c>
      <c r="BU309" s="24">
        <f t="shared" si="734"/>
        <v>0</v>
      </c>
      <c r="BV309" s="24">
        <f t="shared" si="735"/>
        <v>0</v>
      </c>
      <c r="BW309" s="24">
        <f t="shared" si="735"/>
        <v>0</v>
      </c>
      <c r="BX309" s="24">
        <f t="shared" si="735"/>
        <v>0</v>
      </c>
      <c r="BY309" s="24">
        <f t="shared" si="735"/>
        <v>0</v>
      </c>
      <c r="BZ309" s="24">
        <f t="shared" si="735"/>
        <v>0</v>
      </c>
      <c r="CA309" s="24">
        <f t="shared" si="735"/>
        <v>0</v>
      </c>
      <c r="CB309" s="24">
        <f t="shared" si="735"/>
        <v>0</v>
      </c>
      <c r="CC309" s="24">
        <f t="shared" si="735"/>
        <v>0</v>
      </c>
      <c r="CD309" s="24">
        <f t="shared" si="735"/>
        <v>0</v>
      </c>
      <c r="CE309" s="24">
        <f t="shared" si="735"/>
        <v>0</v>
      </c>
      <c r="CF309" s="24">
        <f t="shared" si="735"/>
        <v>0</v>
      </c>
      <c r="CG309" s="24">
        <f t="shared" si="735"/>
        <v>0</v>
      </c>
      <c r="CH309" s="24">
        <f t="shared" si="735"/>
        <v>0</v>
      </c>
      <c r="CI309" s="24">
        <f t="shared" si="735"/>
        <v>0</v>
      </c>
      <c r="CJ309" s="24">
        <f t="shared" si="735"/>
        <v>0</v>
      </c>
      <c r="CK309" s="24">
        <f t="shared" si="735"/>
        <v>0</v>
      </c>
      <c r="CL309" s="24">
        <f t="shared" si="735"/>
        <v>0</v>
      </c>
      <c r="CM309" s="24">
        <f t="shared" si="735"/>
        <v>0</v>
      </c>
      <c r="CN309" s="24">
        <f t="shared" si="735"/>
        <v>0</v>
      </c>
      <c r="CO309" s="24">
        <f t="shared" si="735"/>
        <v>0</v>
      </c>
      <c r="CP309" s="24">
        <f t="shared" si="735"/>
        <v>0</v>
      </c>
      <c r="CQ309" s="24">
        <f t="shared" si="735"/>
        <v>0</v>
      </c>
      <c r="CR309" s="24"/>
      <c r="CS309" s="24"/>
      <c r="CT309" s="24">
        <f t="shared" si="735"/>
        <v>0</v>
      </c>
      <c r="CU309" s="24">
        <f t="shared" si="735"/>
        <v>0</v>
      </c>
      <c r="CV309" s="24">
        <f t="shared" si="735"/>
        <v>0</v>
      </c>
      <c r="CW309" s="24">
        <f t="shared" si="735"/>
        <v>0</v>
      </c>
      <c r="CX309" s="24">
        <f t="shared" si="735"/>
        <v>0</v>
      </c>
      <c r="CY309" s="24">
        <f t="shared" si="735"/>
        <v>0</v>
      </c>
      <c r="CZ309" s="25">
        <f t="shared" si="735"/>
        <v>0</v>
      </c>
    </row>
    <row r="310" spans="1:218" ht="15.6" x14ac:dyDescent="0.3">
      <c r="A310" s="26" t="s">
        <v>1</v>
      </c>
      <c r="B310" s="27" t="s">
        <v>1</v>
      </c>
      <c r="C310" s="27" t="s">
        <v>105</v>
      </c>
      <c r="D310" s="38" t="s">
        <v>389</v>
      </c>
      <c r="E310" s="23">
        <f>SUM(F310+CD310+CW310)</f>
        <v>6356904</v>
      </c>
      <c r="F310" s="24">
        <f>SUM(G310+BD310)</f>
        <v>6356904</v>
      </c>
      <c r="G310" s="24">
        <f>SUM(H310+I310+J310+Q310+T310+U310+V310+AF310+AE310)</f>
        <v>0</v>
      </c>
      <c r="H310" s="24">
        <v>0</v>
      </c>
      <c r="I310" s="24">
        <v>0</v>
      </c>
      <c r="J310" s="24">
        <f t="shared" ref="J310" si="737">SUM(K310:P310)</f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f t="shared" ref="Q310" si="738">SUM(R310:S310)</f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f t="shared" ref="V310" si="739">SUM(W310:AD310)</f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0</v>
      </c>
      <c r="AE310" s="24">
        <v>0</v>
      </c>
      <c r="AF310" s="24">
        <f>SUM(AG310:BC310)</f>
        <v>0</v>
      </c>
      <c r="AG310" s="24">
        <v>0</v>
      </c>
      <c r="AH310" s="24">
        <v>0</v>
      </c>
      <c r="AI310" s="24">
        <v>0</v>
      </c>
      <c r="AJ310" s="24">
        <v>0</v>
      </c>
      <c r="AK310" s="24">
        <v>0</v>
      </c>
      <c r="AL310" s="24">
        <v>0</v>
      </c>
      <c r="AM310" s="24">
        <v>0</v>
      </c>
      <c r="AN310" s="24">
        <v>0</v>
      </c>
      <c r="AO310" s="24">
        <v>0</v>
      </c>
      <c r="AP310" s="24">
        <v>0</v>
      </c>
      <c r="AQ310" s="24">
        <v>0</v>
      </c>
      <c r="AR310" s="24">
        <v>0</v>
      </c>
      <c r="AS310" s="24">
        <v>0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0</v>
      </c>
      <c r="BB310" s="24"/>
      <c r="BC310" s="24">
        <v>0</v>
      </c>
      <c r="BD310" s="24">
        <f>SUM(BE310+BI310+BM310+BO310+BR310)</f>
        <v>6356904</v>
      </c>
      <c r="BE310" s="24">
        <f>SUM(BF310:BH310)</f>
        <v>0</v>
      </c>
      <c r="BF310" s="24">
        <v>0</v>
      </c>
      <c r="BG310" s="24">
        <v>0</v>
      </c>
      <c r="BH310" s="24">
        <v>0</v>
      </c>
      <c r="BI310" s="24">
        <f>SUM(BL310:BL310)</f>
        <v>0</v>
      </c>
      <c r="BJ310" s="24">
        <v>0</v>
      </c>
      <c r="BK310" s="24">
        <v>0</v>
      </c>
      <c r="BL310" s="24">
        <v>0</v>
      </c>
      <c r="BM310" s="29">
        <f>17252765-10895861</f>
        <v>6356904</v>
      </c>
      <c r="BN310" s="24">
        <v>0</v>
      </c>
      <c r="BO310" s="24">
        <f t="shared" ref="BO310" si="740">SUM(BP310)</f>
        <v>0</v>
      </c>
      <c r="BP310" s="24">
        <v>0</v>
      </c>
      <c r="BQ310" s="24">
        <v>0</v>
      </c>
      <c r="BR310" s="24">
        <f>SUM(BS310:CC310)</f>
        <v>0</v>
      </c>
      <c r="BS310" s="24">
        <v>0</v>
      </c>
      <c r="BT310" s="24">
        <v>0</v>
      </c>
      <c r="BU310" s="24">
        <v>0</v>
      </c>
      <c r="BV310" s="24">
        <v>0</v>
      </c>
      <c r="BW310" s="24">
        <v>0</v>
      </c>
      <c r="BX310" s="24">
        <v>0</v>
      </c>
      <c r="BY310" s="24">
        <v>0</v>
      </c>
      <c r="BZ310" s="24">
        <v>0</v>
      </c>
      <c r="CA310" s="24">
        <v>0</v>
      </c>
      <c r="CB310" s="24">
        <v>0</v>
      </c>
      <c r="CC310" s="24">
        <v>0</v>
      </c>
      <c r="CD310" s="24">
        <f>SUM(CE310+CV310)</f>
        <v>0</v>
      </c>
      <c r="CE310" s="24">
        <f>SUM(CF310+CI310+CN310)</f>
        <v>0</v>
      </c>
      <c r="CF310" s="24">
        <f t="shared" ref="CF310" si="741">SUM(CG310:CH310)</f>
        <v>0</v>
      </c>
      <c r="CG310" s="24">
        <v>0</v>
      </c>
      <c r="CH310" s="24">
        <v>0</v>
      </c>
      <c r="CI310" s="24">
        <f>SUM(CJ310:CM310)</f>
        <v>0</v>
      </c>
      <c r="CJ310" s="24">
        <v>0</v>
      </c>
      <c r="CK310" s="24">
        <v>0</v>
      </c>
      <c r="CL310" s="24">
        <v>0</v>
      </c>
      <c r="CM310" s="24">
        <v>0</v>
      </c>
      <c r="CN310" s="24">
        <f>SUM(CO310:CS310)</f>
        <v>0</v>
      </c>
      <c r="CO310" s="24">
        <v>0</v>
      </c>
      <c r="CP310" s="24">
        <v>0</v>
      </c>
      <c r="CQ310" s="24">
        <v>0</v>
      </c>
      <c r="CR310" s="24"/>
      <c r="CS310" s="24"/>
      <c r="CT310" s="24">
        <v>0</v>
      </c>
      <c r="CU310" s="24">
        <v>0</v>
      </c>
      <c r="CV310" s="24"/>
      <c r="CW310" s="24">
        <f t="shared" ref="CW310" si="742">SUM(CX310)</f>
        <v>0</v>
      </c>
      <c r="CX310" s="24">
        <f t="shared" ref="CX310" si="743">SUM(CY310:CZ310)</f>
        <v>0</v>
      </c>
      <c r="CY310" s="24">
        <v>0</v>
      </c>
      <c r="CZ310" s="25">
        <v>0</v>
      </c>
    </row>
    <row r="311" spans="1:218" ht="31.2" x14ac:dyDescent="0.3">
      <c r="A311" s="31" t="s">
        <v>390</v>
      </c>
      <c r="B311" s="32" t="s">
        <v>1</v>
      </c>
      <c r="C311" s="32" t="s">
        <v>1</v>
      </c>
      <c r="D311" s="33" t="s">
        <v>391</v>
      </c>
      <c r="E311" s="34">
        <f>SUM(E312)</f>
        <v>296053873</v>
      </c>
      <c r="F311" s="35">
        <f t="shared" ref="F311:BX312" si="744">SUM(F312)</f>
        <v>0</v>
      </c>
      <c r="G311" s="35">
        <f t="shared" si="744"/>
        <v>0</v>
      </c>
      <c r="H311" s="35">
        <f t="shared" si="744"/>
        <v>0</v>
      </c>
      <c r="I311" s="35">
        <f t="shared" si="744"/>
        <v>0</v>
      </c>
      <c r="J311" s="35">
        <f t="shared" si="744"/>
        <v>0</v>
      </c>
      <c r="K311" s="35">
        <f t="shared" si="744"/>
        <v>0</v>
      </c>
      <c r="L311" s="35">
        <f t="shared" si="744"/>
        <v>0</v>
      </c>
      <c r="M311" s="35">
        <f t="shared" si="744"/>
        <v>0</v>
      </c>
      <c r="N311" s="35">
        <f t="shared" si="744"/>
        <v>0</v>
      </c>
      <c r="O311" s="35">
        <f t="shared" si="744"/>
        <v>0</v>
      </c>
      <c r="P311" s="35">
        <f t="shared" si="744"/>
        <v>0</v>
      </c>
      <c r="Q311" s="35">
        <f t="shared" si="744"/>
        <v>0</v>
      </c>
      <c r="R311" s="35">
        <f t="shared" si="744"/>
        <v>0</v>
      </c>
      <c r="S311" s="35">
        <f t="shared" si="744"/>
        <v>0</v>
      </c>
      <c r="T311" s="35">
        <f t="shared" si="744"/>
        <v>0</v>
      </c>
      <c r="U311" s="35">
        <f t="shared" si="744"/>
        <v>0</v>
      </c>
      <c r="V311" s="35">
        <f t="shared" si="744"/>
        <v>0</v>
      </c>
      <c r="W311" s="35">
        <f t="shared" si="744"/>
        <v>0</v>
      </c>
      <c r="X311" s="35">
        <f t="shared" si="744"/>
        <v>0</v>
      </c>
      <c r="Y311" s="35">
        <f t="shared" si="744"/>
        <v>0</v>
      </c>
      <c r="Z311" s="35">
        <f t="shared" si="744"/>
        <v>0</v>
      </c>
      <c r="AA311" s="35">
        <f t="shared" si="744"/>
        <v>0</v>
      </c>
      <c r="AB311" s="35">
        <f t="shared" si="744"/>
        <v>0</v>
      </c>
      <c r="AC311" s="35">
        <f t="shared" si="744"/>
        <v>0</v>
      </c>
      <c r="AD311" s="35">
        <f t="shared" si="744"/>
        <v>0</v>
      </c>
      <c r="AE311" s="35">
        <f t="shared" si="744"/>
        <v>0</v>
      </c>
      <c r="AF311" s="35">
        <f t="shared" si="744"/>
        <v>0</v>
      </c>
      <c r="AG311" s="35">
        <f t="shared" si="744"/>
        <v>0</v>
      </c>
      <c r="AH311" s="35">
        <f t="shared" si="744"/>
        <v>0</v>
      </c>
      <c r="AI311" s="35">
        <f t="shared" si="744"/>
        <v>0</v>
      </c>
      <c r="AJ311" s="35">
        <f t="shared" si="744"/>
        <v>0</v>
      </c>
      <c r="AK311" s="35">
        <f t="shared" si="744"/>
        <v>0</v>
      </c>
      <c r="AL311" s="35">
        <f t="shared" si="744"/>
        <v>0</v>
      </c>
      <c r="AM311" s="35">
        <f t="shared" si="744"/>
        <v>0</v>
      </c>
      <c r="AN311" s="35">
        <f t="shared" si="744"/>
        <v>0</v>
      </c>
      <c r="AO311" s="35">
        <f t="shared" si="744"/>
        <v>0</v>
      </c>
      <c r="AP311" s="35">
        <f t="shared" si="744"/>
        <v>0</v>
      </c>
      <c r="AQ311" s="35">
        <f t="shared" si="744"/>
        <v>0</v>
      </c>
      <c r="AR311" s="35">
        <f t="shared" si="744"/>
        <v>0</v>
      </c>
      <c r="AS311" s="35">
        <f t="shared" si="744"/>
        <v>0</v>
      </c>
      <c r="AT311" s="35">
        <f t="shared" si="744"/>
        <v>0</v>
      </c>
      <c r="AU311" s="35">
        <f t="shared" si="744"/>
        <v>0</v>
      </c>
      <c r="AV311" s="35">
        <f t="shared" si="744"/>
        <v>0</v>
      </c>
      <c r="AW311" s="35">
        <f t="shared" si="744"/>
        <v>0</v>
      </c>
      <c r="AX311" s="35">
        <f t="shared" si="744"/>
        <v>0</v>
      </c>
      <c r="AY311" s="35">
        <f t="shared" si="744"/>
        <v>0</v>
      </c>
      <c r="AZ311" s="35">
        <f t="shared" si="744"/>
        <v>0</v>
      </c>
      <c r="BA311" s="35">
        <f t="shared" si="744"/>
        <v>0</v>
      </c>
      <c r="BB311" s="35"/>
      <c r="BC311" s="35">
        <f t="shared" si="744"/>
        <v>0</v>
      </c>
      <c r="BD311" s="35">
        <f t="shared" si="744"/>
        <v>0</v>
      </c>
      <c r="BE311" s="35">
        <f t="shared" si="744"/>
        <v>0</v>
      </c>
      <c r="BF311" s="35">
        <f t="shared" si="744"/>
        <v>0</v>
      </c>
      <c r="BG311" s="35">
        <f t="shared" si="744"/>
        <v>0</v>
      </c>
      <c r="BH311" s="35">
        <f t="shared" si="744"/>
        <v>0</v>
      </c>
      <c r="BI311" s="35">
        <f t="shared" si="744"/>
        <v>0</v>
      </c>
      <c r="BJ311" s="35">
        <f t="shared" si="744"/>
        <v>0</v>
      </c>
      <c r="BK311" s="35">
        <f t="shared" si="744"/>
        <v>0</v>
      </c>
      <c r="BL311" s="35">
        <f t="shared" si="744"/>
        <v>0</v>
      </c>
      <c r="BM311" s="35">
        <f t="shared" si="744"/>
        <v>0</v>
      </c>
      <c r="BN311" s="35">
        <f t="shared" si="744"/>
        <v>0</v>
      </c>
      <c r="BO311" s="35">
        <f t="shared" si="744"/>
        <v>0</v>
      </c>
      <c r="BP311" s="35">
        <f t="shared" si="744"/>
        <v>0</v>
      </c>
      <c r="BQ311" s="35">
        <f t="shared" si="744"/>
        <v>0</v>
      </c>
      <c r="BR311" s="35">
        <f t="shared" si="744"/>
        <v>0</v>
      </c>
      <c r="BS311" s="35">
        <f t="shared" si="744"/>
        <v>0</v>
      </c>
      <c r="BT311" s="35">
        <f t="shared" si="744"/>
        <v>0</v>
      </c>
      <c r="BU311" s="35">
        <f t="shared" si="744"/>
        <v>0</v>
      </c>
      <c r="BV311" s="35">
        <f t="shared" si="744"/>
        <v>0</v>
      </c>
      <c r="BW311" s="35">
        <f t="shared" si="744"/>
        <v>0</v>
      </c>
      <c r="BX311" s="35">
        <f t="shared" si="744"/>
        <v>0</v>
      </c>
      <c r="BY311" s="35">
        <f t="shared" ref="BY311:CZ312" si="745">SUM(BY312)</f>
        <v>0</v>
      </c>
      <c r="BZ311" s="35">
        <f t="shared" si="745"/>
        <v>0</v>
      </c>
      <c r="CA311" s="35">
        <f t="shared" si="745"/>
        <v>0</v>
      </c>
      <c r="CB311" s="35">
        <f t="shared" si="745"/>
        <v>0</v>
      </c>
      <c r="CC311" s="35">
        <f t="shared" si="745"/>
        <v>0</v>
      </c>
      <c r="CD311" s="35">
        <f t="shared" si="745"/>
        <v>0</v>
      </c>
      <c r="CE311" s="35">
        <f t="shared" si="745"/>
        <v>0</v>
      </c>
      <c r="CF311" s="35">
        <f t="shared" si="745"/>
        <v>0</v>
      </c>
      <c r="CG311" s="35">
        <f t="shared" si="745"/>
        <v>0</v>
      </c>
      <c r="CH311" s="35">
        <f t="shared" si="745"/>
        <v>0</v>
      </c>
      <c r="CI311" s="35">
        <f t="shared" si="745"/>
        <v>0</v>
      </c>
      <c r="CJ311" s="35">
        <f t="shared" si="745"/>
        <v>0</v>
      </c>
      <c r="CK311" s="35">
        <f t="shared" si="745"/>
        <v>0</v>
      </c>
      <c r="CL311" s="35">
        <f t="shared" si="745"/>
        <v>0</v>
      </c>
      <c r="CM311" s="35">
        <f t="shared" si="745"/>
        <v>0</v>
      </c>
      <c r="CN311" s="35">
        <f t="shared" si="745"/>
        <v>0</v>
      </c>
      <c r="CO311" s="35">
        <f t="shared" si="745"/>
        <v>0</v>
      </c>
      <c r="CP311" s="35">
        <f t="shared" si="745"/>
        <v>0</v>
      </c>
      <c r="CQ311" s="35">
        <f t="shared" si="745"/>
        <v>0</v>
      </c>
      <c r="CR311" s="35"/>
      <c r="CS311" s="35"/>
      <c r="CT311" s="35">
        <f t="shared" si="745"/>
        <v>0</v>
      </c>
      <c r="CU311" s="35">
        <f t="shared" si="745"/>
        <v>0</v>
      </c>
      <c r="CV311" s="35">
        <f t="shared" si="745"/>
        <v>0</v>
      </c>
      <c r="CW311" s="35">
        <f t="shared" si="745"/>
        <v>296053873</v>
      </c>
      <c r="CX311" s="35">
        <f t="shared" si="745"/>
        <v>296053873</v>
      </c>
      <c r="CY311" s="35">
        <f t="shared" si="745"/>
        <v>0</v>
      </c>
      <c r="CZ311" s="36">
        <f t="shared" si="745"/>
        <v>296053873</v>
      </c>
    </row>
    <row r="312" spans="1:218" s="63" customFormat="1" ht="31.2" x14ac:dyDescent="0.3">
      <c r="A312" s="20"/>
      <c r="B312" s="21" t="s">
        <v>392</v>
      </c>
      <c r="C312" s="21" t="s">
        <v>1</v>
      </c>
      <c r="D312" s="22" t="s">
        <v>393</v>
      </c>
      <c r="E312" s="23">
        <f>SUM(E313)</f>
        <v>296053873</v>
      </c>
      <c r="F312" s="24">
        <f t="shared" si="744"/>
        <v>0</v>
      </c>
      <c r="G312" s="24">
        <f t="shared" si="744"/>
        <v>0</v>
      </c>
      <c r="H312" s="24">
        <f t="shared" si="744"/>
        <v>0</v>
      </c>
      <c r="I312" s="24">
        <f t="shared" si="744"/>
        <v>0</v>
      </c>
      <c r="J312" s="24">
        <f t="shared" si="744"/>
        <v>0</v>
      </c>
      <c r="K312" s="24">
        <f t="shared" si="744"/>
        <v>0</v>
      </c>
      <c r="L312" s="24">
        <f t="shared" si="744"/>
        <v>0</v>
      </c>
      <c r="M312" s="24">
        <f t="shared" si="744"/>
        <v>0</v>
      </c>
      <c r="N312" s="24">
        <f t="shared" si="744"/>
        <v>0</v>
      </c>
      <c r="O312" s="24">
        <f t="shared" si="744"/>
        <v>0</v>
      </c>
      <c r="P312" s="24">
        <f t="shared" si="744"/>
        <v>0</v>
      </c>
      <c r="Q312" s="24">
        <f t="shared" si="744"/>
        <v>0</v>
      </c>
      <c r="R312" s="24">
        <f t="shared" si="744"/>
        <v>0</v>
      </c>
      <c r="S312" s="24">
        <f t="shared" si="744"/>
        <v>0</v>
      </c>
      <c r="T312" s="24">
        <f t="shared" si="744"/>
        <v>0</v>
      </c>
      <c r="U312" s="24">
        <f t="shared" si="744"/>
        <v>0</v>
      </c>
      <c r="V312" s="24">
        <f t="shared" si="744"/>
        <v>0</v>
      </c>
      <c r="W312" s="24">
        <f t="shared" si="744"/>
        <v>0</v>
      </c>
      <c r="X312" s="24">
        <f t="shared" si="744"/>
        <v>0</v>
      </c>
      <c r="Y312" s="24">
        <f t="shared" si="744"/>
        <v>0</v>
      </c>
      <c r="Z312" s="24">
        <f t="shared" si="744"/>
        <v>0</v>
      </c>
      <c r="AA312" s="24">
        <f t="shared" si="744"/>
        <v>0</v>
      </c>
      <c r="AB312" s="24">
        <f t="shared" si="744"/>
        <v>0</v>
      </c>
      <c r="AC312" s="24">
        <f t="shared" si="744"/>
        <v>0</v>
      </c>
      <c r="AD312" s="24">
        <f t="shared" si="744"/>
        <v>0</v>
      </c>
      <c r="AE312" s="24">
        <f t="shared" si="744"/>
        <v>0</v>
      </c>
      <c r="AF312" s="24">
        <f t="shared" si="744"/>
        <v>0</v>
      </c>
      <c r="AG312" s="24">
        <f t="shared" si="744"/>
        <v>0</v>
      </c>
      <c r="AH312" s="24">
        <f t="shared" si="744"/>
        <v>0</v>
      </c>
      <c r="AI312" s="24">
        <f t="shared" si="744"/>
        <v>0</v>
      </c>
      <c r="AJ312" s="24">
        <f t="shared" si="744"/>
        <v>0</v>
      </c>
      <c r="AK312" s="24">
        <f t="shared" si="744"/>
        <v>0</v>
      </c>
      <c r="AL312" s="24">
        <f t="shared" si="744"/>
        <v>0</v>
      </c>
      <c r="AM312" s="24">
        <f t="shared" si="744"/>
        <v>0</v>
      </c>
      <c r="AN312" s="24">
        <f t="shared" si="744"/>
        <v>0</v>
      </c>
      <c r="AO312" s="24">
        <f t="shared" si="744"/>
        <v>0</v>
      </c>
      <c r="AP312" s="24">
        <f t="shared" si="744"/>
        <v>0</v>
      </c>
      <c r="AQ312" s="24">
        <f t="shared" si="744"/>
        <v>0</v>
      </c>
      <c r="AR312" s="24">
        <f t="shared" si="744"/>
        <v>0</v>
      </c>
      <c r="AS312" s="24">
        <f t="shared" si="744"/>
        <v>0</v>
      </c>
      <c r="AT312" s="24">
        <f t="shared" si="744"/>
        <v>0</v>
      </c>
      <c r="AU312" s="24">
        <f t="shared" si="744"/>
        <v>0</v>
      </c>
      <c r="AV312" s="24">
        <f t="shared" si="744"/>
        <v>0</v>
      </c>
      <c r="AW312" s="24">
        <f t="shared" si="744"/>
        <v>0</v>
      </c>
      <c r="AX312" s="24">
        <f t="shared" si="744"/>
        <v>0</v>
      </c>
      <c r="AY312" s="24">
        <f t="shared" si="744"/>
        <v>0</v>
      </c>
      <c r="AZ312" s="24">
        <f t="shared" si="744"/>
        <v>0</v>
      </c>
      <c r="BA312" s="24">
        <f t="shared" si="744"/>
        <v>0</v>
      </c>
      <c r="BB312" s="24"/>
      <c r="BC312" s="24">
        <f t="shared" si="744"/>
        <v>0</v>
      </c>
      <c r="BD312" s="24">
        <f t="shared" si="744"/>
        <v>0</v>
      </c>
      <c r="BE312" s="24">
        <f t="shared" si="744"/>
        <v>0</v>
      </c>
      <c r="BF312" s="24">
        <f t="shared" si="744"/>
        <v>0</v>
      </c>
      <c r="BG312" s="24">
        <f t="shared" si="744"/>
        <v>0</v>
      </c>
      <c r="BH312" s="24">
        <f t="shared" si="744"/>
        <v>0</v>
      </c>
      <c r="BI312" s="24">
        <f t="shared" si="744"/>
        <v>0</v>
      </c>
      <c r="BJ312" s="24">
        <f t="shared" si="744"/>
        <v>0</v>
      </c>
      <c r="BK312" s="24">
        <f t="shared" si="744"/>
        <v>0</v>
      </c>
      <c r="BL312" s="24">
        <f t="shared" si="744"/>
        <v>0</v>
      </c>
      <c r="BM312" s="24">
        <f t="shared" si="744"/>
        <v>0</v>
      </c>
      <c r="BN312" s="24">
        <f t="shared" si="744"/>
        <v>0</v>
      </c>
      <c r="BO312" s="24">
        <f t="shared" si="744"/>
        <v>0</v>
      </c>
      <c r="BP312" s="24">
        <f t="shared" si="744"/>
        <v>0</v>
      </c>
      <c r="BQ312" s="24">
        <f t="shared" si="744"/>
        <v>0</v>
      </c>
      <c r="BR312" s="24">
        <f t="shared" si="744"/>
        <v>0</v>
      </c>
      <c r="BS312" s="24">
        <f t="shared" si="744"/>
        <v>0</v>
      </c>
      <c r="BT312" s="24">
        <f t="shared" si="744"/>
        <v>0</v>
      </c>
      <c r="BU312" s="24">
        <f t="shared" si="744"/>
        <v>0</v>
      </c>
      <c r="BV312" s="24">
        <f t="shared" si="744"/>
        <v>0</v>
      </c>
      <c r="BW312" s="24">
        <f t="shared" si="744"/>
        <v>0</v>
      </c>
      <c r="BX312" s="24">
        <f t="shared" si="744"/>
        <v>0</v>
      </c>
      <c r="BY312" s="24">
        <f t="shared" si="745"/>
        <v>0</v>
      </c>
      <c r="BZ312" s="24">
        <f t="shared" si="745"/>
        <v>0</v>
      </c>
      <c r="CA312" s="24">
        <f t="shared" si="745"/>
        <v>0</v>
      </c>
      <c r="CB312" s="24">
        <f t="shared" si="745"/>
        <v>0</v>
      </c>
      <c r="CC312" s="24">
        <f t="shared" si="745"/>
        <v>0</v>
      </c>
      <c r="CD312" s="24">
        <f t="shared" si="745"/>
        <v>0</v>
      </c>
      <c r="CE312" s="24">
        <f t="shared" si="745"/>
        <v>0</v>
      </c>
      <c r="CF312" s="24">
        <f t="shared" si="745"/>
        <v>0</v>
      </c>
      <c r="CG312" s="24">
        <f t="shared" si="745"/>
        <v>0</v>
      </c>
      <c r="CH312" s="24">
        <f t="shared" si="745"/>
        <v>0</v>
      </c>
      <c r="CI312" s="24">
        <f t="shared" si="745"/>
        <v>0</v>
      </c>
      <c r="CJ312" s="24">
        <f t="shared" si="745"/>
        <v>0</v>
      </c>
      <c r="CK312" s="24">
        <f t="shared" si="745"/>
        <v>0</v>
      </c>
      <c r="CL312" s="24">
        <f t="shared" si="745"/>
        <v>0</v>
      </c>
      <c r="CM312" s="24">
        <f t="shared" si="745"/>
        <v>0</v>
      </c>
      <c r="CN312" s="24">
        <f t="shared" si="745"/>
        <v>0</v>
      </c>
      <c r="CO312" s="24">
        <f t="shared" si="745"/>
        <v>0</v>
      </c>
      <c r="CP312" s="24">
        <f t="shared" si="745"/>
        <v>0</v>
      </c>
      <c r="CQ312" s="24">
        <f t="shared" si="745"/>
        <v>0</v>
      </c>
      <c r="CR312" s="24"/>
      <c r="CS312" s="24"/>
      <c r="CT312" s="24">
        <f t="shared" si="745"/>
        <v>0</v>
      </c>
      <c r="CU312" s="24">
        <f t="shared" si="745"/>
        <v>0</v>
      </c>
      <c r="CV312" s="24">
        <f t="shared" si="745"/>
        <v>0</v>
      </c>
      <c r="CW312" s="24">
        <f t="shared" si="745"/>
        <v>296053873</v>
      </c>
      <c r="CX312" s="24">
        <f t="shared" si="745"/>
        <v>296053873</v>
      </c>
      <c r="CY312" s="24">
        <f t="shared" si="745"/>
        <v>0</v>
      </c>
      <c r="CZ312" s="25">
        <f t="shared" si="745"/>
        <v>296053873</v>
      </c>
      <c r="HJ312" s="61"/>
    </row>
    <row r="313" spans="1:218" s="63" customFormat="1" ht="15.6" x14ac:dyDescent="0.3">
      <c r="A313" s="26" t="s">
        <v>1</v>
      </c>
      <c r="B313" s="27" t="s">
        <v>1</v>
      </c>
      <c r="C313" s="27" t="s">
        <v>105</v>
      </c>
      <c r="D313" s="28" t="s">
        <v>394</v>
      </c>
      <c r="E313" s="23">
        <f>SUM(F313+CD313+CW313)</f>
        <v>296053873</v>
      </c>
      <c r="F313" s="24">
        <f>SUM(G313+BD313)</f>
        <v>0</v>
      </c>
      <c r="G313" s="24">
        <f>SUM(H313+I313+J313+Q313+T313+U313+V313+AF313+AE313)</f>
        <v>0</v>
      </c>
      <c r="H313" s="24">
        <v>0</v>
      </c>
      <c r="I313" s="24">
        <v>0</v>
      </c>
      <c r="J313" s="24">
        <f t="shared" si="504"/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f t="shared" si="505"/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f t="shared" ref="V313" si="746">SUM(W313:AD313)</f>
        <v>0</v>
      </c>
      <c r="W313" s="24">
        <v>0</v>
      </c>
      <c r="X313" s="24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f>SUM(AG313:BC313)</f>
        <v>0</v>
      </c>
      <c r="AG313" s="24">
        <v>0</v>
      </c>
      <c r="AH313" s="24">
        <v>0</v>
      </c>
      <c r="AI313" s="24">
        <v>0</v>
      </c>
      <c r="AJ313" s="24">
        <v>0</v>
      </c>
      <c r="AK313" s="24">
        <v>0</v>
      </c>
      <c r="AL313" s="24">
        <v>0</v>
      </c>
      <c r="AM313" s="24">
        <v>0</v>
      </c>
      <c r="AN313" s="24">
        <v>0</v>
      </c>
      <c r="AO313" s="24">
        <v>0</v>
      </c>
      <c r="AP313" s="24">
        <v>0</v>
      </c>
      <c r="AQ313" s="24">
        <v>0</v>
      </c>
      <c r="AR313" s="24">
        <v>0</v>
      </c>
      <c r="AS313" s="24">
        <v>0</v>
      </c>
      <c r="AT313" s="24">
        <v>0</v>
      </c>
      <c r="AU313" s="24">
        <v>0</v>
      </c>
      <c r="AV313" s="24">
        <v>0</v>
      </c>
      <c r="AW313" s="24">
        <v>0</v>
      </c>
      <c r="AX313" s="24">
        <v>0</v>
      </c>
      <c r="AY313" s="24">
        <v>0</v>
      </c>
      <c r="AZ313" s="24">
        <v>0</v>
      </c>
      <c r="BA313" s="24">
        <v>0</v>
      </c>
      <c r="BB313" s="24"/>
      <c r="BC313" s="24">
        <v>0</v>
      </c>
      <c r="BD313" s="24">
        <f>SUM(BE313+BI313+BM313+BO313+BR313)</f>
        <v>0</v>
      </c>
      <c r="BE313" s="24">
        <f>SUM(BF313:BH313)</f>
        <v>0</v>
      </c>
      <c r="BF313" s="24">
        <v>0</v>
      </c>
      <c r="BG313" s="24">
        <v>0</v>
      </c>
      <c r="BH313" s="24">
        <v>0</v>
      </c>
      <c r="BI313" s="24">
        <f>SUM(BL313:BL313)</f>
        <v>0</v>
      </c>
      <c r="BJ313" s="24">
        <v>0</v>
      </c>
      <c r="BK313" s="24">
        <v>0</v>
      </c>
      <c r="BL313" s="24">
        <v>0</v>
      </c>
      <c r="BM313" s="24">
        <v>0</v>
      </c>
      <c r="BN313" s="24">
        <v>0</v>
      </c>
      <c r="BO313" s="24">
        <f t="shared" si="507"/>
        <v>0</v>
      </c>
      <c r="BP313" s="24">
        <v>0</v>
      </c>
      <c r="BQ313" s="24">
        <v>0</v>
      </c>
      <c r="BR313" s="24">
        <f>SUM(BS313:CC313)</f>
        <v>0</v>
      </c>
      <c r="BS313" s="24">
        <v>0</v>
      </c>
      <c r="BT313" s="24">
        <v>0</v>
      </c>
      <c r="BU313" s="24">
        <v>0</v>
      </c>
      <c r="BV313" s="24">
        <v>0</v>
      </c>
      <c r="BW313" s="24">
        <v>0</v>
      </c>
      <c r="BX313" s="24">
        <v>0</v>
      </c>
      <c r="BY313" s="24">
        <v>0</v>
      </c>
      <c r="BZ313" s="24">
        <v>0</v>
      </c>
      <c r="CA313" s="24">
        <v>0</v>
      </c>
      <c r="CB313" s="24">
        <v>0</v>
      </c>
      <c r="CC313" s="24">
        <v>0</v>
      </c>
      <c r="CD313" s="24">
        <f>SUM(CE313+CV313)</f>
        <v>0</v>
      </c>
      <c r="CE313" s="24">
        <f>SUM(CF313+CI313+CN313)</f>
        <v>0</v>
      </c>
      <c r="CF313" s="24">
        <f t="shared" si="508"/>
        <v>0</v>
      </c>
      <c r="CG313" s="24">
        <v>0</v>
      </c>
      <c r="CH313" s="24">
        <v>0</v>
      </c>
      <c r="CI313" s="24">
        <f>SUM(CJ313:CM313)</f>
        <v>0</v>
      </c>
      <c r="CJ313" s="24">
        <v>0</v>
      </c>
      <c r="CK313" s="24">
        <v>0</v>
      </c>
      <c r="CL313" s="24">
        <v>0</v>
      </c>
      <c r="CM313" s="24">
        <v>0</v>
      </c>
      <c r="CN313" s="24">
        <f>SUM(CO313:CS313)</f>
        <v>0</v>
      </c>
      <c r="CO313" s="24">
        <v>0</v>
      </c>
      <c r="CP313" s="24">
        <v>0</v>
      </c>
      <c r="CQ313" s="24">
        <v>0</v>
      </c>
      <c r="CR313" s="24"/>
      <c r="CS313" s="24"/>
      <c r="CT313" s="24">
        <v>0</v>
      </c>
      <c r="CU313" s="24">
        <v>0</v>
      </c>
      <c r="CV313" s="24">
        <v>0</v>
      </c>
      <c r="CW313" s="24">
        <f t="shared" si="509"/>
        <v>296053873</v>
      </c>
      <c r="CX313" s="24">
        <f t="shared" si="510"/>
        <v>296053873</v>
      </c>
      <c r="CY313" s="24">
        <v>0</v>
      </c>
      <c r="CZ313" s="25">
        <f>85000000+96553873-13500000+128000000</f>
        <v>296053873</v>
      </c>
    </row>
    <row r="314" spans="1:218" s="63" customFormat="1" ht="15.6" x14ac:dyDescent="0.3">
      <c r="A314" s="31" t="s">
        <v>395</v>
      </c>
      <c r="B314" s="32" t="s">
        <v>1</v>
      </c>
      <c r="C314" s="32" t="s">
        <v>1</v>
      </c>
      <c r="D314" s="33" t="s">
        <v>396</v>
      </c>
      <c r="E314" s="34">
        <f t="shared" ref="E314:AJ314" si="747">SUM(E326+E336+E328+E330+E332+E334+E338+E315)</f>
        <v>653016566</v>
      </c>
      <c r="F314" s="35">
        <f t="shared" si="747"/>
        <v>416530707</v>
      </c>
      <c r="G314" s="35">
        <f t="shared" si="747"/>
        <v>94450017</v>
      </c>
      <c r="H314" s="35">
        <f t="shared" si="747"/>
        <v>0</v>
      </c>
      <c r="I314" s="35">
        <f t="shared" si="747"/>
        <v>0</v>
      </c>
      <c r="J314" s="35">
        <f t="shared" si="747"/>
        <v>18059</v>
      </c>
      <c r="K314" s="35">
        <f t="shared" si="747"/>
        <v>0</v>
      </c>
      <c r="L314" s="35">
        <f t="shared" si="747"/>
        <v>0</v>
      </c>
      <c r="M314" s="35">
        <f t="shared" si="747"/>
        <v>0</v>
      </c>
      <c r="N314" s="35">
        <f t="shared" si="747"/>
        <v>0</v>
      </c>
      <c r="O314" s="35">
        <f t="shared" si="747"/>
        <v>3</v>
      </c>
      <c r="P314" s="35">
        <f t="shared" si="747"/>
        <v>18056</v>
      </c>
      <c r="Q314" s="35">
        <f t="shared" si="747"/>
        <v>0</v>
      </c>
      <c r="R314" s="35">
        <f t="shared" si="747"/>
        <v>0</v>
      </c>
      <c r="S314" s="35">
        <f t="shared" si="747"/>
        <v>0</v>
      </c>
      <c r="T314" s="35">
        <f t="shared" si="747"/>
        <v>0</v>
      </c>
      <c r="U314" s="35">
        <f t="shared" si="747"/>
        <v>0</v>
      </c>
      <c r="V314" s="35">
        <f t="shared" si="747"/>
        <v>0</v>
      </c>
      <c r="W314" s="35">
        <f t="shared" si="747"/>
        <v>0</v>
      </c>
      <c r="X314" s="35">
        <f t="shared" si="747"/>
        <v>0</v>
      </c>
      <c r="Y314" s="35">
        <f t="shared" si="747"/>
        <v>0</v>
      </c>
      <c r="Z314" s="35">
        <f t="shared" si="747"/>
        <v>0</v>
      </c>
      <c r="AA314" s="35">
        <f t="shared" si="747"/>
        <v>0</v>
      </c>
      <c r="AB314" s="35">
        <f t="shared" si="747"/>
        <v>0</v>
      </c>
      <c r="AC314" s="35">
        <f t="shared" si="747"/>
        <v>0</v>
      </c>
      <c r="AD314" s="35">
        <f t="shared" si="747"/>
        <v>0</v>
      </c>
      <c r="AE314" s="35">
        <f t="shared" si="747"/>
        <v>0</v>
      </c>
      <c r="AF314" s="35">
        <f t="shared" si="747"/>
        <v>94431958</v>
      </c>
      <c r="AG314" s="35">
        <f t="shared" si="747"/>
        <v>0</v>
      </c>
      <c r="AH314" s="35">
        <f t="shared" si="747"/>
        <v>0</v>
      </c>
      <c r="AI314" s="35">
        <f t="shared" si="747"/>
        <v>892054</v>
      </c>
      <c r="AJ314" s="35">
        <f t="shared" si="747"/>
        <v>0</v>
      </c>
      <c r="AK314" s="35">
        <f t="shared" ref="AK314:BA314" si="748">SUM(AK326+AK336+AK328+AK330+AK332+AK334+AK338+AK315)</f>
        <v>0</v>
      </c>
      <c r="AL314" s="35">
        <f t="shared" si="748"/>
        <v>0</v>
      </c>
      <c r="AM314" s="35">
        <f t="shared" si="748"/>
        <v>0</v>
      </c>
      <c r="AN314" s="35">
        <f t="shared" si="748"/>
        <v>0</v>
      </c>
      <c r="AO314" s="35">
        <f t="shared" si="748"/>
        <v>0</v>
      </c>
      <c r="AP314" s="35">
        <f t="shared" si="748"/>
        <v>0</v>
      </c>
      <c r="AQ314" s="35">
        <f t="shared" si="748"/>
        <v>0</v>
      </c>
      <c r="AR314" s="35">
        <f t="shared" si="748"/>
        <v>0</v>
      </c>
      <c r="AS314" s="35">
        <f t="shared" si="748"/>
        <v>0</v>
      </c>
      <c r="AT314" s="35">
        <f t="shared" si="748"/>
        <v>0</v>
      </c>
      <c r="AU314" s="35">
        <f t="shared" si="748"/>
        <v>0</v>
      </c>
      <c r="AV314" s="35">
        <f t="shared" si="748"/>
        <v>0</v>
      </c>
      <c r="AW314" s="35">
        <f t="shared" si="748"/>
        <v>0</v>
      </c>
      <c r="AX314" s="35">
        <f t="shared" si="748"/>
        <v>0</v>
      </c>
      <c r="AY314" s="35">
        <f t="shared" si="748"/>
        <v>0</v>
      </c>
      <c r="AZ314" s="35">
        <f t="shared" si="748"/>
        <v>0</v>
      </c>
      <c r="BA314" s="35">
        <f t="shared" si="748"/>
        <v>0</v>
      </c>
      <c r="BB314" s="35"/>
      <c r="BC314" s="35">
        <f t="shared" ref="BC314:CH314" si="749">SUM(BC326+BC336+BC328+BC330+BC332+BC334+BC338+BC315)</f>
        <v>93539904</v>
      </c>
      <c r="BD314" s="35">
        <f t="shared" si="749"/>
        <v>322080690</v>
      </c>
      <c r="BE314" s="35">
        <f t="shared" si="749"/>
        <v>28420384</v>
      </c>
      <c r="BF314" s="35">
        <f t="shared" si="749"/>
        <v>28420384</v>
      </c>
      <c r="BG314" s="35">
        <f t="shared" si="749"/>
        <v>0</v>
      </c>
      <c r="BH314" s="35">
        <f t="shared" si="749"/>
        <v>0</v>
      </c>
      <c r="BI314" s="35">
        <f t="shared" si="749"/>
        <v>10206195</v>
      </c>
      <c r="BJ314" s="35">
        <f t="shared" si="749"/>
        <v>660116</v>
      </c>
      <c r="BK314" s="35">
        <f t="shared" si="749"/>
        <v>0</v>
      </c>
      <c r="BL314" s="35">
        <f t="shared" si="749"/>
        <v>9546079</v>
      </c>
      <c r="BM314" s="35">
        <f t="shared" si="749"/>
        <v>222586590</v>
      </c>
      <c r="BN314" s="35">
        <f t="shared" si="749"/>
        <v>0</v>
      </c>
      <c r="BO314" s="35">
        <f t="shared" si="749"/>
        <v>0</v>
      </c>
      <c r="BP314" s="35">
        <f t="shared" si="749"/>
        <v>0</v>
      </c>
      <c r="BQ314" s="35">
        <f t="shared" si="749"/>
        <v>0</v>
      </c>
      <c r="BR314" s="35">
        <f t="shared" si="749"/>
        <v>60867521</v>
      </c>
      <c r="BS314" s="35">
        <f t="shared" si="749"/>
        <v>0</v>
      </c>
      <c r="BT314" s="35">
        <f t="shared" si="749"/>
        <v>0</v>
      </c>
      <c r="BU314" s="35">
        <f t="shared" si="749"/>
        <v>0</v>
      </c>
      <c r="BV314" s="35">
        <f t="shared" si="749"/>
        <v>0</v>
      </c>
      <c r="BW314" s="35">
        <f t="shared" si="749"/>
        <v>0</v>
      </c>
      <c r="BX314" s="35">
        <f t="shared" si="749"/>
        <v>0</v>
      </c>
      <c r="BY314" s="35">
        <f t="shared" si="749"/>
        <v>0</v>
      </c>
      <c r="BZ314" s="35">
        <f t="shared" si="749"/>
        <v>0</v>
      </c>
      <c r="CA314" s="35">
        <f t="shared" si="749"/>
        <v>0</v>
      </c>
      <c r="CB314" s="35">
        <f t="shared" si="749"/>
        <v>0</v>
      </c>
      <c r="CC314" s="35">
        <f t="shared" si="749"/>
        <v>60867521</v>
      </c>
      <c r="CD314" s="35">
        <f t="shared" si="749"/>
        <v>236485859</v>
      </c>
      <c r="CE314" s="35">
        <f t="shared" si="749"/>
        <v>236485859</v>
      </c>
      <c r="CF314" s="35">
        <f t="shared" si="749"/>
        <v>13090829</v>
      </c>
      <c r="CG314" s="35">
        <f t="shared" si="749"/>
        <v>0</v>
      </c>
      <c r="CH314" s="35">
        <f t="shared" si="749"/>
        <v>13090829</v>
      </c>
      <c r="CI314" s="35">
        <f t="shared" ref="CI314:CZ314" si="750">SUM(CI326+CI336+CI328+CI330+CI332+CI334+CI338+CI315)</f>
        <v>111121345</v>
      </c>
      <c r="CJ314" s="35">
        <f t="shared" si="750"/>
        <v>14710569</v>
      </c>
      <c r="CK314" s="35">
        <f t="shared" si="750"/>
        <v>67261584</v>
      </c>
      <c r="CL314" s="35">
        <f t="shared" si="750"/>
        <v>26008195</v>
      </c>
      <c r="CM314" s="35">
        <f t="shared" si="750"/>
        <v>3140997</v>
      </c>
      <c r="CN314" s="35">
        <f t="shared" si="750"/>
        <v>112273685</v>
      </c>
      <c r="CO314" s="35">
        <f t="shared" si="750"/>
        <v>1000000</v>
      </c>
      <c r="CP314" s="35">
        <f t="shared" si="750"/>
        <v>97547207</v>
      </c>
      <c r="CQ314" s="35">
        <f t="shared" si="750"/>
        <v>11726478</v>
      </c>
      <c r="CR314" s="35">
        <f t="shared" si="750"/>
        <v>0</v>
      </c>
      <c r="CS314" s="35">
        <f t="shared" si="750"/>
        <v>2000000</v>
      </c>
      <c r="CT314" s="35">
        <f t="shared" si="750"/>
        <v>0</v>
      </c>
      <c r="CU314" s="35">
        <f t="shared" si="750"/>
        <v>0</v>
      </c>
      <c r="CV314" s="35">
        <f t="shared" si="750"/>
        <v>0</v>
      </c>
      <c r="CW314" s="35">
        <f t="shared" si="750"/>
        <v>0</v>
      </c>
      <c r="CX314" s="35">
        <f t="shared" si="750"/>
        <v>0</v>
      </c>
      <c r="CY314" s="35">
        <f t="shared" si="750"/>
        <v>0</v>
      </c>
      <c r="CZ314" s="36">
        <f t="shared" si="750"/>
        <v>0</v>
      </c>
    </row>
    <row r="315" spans="1:218" s="63" customFormat="1" ht="15.6" x14ac:dyDescent="0.3">
      <c r="A315" s="20"/>
      <c r="B315" s="21" t="s">
        <v>397</v>
      </c>
      <c r="C315" s="21" t="s">
        <v>1</v>
      </c>
      <c r="D315" s="37" t="s">
        <v>398</v>
      </c>
      <c r="E315" s="23">
        <f t="shared" ref="E315:AJ315" si="751">SUM(E316:E325)</f>
        <v>227938856</v>
      </c>
      <c r="F315" s="24">
        <f t="shared" si="751"/>
        <v>227938856</v>
      </c>
      <c r="G315" s="24">
        <f t="shared" si="751"/>
        <v>4692150</v>
      </c>
      <c r="H315" s="24">
        <f t="shared" si="751"/>
        <v>0</v>
      </c>
      <c r="I315" s="24">
        <f t="shared" si="751"/>
        <v>0</v>
      </c>
      <c r="J315" s="24">
        <f t="shared" si="751"/>
        <v>0</v>
      </c>
      <c r="K315" s="24">
        <f t="shared" si="751"/>
        <v>0</v>
      </c>
      <c r="L315" s="24">
        <f t="shared" si="751"/>
        <v>0</v>
      </c>
      <c r="M315" s="24">
        <f t="shared" si="751"/>
        <v>0</v>
      </c>
      <c r="N315" s="24">
        <f t="shared" si="751"/>
        <v>0</v>
      </c>
      <c r="O315" s="24">
        <f t="shared" si="751"/>
        <v>0</v>
      </c>
      <c r="P315" s="24">
        <f t="shared" si="751"/>
        <v>0</v>
      </c>
      <c r="Q315" s="24">
        <f t="shared" si="751"/>
        <v>0</v>
      </c>
      <c r="R315" s="24">
        <f t="shared" si="751"/>
        <v>0</v>
      </c>
      <c r="S315" s="24">
        <f t="shared" si="751"/>
        <v>0</v>
      </c>
      <c r="T315" s="24">
        <f t="shared" si="751"/>
        <v>0</v>
      </c>
      <c r="U315" s="24">
        <f t="shared" si="751"/>
        <v>0</v>
      </c>
      <c r="V315" s="24">
        <f t="shared" si="751"/>
        <v>0</v>
      </c>
      <c r="W315" s="24">
        <f t="shared" si="751"/>
        <v>0</v>
      </c>
      <c r="X315" s="24">
        <f t="shared" si="751"/>
        <v>0</v>
      </c>
      <c r="Y315" s="24">
        <f t="shared" si="751"/>
        <v>0</v>
      </c>
      <c r="Z315" s="24">
        <f t="shared" si="751"/>
        <v>0</v>
      </c>
      <c r="AA315" s="24">
        <f t="shared" si="751"/>
        <v>0</v>
      </c>
      <c r="AB315" s="24">
        <f t="shared" si="751"/>
        <v>0</v>
      </c>
      <c r="AC315" s="24">
        <f t="shared" si="751"/>
        <v>0</v>
      </c>
      <c r="AD315" s="24">
        <f t="shared" si="751"/>
        <v>0</v>
      </c>
      <c r="AE315" s="24">
        <f t="shared" si="751"/>
        <v>0</v>
      </c>
      <c r="AF315" s="24">
        <f t="shared" si="751"/>
        <v>4692150</v>
      </c>
      <c r="AG315" s="24">
        <f t="shared" si="751"/>
        <v>0</v>
      </c>
      <c r="AH315" s="24">
        <f t="shared" si="751"/>
        <v>0</v>
      </c>
      <c r="AI315" s="24">
        <f t="shared" si="751"/>
        <v>0</v>
      </c>
      <c r="AJ315" s="24">
        <f t="shared" si="751"/>
        <v>0</v>
      </c>
      <c r="AK315" s="24">
        <f t="shared" ref="AK315:BA315" si="752">SUM(AK316:AK325)</f>
        <v>0</v>
      </c>
      <c r="AL315" s="24">
        <f t="shared" si="752"/>
        <v>0</v>
      </c>
      <c r="AM315" s="24">
        <f t="shared" si="752"/>
        <v>0</v>
      </c>
      <c r="AN315" s="24">
        <f t="shared" si="752"/>
        <v>0</v>
      </c>
      <c r="AO315" s="24">
        <f t="shared" si="752"/>
        <v>0</v>
      </c>
      <c r="AP315" s="24">
        <f t="shared" si="752"/>
        <v>0</v>
      </c>
      <c r="AQ315" s="24">
        <f t="shared" si="752"/>
        <v>0</v>
      </c>
      <c r="AR315" s="24">
        <f t="shared" si="752"/>
        <v>0</v>
      </c>
      <c r="AS315" s="24">
        <f t="shared" si="752"/>
        <v>0</v>
      </c>
      <c r="AT315" s="24">
        <f t="shared" si="752"/>
        <v>0</v>
      </c>
      <c r="AU315" s="24">
        <f t="shared" si="752"/>
        <v>0</v>
      </c>
      <c r="AV315" s="24">
        <f t="shared" si="752"/>
        <v>0</v>
      </c>
      <c r="AW315" s="24">
        <f t="shared" si="752"/>
        <v>0</v>
      </c>
      <c r="AX315" s="24">
        <f t="shared" si="752"/>
        <v>0</v>
      </c>
      <c r="AY315" s="24">
        <f t="shared" si="752"/>
        <v>0</v>
      </c>
      <c r="AZ315" s="24">
        <f t="shared" si="752"/>
        <v>0</v>
      </c>
      <c r="BA315" s="24">
        <f t="shared" si="752"/>
        <v>0</v>
      </c>
      <c r="BB315" s="24"/>
      <c r="BC315" s="24">
        <f t="shared" ref="BC315:CH315" si="753">SUM(BC316:BC325)</f>
        <v>4692150</v>
      </c>
      <c r="BD315" s="24">
        <f t="shared" si="753"/>
        <v>223246706</v>
      </c>
      <c r="BE315" s="24">
        <f t="shared" si="753"/>
        <v>0</v>
      </c>
      <c r="BF315" s="24">
        <f t="shared" si="753"/>
        <v>0</v>
      </c>
      <c r="BG315" s="24">
        <f t="shared" si="753"/>
        <v>0</v>
      </c>
      <c r="BH315" s="24">
        <f t="shared" si="753"/>
        <v>0</v>
      </c>
      <c r="BI315" s="24">
        <f t="shared" si="753"/>
        <v>660116</v>
      </c>
      <c r="BJ315" s="24">
        <f t="shared" si="753"/>
        <v>660116</v>
      </c>
      <c r="BK315" s="24">
        <f t="shared" si="753"/>
        <v>0</v>
      </c>
      <c r="BL315" s="24">
        <f t="shared" si="753"/>
        <v>0</v>
      </c>
      <c r="BM315" s="24">
        <f t="shared" si="753"/>
        <v>222586590</v>
      </c>
      <c r="BN315" s="24">
        <f t="shared" si="753"/>
        <v>0</v>
      </c>
      <c r="BO315" s="24">
        <f t="shared" si="753"/>
        <v>0</v>
      </c>
      <c r="BP315" s="24">
        <f t="shared" si="753"/>
        <v>0</v>
      </c>
      <c r="BQ315" s="24">
        <f t="shared" si="753"/>
        <v>0</v>
      </c>
      <c r="BR315" s="24">
        <f t="shared" si="753"/>
        <v>0</v>
      </c>
      <c r="BS315" s="24">
        <f t="shared" si="753"/>
        <v>0</v>
      </c>
      <c r="BT315" s="24">
        <f t="shared" si="753"/>
        <v>0</v>
      </c>
      <c r="BU315" s="24">
        <f t="shared" si="753"/>
        <v>0</v>
      </c>
      <c r="BV315" s="24">
        <f t="shared" si="753"/>
        <v>0</v>
      </c>
      <c r="BW315" s="24">
        <f t="shared" si="753"/>
        <v>0</v>
      </c>
      <c r="BX315" s="24">
        <f t="shared" si="753"/>
        <v>0</v>
      </c>
      <c r="BY315" s="24">
        <f t="shared" si="753"/>
        <v>0</v>
      </c>
      <c r="BZ315" s="24">
        <f t="shared" si="753"/>
        <v>0</v>
      </c>
      <c r="CA315" s="24">
        <f t="shared" si="753"/>
        <v>0</v>
      </c>
      <c r="CB315" s="24">
        <f t="shared" si="753"/>
        <v>0</v>
      </c>
      <c r="CC315" s="24">
        <f t="shared" si="753"/>
        <v>0</v>
      </c>
      <c r="CD315" s="24">
        <f t="shared" si="753"/>
        <v>0</v>
      </c>
      <c r="CE315" s="24">
        <f t="shared" si="753"/>
        <v>0</v>
      </c>
      <c r="CF315" s="24">
        <f t="shared" si="753"/>
        <v>0</v>
      </c>
      <c r="CG315" s="24">
        <f t="shared" si="753"/>
        <v>0</v>
      </c>
      <c r="CH315" s="24">
        <f t="shared" si="753"/>
        <v>0</v>
      </c>
      <c r="CI315" s="24">
        <f t="shared" ref="CI315:CZ315" si="754">SUM(CI316:CI325)</f>
        <v>0</v>
      </c>
      <c r="CJ315" s="24">
        <f t="shared" si="754"/>
        <v>0</v>
      </c>
      <c r="CK315" s="24">
        <f t="shared" si="754"/>
        <v>0</v>
      </c>
      <c r="CL315" s="24">
        <f t="shared" si="754"/>
        <v>0</v>
      </c>
      <c r="CM315" s="24">
        <f t="shared" si="754"/>
        <v>0</v>
      </c>
      <c r="CN315" s="24">
        <f t="shared" si="754"/>
        <v>0</v>
      </c>
      <c r="CO315" s="24">
        <f t="shared" si="754"/>
        <v>0</v>
      </c>
      <c r="CP315" s="24">
        <f t="shared" si="754"/>
        <v>0</v>
      </c>
      <c r="CQ315" s="24">
        <f t="shared" si="754"/>
        <v>0</v>
      </c>
      <c r="CR315" s="24">
        <f t="shared" si="754"/>
        <v>0</v>
      </c>
      <c r="CS315" s="24">
        <f t="shared" si="754"/>
        <v>0</v>
      </c>
      <c r="CT315" s="24">
        <f t="shared" si="754"/>
        <v>0</v>
      </c>
      <c r="CU315" s="24">
        <f t="shared" si="754"/>
        <v>0</v>
      </c>
      <c r="CV315" s="24">
        <f t="shared" si="754"/>
        <v>0</v>
      </c>
      <c r="CW315" s="24">
        <f t="shared" si="754"/>
        <v>0</v>
      </c>
      <c r="CX315" s="24">
        <f t="shared" si="754"/>
        <v>0</v>
      </c>
      <c r="CY315" s="24">
        <f t="shared" si="754"/>
        <v>0</v>
      </c>
      <c r="CZ315" s="25">
        <f t="shared" si="754"/>
        <v>0</v>
      </c>
    </row>
    <row r="316" spans="1:218" s="63" customFormat="1" ht="31.2" x14ac:dyDescent="0.3">
      <c r="A316" s="68"/>
      <c r="B316" s="69"/>
      <c r="C316" s="50" t="s">
        <v>399</v>
      </c>
      <c r="D316" s="51" t="s">
        <v>611</v>
      </c>
      <c r="E316" s="46">
        <f t="shared" ref="E316:E325" si="755">SUM(F316+CD316+CW316)</f>
        <v>4692150</v>
      </c>
      <c r="F316" s="47">
        <f t="shared" ref="F316:F325" si="756">SUM(G316+BD316)</f>
        <v>4692150</v>
      </c>
      <c r="G316" s="47">
        <f t="shared" ref="G316:G325" si="757">SUM(H316+I316+J316+Q316+T316+U316+V316+AF316+AE316)</f>
        <v>4692150</v>
      </c>
      <c r="H316" s="47">
        <v>0</v>
      </c>
      <c r="I316" s="47">
        <v>0</v>
      </c>
      <c r="J316" s="47">
        <f t="shared" ref="J316" si="758">SUM(K316:P316)</f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f t="shared" ref="Q316:Q317" si="759">SUM(R316:S316)</f>
        <v>0</v>
      </c>
      <c r="R316" s="47">
        <v>0</v>
      </c>
      <c r="S316" s="47">
        <v>0</v>
      </c>
      <c r="T316" s="47">
        <v>0</v>
      </c>
      <c r="U316" s="47">
        <v>0</v>
      </c>
      <c r="V316" s="47">
        <f t="shared" ref="V316:V317" si="760">SUM(W316:AD316)</f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0</v>
      </c>
      <c r="AB316" s="47">
        <v>0</v>
      </c>
      <c r="AC316" s="47">
        <v>0</v>
      </c>
      <c r="AD316" s="47">
        <v>0</v>
      </c>
      <c r="AE316" s="47">
        <v>0</v>
      </c>
      <c r="AF316" s="47">
        <f t="shared" ref="AF316:AF325" si="761">SUM(AG316:BC316)</f>
        <v>4692150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7">
        <v>0</v>
      </c>
      <c r="AP316" s="47">
        <v>0</v>
      </c>
      <c r="AQ316" s="47">
        <v>0</v>
      </c>
      <c r="AR316" s="47">
        <v>0</v>
      </c>
      <c r="AS316" s="47">
        <v>0</v>
      </c>
      <c r="AT316" s="47">
        <v>0</v>
      </c>
      <c r="AU316" s="47">
        <v>0</v>
      </c>
      <c r="AV316" s="47">
        <v>0</v>
      </c>
      <c r="AW316" s="47">
        <v>0</v>
      </c>
      <c r="AX316" s="47">
        <v>0</v>
      </c>
      <c r="AY316" s="47">
        <v>0</v>
      </c>
      <c r="AZ316" s="47">
        <v>0</v>
      </c>
      <c r="BA316" s="47">
        <v>0</v>
      </c>
      <c r="BB316" s="47"/>
      <c r="BC316" s="42">
        <f>4698408-4698408+4692150</f>
        <v>4692150</v>
      </c>
      <c r="BD316" s="47">
        <f t="shared" ref="BD316:BD325" si="762">SUM(BE316+BI316+BM316+BO316+BR316)</f>
        <v>0</v>
      </c>
      <c r="BE316" s="47">
        <f t="shared" ref="BE316:BE325" si="763">SUM(BF316:BH316)</f>
        <v>0</v>
      </c>
      <c r="BF316" s="47">
        <v>0</v>
      </c>
      <c r="BG316" s="47">
        <v>0</v>
      </c>
      <c r="BH316" s="47">
        <v>0</v>
      </c>
      <c r="BI316" s="47">
        <f t="shared" ref="BI316:BI324" si="764">SUM(BJ316:BL316)</f>
        <v>0</v>
      </c>
      <c r="BJ316" s="47"/>
      <c r="BK316" s="47">
        <v>0</v>
      </c>
      <c r="BL316" s="47">
        <v>0</v>
      </c>
      <c r="BM316" s="42">
        <v>0</v>
      </c>
      <c r="BN316" s="47">
        <v>0</v>
      </c>
      <c r="BO316" s="47">
        <f t="shared" ref="BO316:BO317" si="765">SUM(BP316)</f>
        <v>0</v>
      </c>
      <c r="BP316" s="47">
        <v>0</v>
      </c>
      <c r="BQ316" s="47">
        <v>0</v>
      </c>
      <c r="BR316" s="47">
        <f t="shared" ref="BR316:BR325" si="766">SUM(BS316:CC316)</f>
        <v>0</v>
      </c>
      <c r="BS316" s="47">
        <v>0</v>
      </c>
      <c r="BT316" s="47">
        <v>0</v>
      </c>
      <c r="BU316" s="47">
        <v>0</v>
      </c>
      <c r="BV316" s="47">
        <v>0</v>
      </c>
      <c r="BW316" s="47">
        <v>0</v>
      </c>
      <c r="BX316" s="47">
        <v>0</v>
      </c>
      <c r="BY316" s="47">
        <v>0</v>
      </c>
      <c r="BZ316" s="47">
        <v>0</v>
      </c>
      <c r="CA316" s="47">
        <v>0</v>
      </c>
      <c r="CB316" s="47">
        <v>0</v>
      </c>
      <c r="CC316" s="47">
        <v>0</v>
      </c>
      <c r="CD316" s="47">
        <f t="shared" ref="CD316:CD339" si="767">SUM(CE316+CV316)</f>
        <v>0</v>
      </c>
      <c r="CE316" s="47">
        <f t="shared" ref="CE316:CE325" si="768">SUM(CF316+CI316+CN316)</f>
        <v>0</v>
      </c>
      <c r="CF316" s="47">
        <f t="shared" ref="CF316" si="769">SUM(CG316:CH316)</f>
        <v>0</v>
      </c>
      <c r="CG316" s="47">
        <v>0</v>
      </c>
      <c r="CH316" s="47">
        <v>0</v>
      </c>
      <c r="CI316" s="47">
        <f t="shared" ref="CI316:CI325" si="770">SUM(CJ316:CM316)</f>
        <v>0</v>
      </c>
      <c r="CJ316" s="47">
        <v>0</v>
      </c>
      <c r="CK316" s="47">
        <v>0</v>
      </c>
      <c r="CL316" s="47">
        <v>0</v>
      </c>
      <c r="CM316" s="47">
        <v>0</v>
      </c>
      <c r="CN316" s="47">
        <f t="shared" ref="CN316:CN325" si="771">SUM(CO316:CS316)</f>
        <v>0</v>
      </c>
      <c r="CO316" s="47">
        <v>0</v>
      </c>
      <c r="CP316" s="47">
        <v>0</v>
      </c>
      <c r="CQ316" s="47">
        <v>0</v>
      </c>
      <c r="CR316" s="47"/>
      <c r="CS316" s="47"/>
      <c r="CT316" s="47">
        <v>0</v>
      </c>
      <c r="CU316" s="47">
        <v>0</v>
      </c>
      <c r="CV316" s="47">
        <v>0</v>
      </c>
      <c r="CW316" s="47">
        <f t="shared" ref="CW316:CW317" si="772">SUM(CX316)</f>
        <v>0</v>
      </c>
      <c r="CX316" s="47">
        <f t="shared" ref="CX316:CX317" si="773">SUM(CY316:CZ316)</f>
        <v>0</v>
      </c>
      <c r="CY316" s="47">
        <v>0</v>
      </c>
      <c r="CZ316" s="49">
        <v>0</v>
      </c>
    </row>
    <row r="317" spans="1:218" s="63" customFormat="1" ht="15.6" x14ac:dyDescent="0.3">
      <c r="A317" s="43"/>
      <c r="B317" s="44" t="s">
        <v>1</v>
      </c>
      <c r="C317" s="50">
        <v>131</v>
      </c>
      <c r="D317" s="51" t="s">
        <v>624</v>
      </c>
      <c r="E317" s="46">
        <f t="shared" si="755"/>
        <v>11076088</v>
      </c>
      <c r="F317" s="47">
        <f t="shared" si="756"/>
        <v>11076088</v>
      </c>
      <c r="G317" s="47">
        <f t="shared" si="757"/>
        <v>0</v>
      </c>
      <c r="H317" s="47">
        <v>0</v>
      </c>
      <c r="I317" s="47">
        <v>0</v>
      </c>
      <c r="J317" s="47">
        <f t="shared" ref="J317" si="774">SUM(K317:P317)</f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f t="shared" si="759"/>
        <v>0</v>
      </c>
      <c r="R317" s="47">
        <v>0</v>
      </c>
      <c r="S317" s="47">
        <v>0</v>
      </c>
      <c r="T317" s="47">
        <v>0</v>
      </c>
      <c r="U317" s="47">
        <v>0</v>
      </c>
      <c r="V317" s="47">
        <f t="shared" si="760"/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0</v>
      </c>
      <c r="AB317" s="47">
        <v>0</v>
      </c>
      <c r="AC317" s="47">
        <v>0</v>
      </c>
      <c r="AD317" s="47">
        <v>0</v>
      </c>
      <c r="AE317" s="47">
        <v>0</v>
      </c>
      <c r="AF317" s="47">
        <f t="shared" si="761"/>
        <v>0</v>
      </c>
      <c r="AG317" s="47">
        <v>0</v>
      </c>
      <c r="AH317" s="47">
        <v>0</v>
      </c>
      <c r="AI317" s="47">
        <v>0</v>
      </c>
      <c r="AJ317" s="47">
        <v>0</v>
      </c>
      <c r="AK317" s="47">
        <v>0</v>
      </c>
      <c r="AL317" s="47">
        <v>0</v>
      </c>
      <c r="AM317" s="47">
        <v>0</v>
      </c>
      <c r="AN317" s="47">
        <v>0</v>
      </c>
      <c r="AO317" s="47">
        <v>0</v>
      </c>
      <c r="AP317" s="47">
        <v>0</v>
      </c>
      <c r="AQ317" s="47">
        <v>0</v>
      </c>
      <c r="AR317" s="47">
        <v>0</v>
      </c>
      <c r="AS317" s="47">
        <v>0</v>
      </c>
      <c r="AT317" s="47">
        <v>0</v>
      </c>
      <c r="AU317" s="47">
        <v>0</v>
      </c>
      <c r="AV317" s="47">
        <v>0</v>
      </c>
      <c r="AW317" s="47">
        <v>0</v>
      </c>
      <c r="AX317" s="47">
        <v>0</v>
      </c>
      <c r="AY317" s="47">
        <v>0</v>
      </c>
      <c r="AZ317" s="47">
        <v>0</v>
      </c>
      <c r="BA317" s="47">
        <v>0</v>
      </c>
      <c r="BB317" s="47"/>
      <c r="BC317" s="47"/>
      <c r="BD317" s="47">
        <f t="shared" si="762"/>
        <v>11076088</v>
      </c>
      <c r="BE317" s="47">
        <f t="shared" si="763"/>
        <v>0</v>
      </c>
      <c r="BF317" s="47">
        <v>0</v>
      </c>
      <c r="BG317" s="47">
        <v>0</v>
      </c>
      <c r="BH317" s="47">
        <v>0</v>
      </c>
      <c r="BI317" s="47">
        <f t="shared" si="764"/>
        <v>0</v>
      </c>
      <c r="BJ317" s="42"/>
      <c r="BK317" s="47">
        <v>0</v>
      </c>
      <c r="BL317" s="47">
        <v>0</v>
      </c>
      <c r="BM317" s="42">
        <f>7200000+4300000-423912</f>
        <v>11076088</v>
      </c>
      <c r="BN317" s="47">
        <v>0</v>
      </c>
      <c r="BO317" s="47">
        <f t="shared" si="765"/>
        <v>0</v>
      </c>
      <c r="BP317" s="47">
        <v>0</v>
      </c>
      <c r="BQ317" s="47">
        <v>0</v>
      </c>
      <c r="BR317" s="47">
        <f t="shared" si="766"/>
        <v>0</v>
      </c>
      <c r="BS317" s="47">
        <v>0</v>
      </c>
      <c r="BT317" s="47">
        <v>0</v>
      </c>
      <c r="BU317" s="47">
        <v>0</v>
      </c>
      <c r="BV317" s="47">
        <v>0</v>
      </c>
      <c r="BW317" s="47">
        <v>0</v>
      </c>
      <c r="BX317" s="47">
        <v>0</v>
      </c>
      <c r="BY317" s="47">
        <v>0</v>
      </c>
      <c r="BZ317" s="47">
        <v>0</v>
      </c>
      <c r="CA317" s="47">
        <v>0</v>
      </c>
      <c r="CB317" s="47">
        <v>0</v>
      </c>
      <c r="CC317" s="47">
        <v>0</v>
      </c>
      <c r="CD317" s="47">
        <f t="shared" si="767"/>
        <v>0</v>
      </c>
      <c r="CE317" s="47">
        <f t="shared" si="768"/>
        <v>0</v>
      </c>
      <c r="CF317" s="47">
        <f t="shared" ref="CF317" si="775">SUM(CG317:CH317)</f>
        <v>0</v>
      </c>
      <c r="CG317" s="47">
        <v>0</v>
      </c>
      <c r="CH317" s="47">
        <v>0</v>
      </c>
      <c r="CI317" s="47">
        <f t="shared" si="770"/>
        <v>0</v>
      </c>
      <c r="CJ317" s="47">
        <v>0</v>
      </c>
      <c r="CK317" s="47">
        <v>0</v>
      </c>
      <c r="CL317" s="47">
        <v>0</v>
      </c>
      <c r="CM317" s="47">
        <v>0</v>
      </c>
      <c r="CN317" s="47">
        <f t="shared" si="771"/>
        <v>0</v>
      </c>
      <c r="CO317" s="47">
        <v>0</v>
      </c>
      <c r="CP317" s="47">
        <v>0</v>
      </c>
      <c r="CQ317" s="47">
        <v>0</v>
      </c>
      <c r="CR317" s="47"/>
      <c r="CS317" s="47"/>
      <c r="CT317" s="47">
        <v>0</v>
      </c>
      <c r="CU317" s="47">
        <v>0</v>
      </c>
      <c r="CV317" s="47">
        <v>0</v>
      </c>
      <c r="CW317" s="47">
        <f t="shared" si="772"/>
        <v>0</v>
      </c>
      <c r="CX317" s="47">
        <f t="shared" si="773"/>
        <v>0</v>
      </c>
      <c r="CY317" s="47">
        <v>0</v>
      </c>
      <c r="CZ317" s="49">
        <v>0</v>
      </c>
    </row>
    <row r="318" spans="1:218" s="63" customFormat="1" ht="15.6" x14ac:dyDescent="0.3">
      <c r="A318" s="43"/>
      <c r="B318" s="44" t="s">
        <v>1</v>
      </c>
      <c r="C318" s="50">
        <v>131</v>
      </c>
      <c r="D318" s="51" t="s">
        <v>632</v>
      </c>
      <c r="E318" s="46">
        <f t="shared" si="755"/>
        <v>1400000</v>
      </c>
      <c r="F318" s="47">
        <f t="shared" si="756"/>
        <v>1400000</v>
      </c>
      <c r="G318" s="47">
        <f t="shared" ref="G318" si="776">SUM(H318+I318+J318+Q318+T318+U318+V318+AF318+AE318)</f>
        <v>0</v>
      </c>
      <c r="H318" s="47">
        <v>0</v>
      </c>
      <c r="I318" s="47">
        <v>0</v>
      </c>
      <c r="J318" s="47">
        <f t="shared" ref="J318" si="777">SUM(K318:P318)</f>
        <v>0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0</v>
      </c>
      <c r="Q318" s="47">
        <f t="shared" ref="Q318" si="778">SUM(R318:S318)</f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f t="shared" ref="V318" si="779">SUM(W318:AD318)</f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>
        <v>0</v>
      </c>
      <c r="AC318" s="47">
        <v>0</v>
      </c>
      <c r="AD318" s="47">
        <v>0</v>
      </c>
      <c r="AE318" s="47">
        <v>0</v>
      </c>
      <c r="AF318" s="47">
        <f t="shared" si="761"/>
        <v>0</v>
      </c>
      <c r="AG318" s="47">
        <v>0</v>
      </c>
      <c r="AH318" s="47">
        <v>0</v>
      </c>
      <c r="AI318" s="47">
        <v>0</v>
      </c>
      <c r="AJ318" s="47">
        <v>0</v>
      </c>
      <c r="AK318" s="47">
        <v>0</v>
      </c>
      <c r="AL318" s="47">
        <v>0</v>
      </c>
      <c r="AM318" s="47">
        <v>0</v>
      </c>
      <c r="AN318" s="47">
        <v>0</v>
      </c>
      <c r="AO318" s="47">
        <v>0</v>
      </c>
      <c r="AP318" s="47">
        <v>0</v>
      </c>
      <c r="AQ318" s="47">
        <v>0</v>
      </c>
      <c r="AR318" s="47">
        <v>0</v>
      </c>
      <c r="AS318" s="47">
        <v>0</v>
      </c>
      <c r="AT318" s="47">
        <v>0</v>
      </c>
      <c r="AU318" s="47">
        <v>0</v>
      </c>
      <c r="AV318" s="47">
        <v>0</v>
      </c>
      <c r="AW318" s="47">
        <v>0</v>
      </c>
      <c r="AX318" s="47">
        <v>0</v>
      </c>
      <c r="AY318" s="47">
        <v>0</v>
      </c>
      <c r="AZ318" s="47">
        <v>0</v>
      </c>
      <c r="BA318" s="47">
        <v>0</v>
      </c>
      <c r="BB318" s="47"/>
      <c r="BC318" s="47"/>
      <c r="BD318" s="47">
        <f t="shared" ref="BD318" si="780">SUM(BE318+BI318+BM318+BO318+BR318)</f>
        <v>1400000</v>
      </c>
      <c r="BE318" s="47">
        <f t="shared" ref="BE318" si="781">SUM(BF318:BH318)</f>
        <v>0</v>
      </c>
      <c r="BF318" s="47">
        <v>0</v>
      </c>
      <c r="BG318" s="47">
        <v>0</v>
      </c>
      <c r="BH318" s="47">
        <v>0</v>
      </c>
      <c r="BI318" s="47">
        <f>SUM(BJ318:BL318)</f>
        <v>0</v>
      </c>
      <c r="BJ318" s="42"/>
      <c r="BK318" s="47">
        <v>0</v>
      </c>
      <c r="BL318" s="47">
        <v>0</v>
      </c>
      <c r="BM318" s="42">
        <v>1400000</v>
      </c>
      <c r="BN318" s="47">
        <v>0</v>
      </c>
      <c r="BO318" s="47">
        <f t="shared" ref="BO318" si="782">SUM(BP318)</f>
        <v>0</v>
      </c>
      <c r="BP318" s="47">
        <v>0</v>
      </c>
      <c r="BQ318" s="47">
        <v>0</v>
      </c>
      <c r="BR318" s="47">
        <f t="shared" ref="BR318" si="783">SUM(BS318:CC318)</f>
        <v>0</v>
      </c>
      <c r="BS318" s="47">
        <v>0</v>
      </c>
      <c r="BT318" s="47">
        <v>0</v>
      </c>
      <c r="BU318" s="47">
        <v>0</v>
      </c>
      <c r="BV318" s="47">
        <v>0</v>
      </c>
      <c r="BW318" s="47">
        <v>0</v>
      </c>
      <c r="BX318" s="47">
        <v>0</v>
      </c>
      <c r="BY318" s="47">
        <v>0</v>
      </c>
      <c r="BZ318" s="47">
        <v>0</v>
      </c>
      <c r="CA318" s="47">
        <v>0</v>
      </c>
      <c r="CB318" s="47">
        <v>0</v>
      </c>
      <c r="CC318" s="47">
        <v>0</v>
      </c>
      <c r="CD318" s="47">
        <f t="shared" ref="CD318" si="784">SUM(CE318+CV318)</f>
        <v>0</v>
      </c>
      <c r="CE318" s="47">
        <f t="shared" ref="CE318" si="785">SUM(CF318+CI318+CN318)</f>
        <v>0</v>
      </c>
      <c r="CF318" s="47">
        <f t="shared" ref="CF318" si="786">SUM(CG318:CH318)</f>
        <v>0</v>
      </c>
      <c r="CG318" s="47">
        <v>0</v>
      </c>
      <c r="CH318" s="47">
        <v>0</v>
      </c>
      <c r="CI318" s="47">
        <f t="shared" ref="CI318" si="787">SUM(CJ318:CM318)</f>
        <v>0</v>
      </c>
      <c r="CJ318" s="47">
        <v>0</v>
      </c>
      <c r="CK318" s="47">
        <v>0</v>
      </c>
      <c r="CL318" s="47">
        <v>0</v>
      </c>
      <c r="CM318" s="47">
        <v>0</v>
      </c>
      <c r="CN318" s="47">
        <f t="shared" ref="CN318" si="788">SUM(CO318:CS318)</f>
        <v>0</v>
      </c>
      <c r="CO318" s="47">
        <v>0</v>
      </c>
      <c r="CP318" s="47">
        <v>0</v>
      </c>
      <c r="CQ318" s="47">
        <v>0</v>
      </c>
      <c r="CR318" s="47"/>
      <c r="CS318" s="47"/>
      <c r="CT318" s="47">
        <v>0</v>
      </c>
      <c r="CU318" s="47">
        <v>0</v>
      </c>
      <c r="CV318" s="47">
        <v>0</v>
      </c>
      <c r="CW318" s="47">
        <f t="shared" ref="CW318" si="789">SUM(CX318)</f>
        <v>0</v>
      </c>
      <c r="CX318" s="47">
        <f t="shared" ref="CX318" si="790">SUM(CY318:CZ318)</f>
        <v>0</v>
      </c>
      <c r="CY318" s="47">
        <v>0</v>
      </c>
      <c r="CZ318" s="49">
        <v>0</v>
      </c>
    </row>
    <row r="319" spans="1:218" s="63" customFormat="1" ht="31.2" x14ac:dyDescent="0.3">
      <c r="A319" s="43"/>
      <c r="B319" s="44" t="s">
        <v>1</v>
      </c>
      <c r="C319" s="50">
        <v>131</v>
      </c>
      <c r="D319" s="51" t="s">
        <v>625</v>
      </c>
      <c r="E319" s="46">
        <f t="shared" si="755"/>
        <v>5508297</v>
      </c>
      <c r="F319" s="47">
        <f t="shared" si="756"/>
        <v>5508297</v>
      </c>
      <c r="G319" s="47">
        <f t="shared" si="757"/>
        <v>0</v>
      </c>
      <c r="H319" s="47">
        <v>0</v>
      </c>
      <c r="I319" s="47">
        <v>0</v>
      </c>
      <c r="J319" s="47">
        <f t="shared" ref="J319:J323" si="791">SUM(K319:P319)</f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f t="shared" ref="Q319:Q323" si="792">SUM(R319:S319)</f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f t="shared" ref="V319:V323" si="793">SUM(W319:AD319)</f>
        <v>0</v>
      </c>
      <c r="W319" s="47">
        <v>0</v>
      </c>
      <c r="X319" s="47">
        <v>0</v>
      </c>
      <c r="Y319" s="47">
        <v>0</v>
      </c>
      <c r="Z319" s="47">
        <v>0</v>
      </c>
      <c r="AA319" s="47">
        <v>0</v>
      </c>
      <c r="AB319" s="47">
        <v>0</v>
      </c>
      <c r="AC319" s="47">
        <v>0</v>
      </c>
      <c r="AD319" s="47">
        <v>0</v>
      </c>
      <c r="AE319" s="47">
        <v>0</v>
      </c>
      <c r="AF319" s="47">
        <f t="shared" si="761"/>
        <v>0</v>
      </c>
      <c r="AG319" s="47">
        <v>0</v>
      </c>
      <c r="AH319" s="47">
        <v>0</v>
      </c>
      <c r="AI319" s="47">
        <v>0</v>
      </c>
      <c r="AJ319" s="47">
        <v>0</v>
      </c>
      <c r="AK319" s="47">
        <v>0</v>
      </c>
      <c r="AL319" s="47">
        <v>0</v>
      </c>
      <c r="AM319" s="47">
        <v>0</v>
      </c>
      <c r="AN319" s="47">
        <v>0</v>
      </c>
      <c r="AO319" s="47">
        <v>0</v>
      </c>
      <c r="AP319" s="47">
        <v>0</v>
      </c>
      <c r="AQ319" s="47">
        <v>0</v>
      </c>
      <c r="AR319" s="47">
        <v>0</v>
      </c>
      <c r="AS319" s="47">
        <v>0</v>
      </c>
      <c r="AT319" s="47">
        <v>0</v>
      </c>
      <c r="AU319" s="47">
        <v>0</v>
      </c>
      <c r="AV319" s="47">
        <v>0</v>
      </c>
      <c r="AW319" s="47">
        <v>0</v>
      </c>
      <c r="AX319" s="47">
        <v>0</v>
      </c>
      <c r="AY319" s="47">
        <v>0</v>
      </c>
      <c r="AZ319" s="47">
        <v>0</v>
      </c>
      <c r="BA319" s="47">
        <v>0</v>
      </c>
      <c r="BB319" s="47"/>
      <c r="BC319" s="47"/>
      <c r="BD319" s="47">
        <f t="shared" si="762"/>
        <v>5508297</v>
      </c>
      <c r="BE319" s="47">
        <f t="shared" si="763"/>
        <v>0</v>
      </c>
      <c r="BF319" s="47">
        <v>0</v>
      </c>
      <c r="BG319" s="47">
        <v>0</v>
      </c>
      <c r="BH319" s="47">
        <v>0</v>
      </c>
      <c r="BI319" s="47">
        <f t="shared" si="764"/>
        <v>0</v>
      </c>
      <c r="BJ319" s="42"/>
      <c r="BK319" s="47">
        <v>0</v>
      </c>
      <c r="BL319" s="47">
        <v>0</v>
      </c>
      <c r="BM319" s="42">
        <f>5000957+507340</f>
        <v>5508297</v>
      </c>
      <c r="BN319" s="47">
        <v>0</v>
      </c>
      <c r="BO319" s="47">
        <f t="shared" ref="BO319:BO325" si="794">SUM(BP319)</f>
        <v>0</v>
      </c>
      <c r="BP319" s="47">
        <v>0</v>
      </c>
      <c r="BQ319" s="47">
        <v>0</v>
      </c>
      <c r="BR319" s="47">
        <f t="shared" si="766"/>
        <v>0</v>
      </c>
      <c r="BS319" s="47">
        <v>0</v>
      </c>
      <c r="BT319" s="47">
        <v>0</v>
      </c>
      <c r="BU319" s="47">
        <v>0</v>
      </c>
      <c r="BV319" s="47">
        <v>0</v>
      </c>
      <c r="BW319" s="47">
        <v>0</v>
      </c>
      <c r="BX319" s="47">
        <v>0</v>
      </c>
      <c r="BY319" s="47">
        <v>0</v>
      </c>
      <c r="BZ319" s="47">
        <v>0</v>
      </c>
      <c r="CA319" s="47">
        <v>0</v>
      </c>
      <c r="CB319" s="47">
        <v>0</v>
      </c>
      <c r="CC319" s="47">
        <v>0</v>
      </c>
      <c r="CD319" s="47">
        <f t="shared" ref="CD319:CD324" si="795">SUM(CE319+CV319)</f>
        <v>0</v>
      </c>
      <c r="CE319" s="47">
        <f t="shared" si="768"/>
        <v>0</v>
      </c>
      <c r="CF319" s="47">
        <f t="shared" ref="CF319:CF323" si="796">SUM(CG319:CH319)</f>
        <v>0</v>
      </c>
      <c r="CG319" s="47">
        <v>0</v>
      </c>
      <c r="CH319" s="47">
        <v>0</v>
      </c>
      <c r="CI319" s="47">
        <f t="shared" si="770"/>
        <v>0</v>
      </c>
      <c r="CJ319" s="47">
        <v>0</v>
      </c>
      <c r="CK319" s="47">
        <v>0</v>
      </c>
      <c r="CL319" s="47">
        <v>0</v>
      </c>
      <c r="CM319" s="47">
        <v>0</v>
      </c>
      <c r="CN319" s="47">
        <f t="shared" si="771"/>
        <v>0</v>
      </c>
      <c r="CO319" s="47">
        <v>0</v>
      </c>
      <c r="CP319" s="47">
        <v>0</v>
      </c>
      <c r="CQ319" s="47">
        <v>0</v>
      </c>
      <c r="CR319" s="47"/>
      <c r="CS319" s="47"/>
      <c r="CT319" s="47">
        <v>0</v>
      </c>
      <c r="CU319" s="47">
        <v>0</v>
      </c>
      <c r="CV319" s="47">
        <v>0</v>
      </c>
      <c r="CW319" s="47">
        <f t="shared" ref="CW319:CW323" si="797">SUM(CX319)</f>
        <v>0</v>
      </c>
      <c r="CX319" s="47">
        <f t="shared" ref="CX319:CX324" si="798">SUM(CY319:CZ319)</f>
        <v>0</v>
      </c>
      <c r="CY319" s="47">
        <v>0</v>
      </c>
      <c r="CZ319" s="49">
        <v>0</v>
      </c>
      <c r="HJ319" s="61"/>
    </row>
    <row r="320" spans="1:218" s="63" customFormat="1" ht="31.2" x14ac:dyDescent="0.3">
      <c r="A320" s="43"/>
      <c r="B320" s="44" t="s">
        <v>1</v>
      </c>
      <c r="C320" s="50">
        <v>131</v>
      </c>
      <c r="D320" s="51" t="s">
        <v>637</v>
      </c>
      <c r="E320" s="46">
        <f t="shared" si="755"/>
        <v>1835751</v>
      </c>
      <c r="F320" s="47">
        <f t="shared" si="756"/>
        <v>1835751</v>
      </c>
      <c r="G320" s="47">
        <f t="shared" ref="G320:G322" si="799">SUM(H320+I320+J320+Q320+T320+U320+V320+AF320+AE320)</f>
        <v>0</v>
      </c>
      <c r="H320" s="47">
        <v>0</v>
      </c>
      <c r="I320" s="47">
        <v>0</v>
      </c>
      <c r="J320" s="47">
        <f t="shared" ref="J320:J322" si="800">SUM(K320:P320)</f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f t="shared" ref="Q320:Q322" si="801">SUM(R320:S320)</f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f t="shared" ref="V320:V322" si="802">SUM(W320:AD320)</f>
        <v>0</v>
      </c>
      <c r="W320" s="47">
        <v>0</v>
      </c>
      <c r="X320" s="47">
        <v>0</v>
      </c>
      <c r="Y320" s="47">
        <v>0</v>
      </c>
      <c r="Z320" s="47">
        <v>0</v>
      </c>
      <c r="AA320" s="47">
        <v>0</v>
      </c>
      <c r="AB320" s="47">
        <v>0</v>
      </c>
      <c r="AC320" s="47">
        <v>0</v>
      </c>
      <c r="AD320" s="47">
        <v>0</v>
      </c>
      <c r="AE320" s="47">
        <v>0</v>
      </c>
      <c r="AF320" s="47">
        <f t="shared" si="761"/>
        <v>0</v>
      </c>
      <c r="AG320" s="47">
        <v>0</v>
      </c>
      <c r="AH320" s="47">
        <v>0</v>
      </c>
      <c r="AI320" s="47">
        <v>0</v>
      </c>
      <c r="AJ320" s="47">
        <v>0</v>
      </c>
      <c r="AK320" s="47">
        <v>0</v>
      </c>
      <c r="AL320" s="47">
        <v>0</v>
      </c>
      <c r="AM320" s="47">
        <v>0</v>
      </c>
      <c r="AN320" s="47">
        <v>0</v>
      </c>
      <c r="AO320" s="47">
        <v>0</v>
      </c>
      <c r="AP320" s="47">
        <v>0</v>
      </c>
      <c r="AQ320" s="47">
        <v>0</v>
      </c>
      <c r="AR320" s="47">
        <v>0</v>
      </c>
      <c r="AS320" s="47">
        <v>0</v>
      </c>
      <c r="AT320" s="47">
        <v>0</v>
      </c>
      <c r="AU320" s="47">
        <v>0</v>
      </c>
      <c r="AV320" s="47">
        <v>0</v>
      </c>
      <c r="AW320" s="47">
        <v>0</v>
      </c>
      <c r="AX320" s="47">
        <v>0</v>
      </c>
      <c r="AY320" s="47">
        <v>0</v>
      </c>
      <c r="AZ320" s="47">
        <v>0</v>
      </c>
      <c r="BA320" s="47">
        <v>0</v>
      </c>
      <c r="BB320" s="47"/>
      <c r="BC320" s="47"/>
      <c r="BD320" s="47">
        <f t="shared" ref="BD320:BD322" si="803">SUM(BE320+BI320+BM320+BO320+BR320)</f>
        <v>1835751</v>
      </c>
      <c r="BE320" s="47">
        <f t="shared" ref="BE320:BE322" si="804">SUM(BF320:BH320)</f>
        <v>0</v>
      </c>
      <c r="BF320" s="47">
        <v>0</v>
      </c>
      <c r="BG320" s="47">
        <v>0</v>
      </c>
      <c r="BH320" s="47">
        <v>0</v>
      </c>
      <c r="BI320" s="47">
        <f t="shared" si="764"/>
        <v>0</v>
      </c>
      <c r="BJ320" s="42"/>
      <c r="BK320" s="47">
        <v>0</v>
      </c>
      <c r="BL320" s="47">
        <v>0</v>
      </c>
      <c r="BM320" s="42">
        <f>0+1835751</f>
        <v>1835751</v>
      </c>
      <c r="BN320" s="47">
        <v>0</v>
      </c>
      <c r="BO320" s="47">
        <f t="shared" ref="BO320:BO322" si="805">SUM(BP320)</f>
        <v>0</v>
      </c>
      <c r="BP320" s="47">
        <v>0</v>
      </c>
      <c r="BQ320" s="47">
        <v>0</v>
      </c>
      <c r="BR320" s="47">
        <f t="shared" ref="BR320:BR322" si="806">SUM(BS320:CC320)</f>
        <v>0</v>
      </c>
      <c r="BS320" s="47">
        <v>0</v>
      </c>
      <c r="BT320" s="47">
        <v>0</v>
      </c>
      <c r="BU320" s="47">
        <v>0</v>
      </c>
      <c r="BV320" s="47">
        <v>0</v>
      </c>
      <c r="BW320" s="47">
        <v>0</v>
      </c>
      <c r="BX320" s="47">
        <v>0</v>
      </c>
      <c r="BY320" s="47">
        <v>0</v>
      </c>
      <c r="BZ320" s="47">
        <v>0</v>
      </c>
      <c r="CA320" s="47">
        <v>0</v>
      </c>
      <c r="CB320" s="47">
        <v>0</v>
      </c>
      <c r="CC320" s="47">
        <v>0</v>
      </c>
      <c r="CD320" s="47">
        <f t="shared" ref="CD320:CD322" si="807">SUM(CE320+CV320)</f>
        <v>0</v>
      </c>
      <c r="CE320" s="47">
        <f t="shared" ref="CE320:CE322" si="808">SUM(CF320+CI320+CN320)</f>
        <v>0</v>
      </c>
      <c r="CF320" s="47">
        <f t="shared" ref="CF320:CF322" si="809">SUM(CG320:CH320)</f>
        <v>0</v>
      </c>
      <c r="CG320" s="47">
        <v>0</v>
      </c>
      <c r="CH320" s="47">
        <v>0</v>
      </c>
      <c r="CI320" s="47">
        <f t="shared" ref="CI320:CI322" si="810">SUM(CJ320:CM320)</f>
        <v>0</v>
      </c>
      <c r="CJ320" s="47">
        <v>0</v>
      </c>
      <c r="CK320" s="47">
        <v>0</v>
      </c>
      <c r="CL320" s="47">
        <v>0</v>
      </c>
      <c r="CM320" s="47">
        <v>0</v>
      </c>
      <c r="CN320" s="47">
        <f t="shared" ref="CN320:CN322" si="811">SUM(CO320:CS320)</f>
        <v>0</v>
      </c>
      <c r="CO320" s="47">
        <v>0</v>
      </c>
      <c r="CP320" s="47">
        <v>0</v>
      </c>
      <c r="CQ320" s="47">
        <v>0</v>
      </c>
      <c r="CR320" s="47"/>
      <c r="CS320" s="47"/>
      <c r="CT320" s="47">
        <v>0</v>
      </c>
      <c r="CU320" s="47">
        <v>0</v>
      </c>
      <c r="CV320" s="47">
        <v>0</v>
      </c>
      <c r="CW320" s="47">
        <f t="shared" ref="CW320:CW322" si="812">SUM(CX320)</f>
        <v>0</v>
      </c>
      <c r="CX320" s="47">
        <f t="shared" ref="CX320:CX322" si="813">SUM(CY320:CZ320)</f>
        <v>0</v>
      </c>
      <c r="CY320" s="47">
        <v>0</v>
      </c>
      <c r="CZ320" s="49">
        <v>0</v>
      </c>
    </row>
    <row r="321" spans="1:218" ht="15.6" x14ac:dyDescent="0.3">
      <c r="A321" s="43"/>
      <c r="B321" s="44"/>
      <c r="C321" s="50">
        <v>131</v>
      </c>
      <c r="D321" s="51" t="s">
        <v>644</v>
      </c>
      <c r="E321" s="46">
        <f t="shared" ref="E321" si="814">SUM(F321+CD321+CW321)</f>
        <v>9186270</v>
      </c>
      <c r="F321" s="47">
        <f t="shared" ref="F321" si="815">SUM(G321+BD321)</f>
        <v>9186270</v>
      </c>
      <c r="G321" s="47">
        <f t="shared" ref="G321" si="816">SUM(H321+I321+J321+Q321+T321+U321+V321+AF321+AE321)</f>
        <v>0</v>
      </c>
      <c r="H321" s="47">
        <v>0</v>
      </c>
      <c r="I321" s="47">
        <v>0</v>
      </c>
      <c r="J321" s="47">
        <f t="shared" ref="J321" si="817">SUM(K321:P321)</f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0</v>
      </c>
      <c r="Q321" s="47">
        <f t="shared" ref="Q321" si="818">SUM(R321:S321)</f>
        <v>0</v>
      </c>
      <c r="R321" s="47">
        <v>0</v>
      </c>
      <c r="S321" s="47">
        <v>0</v>
      </c>
      <c r="T321" s="47">
        <v>0</v>
      </c>
      <c r="U321" s="47">
        <v>0</v>
      </c>
      <c r="V321" s="47">
        <f t="shared" ref="V321" si="819">SUM(W321:AD321)</f>
        <v>0</v>
      </c>
      <c r="W321" s="47">
        <v>0</v>
      </c>
      <c r="X321" s="47">
        <v>0</v>
      </c>
      <c r="Y321" s="47">
        <v>0</v>
      </c>
      <c r="Z321" s="47">
        <v>0</v>
      </c>
      <c r="AA321" s="47">
        <v>0</v>
      </c>
      <c r="AB321" s="47">
        <v>0</v>
      </c>
      <c r="AC321" s="47">
        <v>0</v>
      </c>
      <c r="AD321" s="47">
        <v>0</v>
      </c>
      <c r="AE321" s="47">
        <v>0</v>
      </c>
      <c r="AF321" s="47">
        <f t="shared" ref="AF321" si="820">SUM(AG321:BC321)</f>
        <v>0</v>
      </c>
      <c r="AG321" s="47">
        <v>0</v>
      </c>
      <c r="AH321" s="47">
        <v>0</v>
      </c>
      <c r="AI321" s="47">
        <v>0</v>
      </c>
      <c r="AJ321" s="47">
        <v>0</v>
      </c>
      <c r="AK321" s="47">
        <v>0</v>
      </c>
      <c r="AL321" s="47">
        <v>0</v>
      </c>
      <c r="AM321" s="47">
        <v>0</v>
      </c>
      <c r="AN321" s="47">
        <v>0</v>
      </c>
      <c r="AO321" s="47">
        <v>0</v>
      </c>
      <c r="AP321" s="47">
        <v>0</v>
      </c>
      <c r="AQ321" s="47">
        <v>0</v>
      </c>
      <c r="AR321" s="47">
        <v>0</v>
      </c>
      <c r="AS321" s="47">
        <v>0</v>
      </c>
      <c r="AT321" s="47">
        <v>0</v>
      </c>
      <c r="AU321" s="47">
        <v>0</v>
      </c>
      <c r="AV321" s="47">
        <v>0</v>
      </c>
      <c r="AW321" s="47">
        <v>0</v>
      </c>
      <c r="AX321" s="47">
        <v>0</v>
      </c>
      <c r="AY321" s="47">
        <v>0</v>
      </c>
      <c r="AZ321" s="47">
        <v>0</v>
      </c>
      <c r="BA321" s="47">
        <v>0</v>
      </c>
      <c r="BB321" s="47"/>
      <c r="BC321" s="47"/>
      <c r="BD321" s="47">
        <f t="shared" ref="BD321" si="821">SUM(BE321+BI321+BM321+BO321+BR321)</f>
        <v>9186270</v>
      </c>
      <c r="BE321" s="47">
        <f t="shared" ref="BE321" si="822">SUM(BF321:BH321)</f>
        <v>0</v>
      </c>
      <c r="BF321" s="47">
        <v>0</v>
      </c>
      <c r="BG321" s="47">
        <v>0</v>
      </c>
      <c r="BH321" s="47">
        <v>0</v>
      </c>
      <c r="BI321" s="47">
        <f t="shared" ref="BI321" si="823">SUM(BJ321:BL321)</f>
        <v>0</v>
      </c>
      <c r="BJ321" s="42"/>
      <c r="BK321" s="47">
        <v>0</v>
      </c>
      <c r="BL321" s="47">
        <v>0</v>
      </c>
      <c r="BM321" s="42">
        <f>0+9186270</f>
        <v>9186270</v>
      </c>
      <c r="BN321" s="47">
        <v>0</v>
      </c>
      <c r="BO321" s="47">
        <f t="shared" ref="BO321" si="824">SUM(BP321)</f>
        <v>0</v>
      </c>
      <c r="BP321" s="47">
        <v>0</v>
      </c>
      <c r="BQ321" s="47">
        <v>0</v>
      </c>
      <c r="BR321" s="47">
        <f t="shared" ref="BR321" si="825">SUM(BS321:CC321)</f>
        <v>0</v>
      </c>
      <c r="BS321" s="47">
        <v>0</v>
      </c>
      <c r="BT321" s="47">
        <v>0</v>
      </c>
      <c r="BU321" s="47">
        <v>0</v>
      </c>
      <c r="BV321" s="47">
        <v>0</v>
      </c>
      <c r="BW321" s="47">
        <v>0</v>
      </c>
      <c r="BX321" s="47">
        <v>0</v>
      </c>
      <c r="BY321" s="47">
        <v>0</v>
      </c>
      <c r="BZ321" s="47">
        <v>0</v>
      </c>
      <c r="CA321" s="47">
        <v>0</v>
      </c>
      <c r="CB321" s="47">
        <v>0</v>
      </c>
      <c r="CC321" s="47">
        <v>0</v>
      </c>
      <c r="CD321" s="47">
        <f t="shared" ref="CD321" si="826">SUM(CE321+CV321)</f>
        <v>0</v>
      </c>
      <c r="CE321" s="47">
        <f t="shared" ref="CE321" si="827">SUM(CF321+CI321+CN321)</f>
        <v>0</v>
      </c>
      <c r="CF321" s="47">
        <f t="shared" ref="CF321" si="828">SUM(CG321:CH321)</f>
        <v>0</v>
      </c>
      <c r="CG321" s="47">
        <v>0</v>
      </c>
      <c r="CH321" s="47">
        <v>0</v>
      </c>
      <c r="CI321" s="47">
        <f t="shared" ref="CI321" si="829">SUM(CJ321:CM321)</f>
        <v>0</v>
      </c>
      <c r="CJ321" s="47">
        <v>0</v>
      </c>
      <c r="CK321" s="47">
        <v>0</v>
      </c>
      <c r="CL321" s="47">
        <v>0</v>
      </c>
      <c r="CM321" s="47">
        <v>0</v>
      </c>
      <c r="CN321" s="47">
        <f t="shared" ref="CN321" si="830">SUM(CO321:CS321)</f>
        <v>0</v>
      </c>
      <c r="CO321" s="47">
        <v>0</v>
      </c>
      <c r="CP321" s="47">
        <v>0</v>
      </c>
      <c r="CQ321" s="47">
        <v>0</v>
      </c>
      <c r="CR321" s="47"/>
      <c r="CS321" s="47"/>
      <c r="CT321" s="47">
        <v>0</v>
      </c>
      <c r="CU321" s="47">
        <v>0</v>
      </c>
      <c r="CV321" s="47">
        <v>0</v>
      </c>
      <c r="CW321" s="47">
        <f t="shared" ref="CW321" si="831">SUM(CX321)</f>
        <v>0</v>
      </c>
      <c r="CX321" s="47">
        <f t="shared" ref="CX321" si="832">SUM(CY321:CZ321)</f>
        <v>0</v>
      </c>
      <c r="CY321" s="47">
        <v>0</v>
      </c>
      <c r="CZ321" s="49">
        <v>0</v>
      </c>
      <c r="HJ321" s="63"/>
    </row>
    <row r="322" spans="1:218" ht="31.2" x14ac:dyDescent="0.3">
      <c r="A322" s="43"/>
      <c r="B322" s="44" t="s">
        <v>1</v>
      </c>
      <c r="C322" s="50">
        <v>131</v>
      </c>
      <c r="D322" s="51" t="s">
        <v>631</v>
      </c>
      <c r="E322" s="46">
        <f t="shared" si="755"/>
        <v>2469400</v>
      </c>
      <c r="F322" s="47">
        <f t="shared" si="756"/>
        <v>2469400</v>
      </c>
      <c r="G322" s="47">
        <f t="shared" si="799"/>
        <v>0</v>
      </c>
      <c r="H322" s="47">
        <v>0</v>
      </c>
      <c r="I322" s="47">
        <v>0</v>
      </c>
      <c r="J322" s="47">
        <f t="shared" si="800"/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f t="shared" si="801"/>
        <v>0</v>
      </c>
      <c r="R322" s="47">
        <v>0</v>
      </c>
      <c r="S322" s="47">
        <v>0</v>
      </c>
      <c r="T322" s="47">
        <v>0</v>
      </c>
      <c r="U322" s="47">
        <v>0</v>
      </c>
      <c r="V322" s="47">
        <f t="shared" si="802"/>
        <v>0</v>
      </c>
      <c r="W322" s="47">
        <v>0</v>
      </c>
      <c r="X322" s="47">
        <v>0</v>
      </c>
      <c r="Y322" s="47">
        <v>0</v>
      </c>
      <c r="Z322" s="47">
        <v>0</v>
      </c>
      <c r="AA322" s="47">
        <v>0</v>
      </c>
      <c r="AB322" s="47">
        <v>0</v>
      </c>
      <c r="AC322" s="47">
        <v>0</v>
      </c>
      <c r="AD322" s="47">
        <v>0</v>
      </c>
      <c r="AE322" s="47">
        <v>0</v>
      </c>
      <c r="AF322" s="47">
        <f t="shared" si="761"/>
        <v>0</v>
      </c>
      <c r="AG322" s="47">
        <v>0</v>
      </c>
      <c r="AH322" s="47">
        <v>0</v>
      </c>
      <c r="AI322" s="47">
        <v>0</v>
      </c>
      <c r="AJ322" s="47">
        <v>0</v>
      </c>
      <c r="AK322" s="47">
        <v>0</v>
      </c>
      <c r="AL322" s="47">
        <v>0</v>
      </c>
      <c r="AM322" s="47">
        <v>0</v>
      </c>
      <c r="AN322" s="47">
        <v>0</v>
      </c>
      <c r="AO322" s="47">
        <v>0</v>
      </c>
      <c r="AP322" s="47">
        <v>0</v>
      </c>
      <c r="AQ322" s="47">
        <v>0</v>
      </c>
      <c r="AR322" s="47">
        <v>0</v>
      </c>
      <c r="AS322" s="47">
        <v>0</v>
      </c>
      <c r="AT322" s="47">
        <v>0</v>
      </c>
      <c r="AU322" s="47">
        <v>0</v>
      </c>
      <c r="AV322" s="47">
        <v>0</v>
      </c>
      <c r="AW322" s="47">
        <v>0</v>
      </c>
      <c r="AX322" s="47">
        <v>0</v>
      </c>
      <c r="AY322" s="47">
        <v>0</v>
      </c>
      <c r="AZ322" s="47">
        <v>0</v>
      </c>
      <c r="BA322" s="47">
        <v>0</v>
      </c>
      <c r="BB322" s="47"/>
      <c r="BC322" s="47"/>
      <c r="BD322" s="47">
        <f t="shared" si="803"/>
        <v>2469400</v>
      </c>
      <c r="BE322" s="47">
        <f t="shared" si="804"/>
        <v>0</v>
      </c>
      <c r="BF322" s="47">
        <v>0</v>
      </c>
      <c r="BG322" s="47">
        <v>0</v>
      </c>
      <c r="BH322" s="47">
        <v>0</v>
      </c>
      <c r="BI322" s="47">
        <f t="shared" si="764"/>
        <v>0</v>
      </c>
      <c r="BJ322" s="42"/>
      <c r="BK322" s="47">
        <v>0</v>
      </c>
      <c r="BL322" s="47">
        <v>0</v>
      </c>
      <c r="BM322" s="42">
        <f>1369400+1100000</f>
        <v>2469400</v>
      </c>
      <c r="BN322" s="47">
        <v>0</v>
      </c>
      <c r="BO322" s="47">
        <f t="shared" si="805"/>
        <v>0</v>
      </c>
      <c r="BP322" s="47">
        <v>0</v>
      </c>
      <c r="BQ322" s="47">
        <v>0</v>
      </c>
      <c r="BR322" s="47">
        <f t="shared" si="806"/>
        <v>0</v>
      </c>
      <c r="BS322" s="47">
        <v>0</v>
      </c>
      <c r="BT322" s="47">
        <v>0</v>
      </c>
      <c r="BU322" s="47">
        <v>0</v>
      </c>
      <c r="BV322" s="47">
        <v>0</v>
      </c>
      <c r="BW322" s="47">
        <v>0</v>
      </c>
      <c r="BX322" s="47">
        <v>0</v>
      </c>
      <c r="BY322" s="47">
        <v>0</v>
      </c>
      <c r="BZ322" s="47">
        <v>0</v>
      </c>
      <c r="CA322" s="47">
        <v>0</v>
      </c>
      <c r="CB322" s="47">
        <v>0</v>
      </c>
      <c r="CC322" s="47">
        <v>0</v>
      </c>
      <c r="CD322" s="47">
        <f t="shared" si="807"/>
        <v>0</v>
      </c>
      <c r="CE322" s="47">
        <f t="shared" si="808"/>
        <v>0</v>
      </c>
      <c r="CF322" s="47">
        <f t="shared" si="809"/>
        <v>0</v>
      </c>
      <c r="CG322" s="47">
        <v>0</v>
      </c>
      <c r="CH322" s="47">
        <v>0</v>
      </c>
      <c r="CI322" s="47">
        <f t="shared" si="810"/>
        <v>0</v>
      </c>
      <c r="CJ322" s="47">
        <v>0</v>
      </c>
      <c r="CK322" s="47">
        <v>0</v>
      </c>
      <c r="CL322" s="47">
        <v>0</v>
      </c>
      <c r="CM322" s="47">
        <v>0</v>
      </c>
      <c r="CN322" s="47">
        <f t="shared" si="811"/>
        <v>0</v>
      </c>
      <c r="CO322" s="47">
        <v>0</v>
      </c>
      <c r="CP322" s="47">
        <v>0</v>
      </c>
      <c r="CQ322" s="47">
        <v>0</v>
      </c>
      <c r="CR322" s="47"/>
      <c r="CS322" s="47"/>
      <c r="CT322" s="47">
        <v>0</v>
      </c>
      <c r="CU322" s="47">
        <v>0</v>
      </c>
      <c r="CV322" s="47">
        <v>0</v>
      </c>
      <c r="CW322" s="47">
        <f t="shared" si="812"/>
        <v>0</v>
      </c>
      <c r="CX322" s="47">
        <f t="shared" si="813"/>
        <v>0</v>
      </c>
      <c r="CY322" s="47">
        <v>0</v>
      </c>
      <c r="CZ322" s="49">
        <v>0</v>
      </c>
      <c r="HJ322" s="63"/>
    </row>
    <row r="323" spans="1:218" ht="15.6" x14ac:dyDescent="0.3">
      <c r="A323" s="43"/>
      <c r="B323" s="44" t="s">
        <v>1</v>
      </c>
      <c r="C323" s="50" t="s">
        <v>399</v>
      </c>
      <c r="D323" s="51" t="s">
        <v>400</v>
      </c>
      <c r="E323" s="46">
        <f t="shared" si="755"/>
        <v>660116</v>
      </c>
      <c r="F323" s="47">
        <f t="shared" si="756"/>
        <v>660116</v>
      </c>
      <c r="G323" s="47">
        <f t="shared" si="757"/>
        <v>0</v>
      </c>
      <c r="H323" s="47">
        <v>0</v>
      </c>
      <c r="I323" s="47">
        <v>0</v>
      </c>
      <c r="J323" s="47">
        <f t="shared" si="791"/>
        <v>0</v>
      </c>
      <c r="K323" s="47">
        <v>0</v>
      </c>
      <c r="L323" s="47">
        <v>0</v>
      </c>
      <c r="M323" s="47">
        <v>0</v>
      </c>
      <c r="N323" s="47">
        <v>0</v>
      </c>
      <c r="O323" s="47">
        <v>0</v>
      </c>
      <c r="P323" s="47">
        <v>0</v>
      </c>
      <c r="Q323" s="47">
        <f t="shared" si="792"/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f t="shared" si="793"/>
        <v>0</v>
      </c>
      <c r="W323" s="47">
        <v>0</v>
      </c>
      <c r="X323" s="47">
        <v>0</v>
      </c>
      <c r="Y323" s="47">
        <v>0</v>
      </c>
      <c r="Z323" s="47">
        <v>0</v>
      </c>
      <c r="AA323" s="47">
        <v>0</v>
      </c>
      <c r="AB323" s="47">
        <v>0</v>
      </c>
      <c r="AC323" s="47">
        <v>0</v>
      </c>
      <c r="AD323" s="47">
        <v>0</v>
      </c>
      <c r="AE323" s="47">
        <v>0</v>
      </c>
      <c r="AF323" s="47">
        <f t="shared" si="761"/>
        <v>0</v>
      </c>
      <c r="AG323" s="47">
        <v>0</v>
      </c>
      <c r="AH323" s="47">
        <v>0</v>
      </c>
      <c r="AI323" s="47">
        <v>0</v>
      </c>
      <c r="AJ323" s="47">
        <v>0</v>
      </c>
      <c r="AK323" s="47">
        <v>0</v>
      </c>
      <c r="AL323" s="47">
        <v>0</v>
      </c>
      <c r="AM323" s="47">
        <v>0</v>
      </c>
      <c r="AN323" s="47">
        <v>0</v>
      </c>
      <c r="AO323" s="47">
        <v>0</v>
      </c>
      <c r="AP323" s="47">
        <v>0</v>
      </c>
      <c r="AQ323" s="47">
        <v>0</v>
      </c>
      <c r="AR323" s="47">
        <v>0</v>
      </c>
      <c r="AS323" s="47">
        <v>0</v>
      </c>
      <c r="AT323" s="47">
        <v>0</v>
      </c>
      <c r="AU323" s="47">
        <v>0</v>
      </c>
      <c r="AV323" s="47">
        <v>0</v>
      </c>
      <c r="AW323" s="47">
        <v>0</v>
      </c>
      <c r="AX323" s="47">
        <v>0</v>
      </c>
      <c r="AY323" s="47">
        <v>0</v>
      </c>
      <c r="AZ323" s="47">
        <v>0</v>
      </c>
      <c r="BA323" s="47">
        <v>0</v>
      </c>
      <c r="BB323" s="47"/>
      <c r="BC323" s="47"/>
      <c r="BD323" s="47">
        <f t="shared" si="762"/>
        <v>660116</v>
      </c>
      <c r="BE323" s="47">
        <f t="shared" si="763"/>
        <v>0</v>
      </c>
      <c r="BF323" s="47">
        <v>0</v>
      </c>
      <c r="BG323" s="47">
        <v>0</v>
      </c>
      <c r="BH323" s="47">
        <v>0</v>
      </c>
      <c r="BI323" s="47">
        <f t="shared" si="764"/>
        <v>660116</v>
      </c>
      <c r="BJ323" s="42">
        <f>1423760-763644</f>
        <v>660116</v>
      </c>
      <c r="BK323" s="47">
        <v>0</v>
      </c>
      <c r="BL323" s="47">
        <v>0</v>
      </c>
      <c r="BM323" s="42">
        <v>0</v>
      </c>
      <c r="BN323" s="47">
        <v>0</v>
      </c>
      <c r="BO323" s="47">
        <f t="shared" si="794"/>
        <v>0</v>
      </c>
      <c r="BP323" s="47">
        <v>0</v>
      </c>
      <c r="BQ323" s="47">
        <v>0</v>
      </c>
      <c r="BR323" s="47">
        <f t="shared" si="766"/>
        <v>0</v>
      </c>
      <c r="BS323" s="47">
        <v>0</v>
      </c>
      <c r="BT323" s="47">
        <v>0</v>
      </c>
      <c r="BU323" s="47">
        <v>0</v>
      </c>
      <c r="BV323" s="47">
        <v>0</v>
      </c>
      <c r="BW323" s="47">
        <v>0</v>
      </c>
      <c r="BX323" s="47">
        <v>0</v>
      </c>
      <c r="BY323" s="47">
        <v>0</v>
      </c>
      <c r="BZ323" s="47">
        <v>0</v>
      </c>
      <c r="CA323" s="47">
        <v>0</v>
      </c>
      <c r="CB323" s="47">
        <v>0</v>
      </c>
      <c r="CC323" s="47">
        <v>0</v>
      </c>
      <c r="CD323" s="47">
        <f t="shared" si="795"/>
        <v>0</v>
      </c>
      <c r="CE323" s="47">
        <f t="shared" si="768"/>
        <v>0</v>
      </c>
      <c r="CF323" s="47">
        <f t="shared" si="796"/>
        <v>0</v>
      </c>
      <c r="CG323" s="47">
        <v>0</v>
      </c>
      <c r="CH323" s="47">
        <v>0</v>
      </c>
      <c r="CI323" s="47">
        <f t="shared" si="770"/>
        <v>0</v>
      </c>
      <c r="CJ323" s="47">
        <v>0</v>
      </c>
      <c r="CK323" s="47">
        <v>0</v>
      </c>
      <c r="CL323" s="47">
        <v>0</v>
      </c>
      <c r="CM323" s="47">
        <v>0</v>
      </c>
      <c r="CN323" s="47">
        <f t="shared" si="771"/>
        <v>0</v>
      </c>
      <c r="CO323" s="47">
        <v>0</v>
      </c>
      <c r="CP323" s="47">
        <v>0</v>
      </c>
      <c r="CQ323" s="47">
        <v>0</v>
      </c>
      <c r="CR323" s="47"/>
      <c r="CS323" s="47"/>
      <c r="CT323" s="47">
        <v>0</v>
      </c>
      <c r="CU323" s="47">
        <v>0</v>
      </c>
      <c r="CV323" s="47">
        <v>0</v>
      </c>
      <c r="CW323" s="47">
        <f t="shared" si="797"/>
        <v>0</v>
      </c>
      <c r="CX323" s="47">
        <f t="shared" si="798"/>
        <v>0</v>
      </c>
      <c r="CY323" s="47">
        <v>0</v>
      </c>
      <c r="CZ323" s="49">
        <v>0</v>
      </c>
    </row>
    <row r="324" spans="1:218" ht="31.2" x14ac:dyDescent="0.3">
      <c r="A324" s="43"/>
      <c r="B324" s="44" t="s">
        <v>1</v>
      </c>
      <c r="C324" s="50" t="s">
        <v>399</v>
      </c>
      <c r="D324" s="51" t="s">
        <v>626</v>
      </c>
      <c r="E324" s="46">
        <f t="shared" si="755"/>
        <v>0</v>
      </c>
      <c r="F324" s="47">
        <f t="shared" si="756"/>
        <v>0</v>
      </c>
      <c r="G324" s="47">
        <f t="shared" si="757"/>
        <v>0</v>
      </c>
      <c r="H324" s="47">
        <v>0</v>
      </c>
      <c r="I324" s="47">
        <v>0</v>
      </c>
      <c r="J324" s="47">
        <f t="shared" ref="J324" si="833">SUM(K324:P324)</f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0</v>
      </c>
      <c r="Q324" s="47">
        <f t="shared" ref="Q324" si="834">SUM(R324:S324)</f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f t="shared" ref="V324" si="835">SUM(W324:AD324)</f>
        <v>0</v>
      </c>
      <c r="W324" s="47">
        <v>0</v>
      </c>
      <c r="X324" s="47">
        <v>0</v>
      </c>
      <c r="Y324" s="47">
        <v>0</v>
      </c>
      <c r="Z324" s="47">
        <v>0</v>
      </c>
      <c r="AA324" s="47">
        <v>0</v>
      </c>
      <c r="AB324" s="47">
        <v>0</v>
      </c>
      <c r="AC324" s="47">
        <v>0</v>
      </c>
      <c r="AD324" s="47">
        <v>0</v>
      </c>
      <c r="AE324" s="47">
        <v>0</v>
      </c>
      <c r="AF324" s="47">
        <f t="shared" si="761"/>
        <v>0</v>
      </c>
      <c r="AG324" s="47">
        <v>0</v>
      </c>
      <c r="AH324" s="47">
        <v>0</v>
      </c>
      <c r="AI324" s="47">
        <v>0</v>
      </c>
      <c r="AJ324" s="47">
        <v>0</v>
      </c>
      <c r="AK324" s="47">
        <v>0</v>
      </c>
      <c r="AL324" s="47">
        <v>0</v>
      </c>
      <c r="AM324" s="47">
        <v>0</v>
      </c>
      <c r="AN324" s="47">
        <v>0</v>
      </c>
      <c r="AO324" s="47">
        <v>0</v>
      </c>
      <c r="AP324" s="47">
        <v>0</v>
      </c>
      <c r="AQ324" s="47">
        <v>0</v>
      </c>
      <c r="AR324" s="47">
        <v>0</v>
      </c>
      <c r="AS324" s="47">
        <v>0</v>
      </c>
      <c r="AT324" s="47">
        <v>0</v>
      </c>
      <c r="AU324" s="47">
        <v>0</v>
      </c>
      <c r="AV324" s="47">
        <v>0</v>
      </c>
      <c r="AW324" s="47">
        <v>0</v>
      </c>
      <c r="AX324" s="47">
        <v>0</v>
      </c>
      <c r="AY324" s="47">
        <v>0</v>
      </c>
      <c r="AZ324" s="47">
        <v>0</v>
      </c>
      <c r="BA324" s="47">
        <v>0</v>
      </c>
      <c r="BB324" s="47"/>
      <c r="BC324" s="47"/>
      <c r="BD324" s="47">
        <f t="shared" si="762"/>
        <v>0</v>
      </c>
      <c r="BE324" s="47">
        <f t="shared" si="763"/>
        <v>0</v>
      </c>
      <c r="BF324" s="47">
        <v>0</v>
      </c>
      <c r="BG324" s="47">
        <v>0</v>
      </c>
      <c r="BH324" s="47">
        <v>0</v>
      </c>
      <c r="BI324" s="47">
        <f t="shared" si="764"/>
        <v>0</v>
      </c>
      <c r="BJ324" s="42"/>
      <c r="BK324" s="47">
        <v>0</v>
      </c>
      <c r="BL324" s="47">
        <v>0</v>
      </c>
      <c r="BM324" s="42"/>
      <c r="BN324" s="47">
        <v>0</v>
      </c>
      <c r="BO324" s="47">
        <f t="shared" ref="BO324" si="836">SUM(BP324)</f>
        <v>0</v>
      </c>
      <c r="BP324" s="47">
        <v>0</v>
      </c>
      <c r="BQ324" s="47">
        <v>0</v>
      </c>
      <c r="BR324" s="47">
        <f t="shared" si="766"/>
        <v>0</v>
      </c>
      <c r="BS324" s="47">
        <v>0</v>
      </c>
      <c r="BT324" s="47">
        <v>0</v>
      </c>
      <c r="BU324" s="47">
        <v>0</v>
      </c>
      <c r="BV324" s="47">
        <v>0</v>
      </c>
      <c r="BW324" s="47">
        <v>0</v>
      </c>
      <c r="BX324" s="47">
        <v>0</v>
      </c>
      <c r="BY324" s="47">
        <v>0</v>
      </c>
      <c r="BZ324" s="47">
        <v>0</v>
      </c>
      <c r="CA324" s="47">
        <v>0</v>
      </c>
      <c r="CB324" s="47">
        <v>0</v>
      </c>
      <c r="CC324" s="47">
        <v>0</v>
      </c>
      <c r="CD324" s="47">
        <f t="shared" si="795"/>
        <v>0</v>
      </c>
      <c r="CE324" s="47">
        <f t="shared" si="768"/>
        <v>0</v>
      </c>
      <c r="CF324" s="47">
        <f t="shared" ref="CF324" si="837">SUM(CG324:CH324)</f>
        <v>0</v>
      </c>
      <c r="CG324" s="47">
        <v>0</v>
      </c>
      <c r="CH324" s="47">
        <v>0</v>
      </c>
      <c r="CI324" s="47">
        <f t="shared" si="770"/>
        <v>0</v>
      </c>
      <c r="CJ324" s="47">
        <v>0</v>
      </c>
      <c r="CK324" s="47">
        <v>0</v>
      </c>
      <c r="CL324" s="47">
        <v>0</v>
      </c>
      <c r="CM324" s="47">
        <v>0</v>
      </c>
      <c r="CN324" s="47">
        <f t="shared" si="771"/>
        <v>0</v>
      </c>
      <c r="CO324" s="47">
        <v>0</v>
      </c>
      <c r="CP324" s="47">
        <v>0</v>
      </c>
      <c r="CQ324" s="47">
        <v>0</v>
      </c>
      <c r="CR324" s="47"/>
      <c r="CS324" s="47"/>
      <c r="CT324" s="47">
        <v>0</v>
      </c>
      <c r="CU324" s="47">
        <v>0</v>
      </c>
      <c r="CV324" s="47">
        <v>0</v>
      </c>
      <c r="CW324" s="47">
        <f t="shared" ref="CW324" si="838">SUM(CX324)</f>
        <v>0</v>
      </c>
      <c r="CX324" s="47">
        <f t="shared" si="798"/>
        <v>0</v>
      </c>
      <c r="CY324" s="47">
        <v>0</v>
      </c>
      <c r="CZ324" s="49">
        <v>0</v>
      </c>
    </row>
    <row r="325" spans="1:218" ht="15.6" x14ac:dyDescent="0.3">
      <c r="A325" s="43"/>
      <c r="B325" s="44" t="s">
        <v>1</v>
      </c>
      <c r="C325" s="50" t="s">
        <v>399</v>
      </c>
      <c r="D325" s="51" t="s">
        <v>401</v>
      </c>
      <c r="E325" s="46">
        <f t="shared" si="755"/>
        <v>191110784</v>
      </c>
      <c r="F325" s="47">
        <f t="shared" si="756"/>
        <v>191110784</v>
      </c>
      <c r="G325" s="47">
        <f t="shared" si="757"/>
        <v>0</v>
      </c>
      <c r="H325" s="47"/>
      <c r="I325" s="47"/>
      <c r="J325" s="47">
        <f t="shared" ref="J325" si="839">SUM(K325:P325)</f>
        <v>0</v>
      </c>
      <c r="K325" s="47">
        <v>0</v>
      </c>
      <c r="L325" s="47">
        <v>0</v>
      </c>
      <c r="M325" s="47">
        <v>0</v>
      </c>
      <c r="N325" s="47">
        <v>0</v>
      </c>
      <c r="O325" s="47"/>
      <c r="P325" s="47"/>
      <c r="Q325" s="47">
        <f t="shared" ref="Q325" si="840">SUM(R325:S325)</f>
        <v>0</v>
      </c>
      <c r="R325" s="47">
        <v>0</v>
      </c>
      <c r="S325" s="47"/>
      <c r="T325" s="47">
        <v>0</v>
      </c>
      <c r="U325" s="47"/>
      <c r="V325" s="47">
        <f t="shared" ref="V325" si="841">SUM(W325:AD325)</f>
        <v>0</v>
      </c>
      <c r="W325" s="47">
        <v>0</v>
      </c>
      <c r="X325" s="47"/>
      <c r="Y325" s="47"/>
      <c r="Z325" s="47"/>
      <c r="AA325" s="47">
        <v>0</v>
      </c>
      <c r="AB325" s="47">
        <v>0</v>
      </c>
      <c r="AC325" s="47">
        <v>0</v>
      </c>
      <c r="AD325" s="47">
        <v>0</v>
      </c>
      <c r="AE325" s="47">
        <v>0</v>
      </c>
      <c r="AF325" s="47">
        <f t="shared" si="761"/>
        <v>0</v>
      </c>
      <c r="AG325" s="47">
        <v>0</v>
      </c>
      <c r="AH325" s="47"/>
      <c r="AI325" s="47"/>
      <c r="AJ325" s="47"/>
      <c r="AK325" s="47"/>
      <c r="AL325" s="47"/>
      <c r="AM325" s="47"/>
      <c r="AN325" s="47"/>
      <c r="AO325" s="47">
        <v>0</v>
      </c>
      <c r="AP325" s="47"/>
      <c r="AQ325" s="47"/>
      <c r="AR325" s="47">
        <v>0</v>
      </c>
      <c r="AS325" s="47"/>
      <c r="AT325" s="47"/>
      <c r="AU325" s="47"/>
      <c r="AV325" s="47">
        <v>0</v>
      </c>
      <c r="AW325" s="47">
        <v>0</v>
      </c>
      <c r="AX325" s="47">
        <v>0</v>
      </c>
      <c r="AY325" s="47">
        <f>0</f>
        <v>0</v>
      </c>
      <c r="AZ325" s="47">
        <v>0</v>
      </c>
      <c r="BA325" s="47">
        <v>0</v>
      </c>
      <c r="BB325" s="47"/>
      <c r="BC325" s="47"/>
      <c r="BD325" s="47">
        <f t="shared" si="762"/>
        <v>191110784</v>
      </c>
      <c r="BE325" s="47">
        <f t="shared" si="763"/>
        <v>0</v>
      </c>
      <c r="BF325" s="47">
        <v>0</v>
      </c>
      <c r="BG325" s="47">
        <v>0</v>
      </c>
      <c r="BH325" s="47">
        <v>0</v>
      </c>
      <c r="BI325" s="47">
        <f>SUM(BL325:BL325)</f>
        <v>0</v>
      </c>
      <c r="BJ325" s="47">
        <v>0</v>
      </c>
      <c r="BK325" s="47">
        <v>0</v>
      </c>
      <c r="BL325" s="47">
        <v>0</v>
      </c>
      <c r="BM325" s="42">
        <f>171847832+21806485+256011+11179257-13559017-419784</f>
        <v>191110784</v>
      </c>
      <c r="BN325" s="47">
        <v>0</v>
      </c>
      <c r="BO325" s="47">
        <f t="shared" si="794"/>
        <v>0</v>
      </c>
      <c r="BP325" s="47">
        <v>0</v>
      </c>
      <c r="BQ325" s="47">
        <v>0</v>
      </c>
      <c r="BR325" s="47">
        <f t="shared" si="766"/>
        <v>0</v>
      </c>
      <c r="BS325" s="47">
        <v>0</v>
      </c>
      <c r="BT325" s="47">
        <v>0</v>
      </c>
      <c r="BU325" s="47">
        <v>0</v>
      </c>
      <c r="BV325" s="47">
        <v>0</v>
      </c>
      <c r="BW325" s="47">
        <v>0</v>
      </c>
      <c r="BX325" s="47">
        <v>0</v>
      </c>
      <c r="BY325" s="47">
        <v>0</v>
      </c>
      <c r="BZ325" s="47">
        <v>0</v>
      </c>
      <c r="CA325" s="47">
        <v>0</v>
      </c>
      <c r="CB325" s="47"/>
      <c r="CC325" s="47">
        <v>0</v>
      </c>
      <c r="CD325" s="47">
        <f t="shared" si="767"/>
        <v>0</v>
      </c>
      <c r="CE325" s="47">
        <f t="shared" si="768"/>
        <v>0</v>
      </c>
      <c r="CF325" s="47">
        <f t="shared" ref="CF325" si="842">SUM(CG325:CH325)</f>
        <v>0</v>
      </c>
      <c r="CG325" s="47">
        <v>0</v>
      </c>
      <c r="CH325" s="47"/>
      <c r="CI325" s="47">
        <f t="shared" si="770"/>
        <v>0</v>
      </c>
      <c r="CJ325" s="47">
        <v>0</v>
      </c>
      <c r="CK325" s="47">
        <v>0</v>
      </c>
      <c r="CL325" s="47">
        <v>0</v>
      </c>
      <c r="CM325" s="47">
        <v>0</v>
      </c>
      <c r="CN325" s="47">
        <f t="shared" si="771"/>
        <v>0</v>
      </c>
      <c r="CO325" s="47">
        <v>0</v>
      </c>
      <c r="CP325" s="47">
        <v>0</v>
      </c>
      <c r="CQ325" s="47">
        <v>0</v>
      </c>
      <c r="CR325" s="47"/>
      <c r="CS325" s="47"/>
      <c r="CT325" s="47">
        <v>0</v>
      </c>
      <c r="CU325" s="47">
        <v>0</v>
      </c>
      <c r="CV325" s="47">
        <v>0</v>
      </c>
      <c r="CW325" s="47">
        <f t="shared" ref="CW325" si="843">SUM(CX325)</f>
        <v>0</v>
      </c>
      <c r="CX325" s="47">
        <f t="shared" ref="CX325" si="844">SUM(CY325:CZ325)</f>
        <v>0</v>
      </c>
      <c r="CY325" s="47">
        <v>0</v>
      </c>
      <c r="CZ325" s="49">
        <v>0</v>
      </c>
    </row>
    <row r="326" spans="1:218" ht="31.2" x14ac:dyDescent="0.3">
      <c r="A326" s="20"/>
      <c r="B326" s="21" t="s">
        <v>402</v>
      </c>
      <c r="C326" s="21" t="s">
        <v>1</v>
      </c>
      <c r="D326" s="22" t="s">
        <v>403</v>
      </c>
      <c r="E326" s="23">
        <f t="shared" ref="E326:AJ326" si="845">SUM(E327)</f>
        <v>9546079</v>
      </c>
      <c r="F326" s="24">
        <f t="shared" si="845"/>
        <v>9546079</v>
      </c>
      <c r="G326" s="24">
        <f t="shared" si="845"/>
        <v>0</v>
      </c>
      <c r="H326" s="24">
        <f t="shared" si="845"/>
        <v>0</v>
      </c>
      <c r="I326" s="24">
        <f t="shared" si="845"/>
        <v>0</v>
      </c>
      <c r="J326" s="24">
        <f t="shared" si="845"/>
        <v>0</v>
      </c>
      <c r="K326" s="24">
        <f t="shared" si="845"/>
        <v>0</v>
      </c>
      <c r="L326" s="24">
        <f t="shared" si="845"/>
        <v>0</v>
      </c>
      <c r="M326" s="24">
        <f t="shared" si="845"/>
        <v>0</v>
      </c>
      <c r="N326" s="24">
        <f t="shared" si="845"/>
        <v>0</v>
      </c>
      <c r="O326" s="24">
        <f t="shared" si="845"/>
        <v>0</v>
      </c>
      <c r="P326" s="24">
        <f t="shared" si="845"/>
        <v>0</v>
      </c>
      <c r="Q326" s="24">
        <f t="shared" si="845"/>
        <v>0</v>
      </c>
      <c r="R326" s="24">
        <f t="shared" si="845"/>
        <v>0</v>
      </c>
      <c r="S326" s="24">
        <f t="shared" si="845"/>
        <v>0</v>
      </c>
      <c r="T326" s="24">
        <f t="shared" si="845"/>
        <v>0</v>
      </c>
      <c r="U326" s="24">
        <f t="shared" si="845"/>
        <v>0</v>
      </c>
      <c r="V326" s="24">
        <f t="shared" si="845"/>
        <v>0</v>
      </c>
      <c r="W326" s="24">
        <f t="shared" si="845"/>
        <v>0</v>
      </c>
      <c r="X326" s="24">
        <f t="shared" si="845"/>
        <v>0</v>
      </c>
      <c r="Y326" s="24">
        <f t="shared" si="845"/>
        <v>0</v>
      </c>
      <c r="Z326" s="24">
        <f t="shared" si="845"/>
        <v>0</v>
      </c>
      <c r="AA326" s="24">
        <f t="shared" si="845"/>
        <v>0</v>
      </c>
      <c r="AB326" s="24">
        <f t="shared" si="845"/>
        <v>0</v>
      </c>
      <c r="AC326" s="24">
        <f t="shared" si="845"/>
        <v>0</v>
      </c>
      <c r="AD326" s="24">
        <f t="shared" si="845"/>
        <v>0</v>
      </c>
      <c r="AE326" s="24">
        <f t="shared" si="845"/>
        <v>0</v>
      </c>
      <c r="AF326" s="24">
        <f t="shared" si="845"/>
        <v>0</v>
      </c>
      <c r="AG326" s="24">
        <f t="shared" si="845"/>
        <v>0</v>
      </c>
      <c r="AH326" s="24">
        <f t="shared" si="845"/>
        <v>0</v>
      </c>
      <c r="AI326" s="24">
        <f t="shared" si="845"/>
        <v>0</v>
      </c>
      <c r="AJ326" s="24">
        <f t="shared" si="845"/>
        <v>0</v>
      </c>
      <c r="AK326" s="24">
        <f t="shared" ref="AK326:CX326" si="846">SUM(AK327)</f>
        <v>0</v>
      </c>
      <c r="AL326" s="24">
        <f t="shared" si="846"/>
        <v>0</v>
      </c>
      <c r="AM326" s="24">
        <f t="shared" si="846"/>
        <v>0</v>
      </c>
      <c r="AN326" s="24">
        <f t="shared" si="846"/>
        <v>0</v>
      </c>
      <c r="AO326" s="24">
        <f t="shared" si="846"/>
        <v>0</v>
      </c>
      <c r="AP326" s="24">
        <f t="shared" si="846"/>
        <v>0</v>
      </c>
      <c r="AQ326" s="24">
        <f t="shared" si="846"/>
        <v>0</v>
      </c>
      <c r="AR326" s="24">
        <f t="shared" si="846"/>
        <v>0</v>
      </c>
      <c r="AS326" s="24">
        <f t="shared" si="846"/>
        <v>0</v>
      </c>
      <c r="AT326" s="24">
        <f t="shared" si="846"/>
        <v>0</v>
      </c>
      <c r="AU326" s="24">
        <f t="shared" si="846"/>
        <v>0</v>
      </c>
      <c r="AV326" s="24">
        <f t="shared" si="846"/>
        <v>0</v>
      </c>
      <c r="AW326" s="24">
        <f t="shared" si="846"/>
        <v>0</v>
      </c>
      <c r="AX326" s="24">
        <f t="shared" si="846"/>
        <v>0</v>
      </c>
      <c r="AY326" s="24">
        <f t="shared" si="846"/>
        <v>0</v>
      </c>
      <c r="AZ326" s="24">
        <f t="shared" si="846"/>
        <v>0</v>
      </c>
      <c r="BA326" s="24">
        <f t="shared" si="846"/>
        <v>0</v>
      </c>
      <c r="BB326" s="24"/>
      <c r="BC326" s="24">
        <f t="shared" si="846"/>
        <v>0</v>
      </c>
      <c r="BD326" s="24">
        <f t="shared" si="846"/>
        <v>9546079</v>
      </c>
      <c r="BE326" s="24">
        <f t="shared" si="846"/>
        <v>0</v>
      </c>
      <c r="BF326" s="24">
        <f t="shared" si="846"/>
        <v>0</v>
      </c>
      <c r="BG326" s="24">
        <f t="shared" si="846"/>
        <v>0</v>
      </c>
      <c r="BH326" s="24">
        <f t="shared" si="846"/>
        <v>0</v>
      </c>
      <c r="BI326" s="47">
        <f>SUM(BJ326:BL326)</f>
        <v>9546079</v>
      </c>
      <c r="BJ326" s="24">
        <f t="shared" si="846"/>
        <v>0</v>
      </c>
      <c r="BK326" s="24">
        <f t="shared" si="846"/>
        <v>0</v>
      </c>
      <c r="BL326" s="24">
        <f t="shared" si="846"/>
        <v>9546079</v>
      </c>
      <c r="BM326" s="24">
        <f t="shared" si="846"/>
        <v>0</v>
      </c>
      <c r="BN326" s="24">
        <f t="shared" si="846"/>
        <v>0</v>
      </c>
      <c r="BO326" s="24">
        <f t="shared" si="846"/>
        <v>0</v>
      </c>
      <c r="BP326" s="24">
        <f t="shared" si="846"/>
        <v>0</v>
      </c>
      <c r="BQ326" s="24">
        <f t="shared" si="846"/>
        <v>0</v>
      </c>
      <c r="BR326" s="24">
        <f t="shared" si="846"/>
        <v>0</v>
      </c>
      <c r="BS326" s="24">
        <f t="shared" si="846"/>
        <v>0</v>
      </c>
      <c r="BT326" s="24">
        <f t="shared" si="846"/>
        <v>0</v>
      </c>
      <c r="BU326" s="24">
        <f t="shared" si="846"/>
        <v>0</v>
      </c>
      <c r="BV326" s="24">
        <f t="shared" si="846"/>
        <v>0</v>
      </c>
      <c r="BW326" s="24">
        <f t="shared" si="846"/>
        <v>0</v>
      </c>
      <c r="BX326" s="24">
        <f t="shared" si="846"/>
        <v>0</v>
      </c>
      <c r="BY326" s="24">
        <f t="shared" si="846"/>
        <v>0</v>
      </c>
      <c r="BZ326" s="24">
        <f t="shared" si="846"/>
        <v>0</v>
      </c>
      <c r="CA326" s="24">
        <f t="shared" si="846"/>
        <v>0</v>
      </c>
      <c r="CB326" s="24">
        <f t="shared" si="846"/>
        <v>0</v>
      </c>
      <c r="CC326" s="24">
        <f t="shared" si="846"/>
        <v>0</v>
      </c>
      <c r="CD326" s="24">
        <f t="shared" si="767"/>
        <v>0</v>
      </c>
      <c r="CE326" s="24">
        <f t="shared" si="846"/>
        <v>0</v>
      </c>
      <c r="CF326" s="24">
        <f t="shared" si="846"/>
        <v>0</v>
      </c>
      <c r="CG326" s="24">
        <f t="shared" si="846"/>
        <v>0</v>
      </c>
      <c r="CH326" s="24">
        <f t="shared" si="846"/>
        <v>0</v>
      </c>
      <c r="CI326" s="24">
        <f t="shared" si="846"/>
        <v>0</v>
      </c>
      <c r="CJ326" s="24">
        <f t="shared" si="846"/>
        <v>0</v>
      </c>
      <c r="CK326" s="24">
        <f t="shared" si="846"/>
        <v>0</v>
      </c>
      <c r="CL326" s="24">
        <f t="shared" si="846"/>
        <v>0</v>
      </c>
      <c r="CM326" s="24">
        <f t="shared" si="846"/>
        <v>0</v>
      </c>
      <c r="CN326" s="24">
        <f t="shared" si="846"/>
        <v>0</v>
      </c>
      <c r="CO326" s="24">
        <f t="shared" si="846"/>
        <v>0</v>
      </c>
      <c r="CP326" s="24">
        <f t="shared" si="846"/>
        <v>0</v>
      </c>
      <c r="CQ326" s="24">
        <f t="shared" si="846"/>
        <v>0</v>
      </c>
      <c r="CR326" s="24"/>
      <c r="CS326" s="24"/>
      <c r="CT326" s="24">
        <f t="shared" si="846"/>
        <v>0</v>
      </c>
      <c r="CU326" s="24">
        <f t="shared" si="846"/>
        <v>0</v>
      </c>
      <c r="CV326" s="24">
        <f t="shared" si="846"/>
        <v>0</v>
      </c>
      <c r="CW326" s="24">
        <f t="shared" si="846"/>
        <v>0</v>
      </c>
      <c r="CX326" s="24">
        <f t="shared" si="846"/>
        <v>0</v>
      </c>
      <c r="CY326" s="24">
        <f t="shared" ref="CY326:CZ326" si="847">SUM(CY327)</f>
        <v>0</v>
      </c>
      <c r="CZ326" s="25">
        <f t="shared" si="847"/>
        <v>0</v>
      </c>
    </row>
    <row r="327" spans="1:218" ht="15.6" x14ac:dyDescent="0.3">
      <c r="A327" s="26"/>
      <c r="B327" s="27" t="s">
        <v>1</v>
      </c>
      <c r="C327" s="27" t="s">
        <v>404</v>
      </c>
      <c r="D327" s="28" t="s">
        <v>403</v>
      </c>
      <c r="E327" s="23">
        <f>SUM(F327+CD327+CW327)</f>
        <v>9546079</v>
      </c>
      <c r="F327" s="24">
        <f>SUM(G327+BD327)</f>
        <v>9546079</v>
      </c>
      <c r="G327" s="24">
        <f>SUM(H327+I327+J327+Q327+T327+U327+V327+AF327+AE327)</f>
        <v>0</v>
      </c>
      <c r="H327" s="24">
        <v>0</v>
      </c>
      <c r="I327" s="24">
        <v>0</v>
      </c>
      <c r="J327" s="24">
        <f>SUM(K327:P327)</f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f>SUM(R327:S327)</f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f t="shared" ref="V327" si="848">SUM(W327:AD327)</f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f>SUM(AG327:BC327)</f>
        <v>0</v>
      </c>
      <c r="AG327" s="24">
        <v>0</v>
      </c>
      <c r="AH327" s="24">
        <v>0</v>
      </c>
      <c r="AI327" s="24">
        <v>0</v>
      </c>
      <c r="AJ327" s="24">
        <v>0</v>
      </c>
      <c r="AK327" s="24">
        <v>0</v>
      </c>
      <c r="AL327" s="24">
        <v>0</v>
      </c>
      <c r="AM327" s="24">
        <v>0</v>
      </c>
      <c r="AN327" s="24">
        <v>0</v>
      </c>
      <c r="AO327" s="24">
        <v>0</v>
      </c>
      <c r="AP327" s="24">
        <v>0</v>
      </c>
      <c r="AQ327" s="24">
        <v>0</v>
      </c>
      <c r="AR327" s="24">
        <v>0</v>
      </c>
      <c r="AS327" s="24">
        <v>0</v>
      </c>
      <c r="AT327" s="24">
        <v>0</v>
      </c>
      <c r="AU327" s="24">
        <v>0</v>
      </c>
      <c r="AV327" s="24">
        <v>0</v>
      </c>
      <c r="AW327" s="24">
        <v>0</v>
      </c>
      <c r="AX327" s="24">
        <v>0</v>
      </c>
      <c r="AY327" s="24">
        <v>0</v>
      </c>
      <c r="AZ327" s="24">
        <v>0</v>
      </c>
      <c r="BA327" s="24">
        <v>0</v>
      </c>
      <c r="BB327" s="24"/>
      <c r="BC327" s="24">
        <v>0</v>
      </c>
      <c r="BD327" s="24">
        <f>SUM(BE327+BI327+BM327+BO327+BR327)</f>
        <v>9546079</v>
      </c>
      <c r="BE327" s="24">
        <f>SUM(BF327:BH327)</f>
        <v>0</v>
      </c>
      <c r="BF327" s="24">
        <v>0</v>
      </c>
      <c r="BG327" s="24">
        <v>0</v>
      </c>
      <c r="BH327" s="24">
        <v>0</v>
      </c>
      <c r="BI327" s="47">
        <f>SUM(BJ327:BL327)</f>
        <v>9546079</v>
      </c>
      <c r="BJ327" s="24">
        <v>0</v>
      </c>
      <c r="BK327" s="29"/>
      <c r="BL327" s="29">
        <f>6919931+2626148</f>
        <v>9546079</v>
      </c>
      <c r="BM327" s="24">
        <v>0</v>
      </c>
      <c r="BN327" s="24">
        <v>0</v>
      </c>
      <c r="BO327" s="24">
        <f>SUM(BP327)</f>
        <v>0</v>
      </c>
      <c r="BP327" s="24">
        <v>0</v>
      </c>
      <c r="BQ327" s="24">
        <v>0</v>
      </c>
      <c r="BR327" s="24">
        <f>SUM(BS327:CC327)</f>
        <v>0</v>
      </c>
      <c r="BS327" s="24">
        <v>0</v>
      </c>
      <c r="BT327" s="24">
        <v>0</v>
      </c>
      <c r="BU327" s="24">
        <v>0</v>
      </c>
      <c r="BV327" s="24">
        <v>0</v>
      </c>
      <c r="BW327" s="24">
        <v>0</v>
      </c>
      <c r="BX327" s="24">
        <v>0</v>
      </c>
      <c r="BY327" s="24">
        <v>0</v>
      </c>
      <c r="BZ327" s="24">
        <v>0</v>
      </c>
      <c r="CA327" s="24">
        <v>0</v>
      </c>
      <c r="CB327" s="24">
        <v>0</v>
      </c>
      <c r="CC327" s="24">
        <v>0</v>
      </c>
      <c r="CD327" s="24">
        <f t="shared" si="767"/>
        <v>0</v>
      </c>
      <c r="CE327" s="24">
        <f>SUM(CF327+CI327+CN327)</f>
        <v>0</v>
      </c>
      <c r="CF327" s="24">
        <f>SUM(CG327:CH327)</f>
        <v>0</v>
      </c>
      <c r="CG327" s="24">
        <v>0</v>
      </c>
      <c r="CH327" s="24">
        <v>0</v>
      </c>
      <c r="CI327" s="24">
        <f>SUM(CJ327:CM327)</f>
        <v>0</v>
      </c>
      <c r="CJ327" s="24">
        <v>0</v>
      </c>
      <c r="CK327" s="24">
        <v>0</v>
      </c>
      <c r="CL327" s="24">
        <v>0</v>
      </c>
      <c r="CM327" s="24">
        <v>0</v>
      </c>
      <c r="CN327" s="24">
        <f>SUM(CO327:CS327)</f>
        <v>0</v>
      </c>
      <c r="CO327" s="24">
        <v>0</v>
      </c>
      <c r="CP327" s="24">
        <v>0</v>
      </c>
      <c r="CQ327" s="24">
        <v>0</v>
      </c>
      <c r="CR327" s="24"/>
      <c r="CS327" s="24"/>
      <c r="CT327" s="24">
        <v>0</v>
      </c>
      <c r="CU327" s="24">
        <v>0</v>
      </c>
      <c r="CV327" s="24">
        <v>0</v>
      </c>
      <c r="CW327" s="24">
        <f>SUM(CX327)</f>
        <v>0</v>
      </c>
      <c r="CX327" s="24">
        <f>SUM(CY327:CZ327)</f>
        <v>0</v>
      </c>
      <c r="CY327" s="24">
        <v>0</v>
      </c>
      <c r="CZ327" s="25">
        <v>0</v>
      </c>
    </row>
    <row r="328" spans="1:218" ht="31.2" x14ac:dyDescent="0.3">
      <c r="A328" s="20"/>
      <c r="B328" s="21" t="s">
        <v>405</v>
      </c>
      <c r="C328" s="21" t="s">
        <v>1</v>
      </c>
      <c r="D328" s="22" t="s">
        <v>406</v>
      </c>
      <c r="E328" s="23">
        <f t="shared" ref="E328:AL328" si="849">SUM(E329)</f>
        <v>49601302</v>
      </c>
      <c r="F328" s="24">
        <f t="shared" si="849"/>
        <v>49601302</v>
      </c>
      <c r="G328" s="24">
        <f t="shared" si="849"/>
        <v>11932702</v>
      </c>
      <c r="H328" s="24">
        <f t="shared" si="849"/>
        <v>0</v>
      </c>
      <c r="I328" s="24">
        <f t="shared" si="849"/>
        <v>0</v>
      </c>
      <c r="J328" s="24">
        <f t="shared" si="849"/>
        <v>0</v>
      </c>
      <c r="K328" s="24">
        <f t="shared" si="849"/>
        <v>0</v>
      </c>
      <c r="L328" s="24">
        <f t="shared" si="849"/>
        <v>0</v>
      </c>
      <c r="M328" s="24">
        <f t="shared" si="849"/>
        <v>0</v>
      </c>
      <c r="N328" s="24">
        <f t="shared" si="849"/>
        <v>0</v>
      </c>
      <c r="O328" s="24">
        <f t="shared" si="849"/>
        <v>0</v>
      </c>
      <c r="P328" s="24">
        <f t="shared" si="849"/>
        <v>0</v>
      </c>
      <c r="Q328" s="24">
        <f t="shared" si="849"/>
        <v>0</v>
      </c>
      <c r="R328" s="24">
        <f t="shared" si="849"/>
        <v>0</v>
      </c>
      <c r="S328" s="24">
        <f t="shared" si="849"/>
        <v>0</v>
      </c>
      <c r="T328" s="24">
        <f t="shared" si="849"/>
        <v>0</v>
      </c>
      <c r="U328" s="24">
        <f t="shared" si="849"/>
        <v>0</v>
      </c>
      <c r="V328" s="24">
        <f t="shared" si="849"/>
        <v>0</v>
      </c>
      <c r="W328" s="24">
        <f t="shared" si="849"/>
        <v>0</v>
      </c>
      <c r="X328" s="24">
        <f t="shared" si="849"/>
        <v>0</v>
      </c>
      <c r="Y328" s="24">
        <f t="shared" si="849"/>
        <v>0</v>
      </c>
      <c r="Z328" s="24">
        <f t="shared" si="849"/>
        <v>0</v>
      </c>
      <c r="AA328" s="24">
        <f t="shared" si="849"/>
        <v>0</v>
      </c>
      <c r="AB328" s="24">
        <f t="shared" si="849"/>
        <v>0</v>
      </c>
      <c r="AC328" s="24">
        <f t="shared" si="849"/>
        <v>0</v>
      </c>
      <c r="AD328" s="24">
        <f t="shared" si="849"/>
        <v>0</v>
      </c>
      <c r="AE328" s="24">
        <f t="shared" si="849"/>
        <v>0</v>
      </c>
      <c r="AF328" s="24">
        <f t="shared" si="849"/>
        <v>11932702</v>
      </c>
      <c r="AG328" s="24">
        <f t="shared" si="849"/>
        <v>0</v>
      </c>
      <c r="AH328" s="24">
        <f t="shared" si="849"/>
        <v>0</v>
      </c>
      <c r="AI328" s="24">
        <f t="shared" si="849"/>
        <v>0</v>
      </c>
      <c r="AJ328" s="24">
        <f t="shared" si="849"/>
        <v>0</v>
      </c>
      <c r="AK328" s="24">
        <f t="shared" si="849"/>
        <v>0</v>
      </c>
      <c r="AL328" s="24">
        <f t="shared" si="849"/>
        <v>0</v>
      </c>
      <c r="AM328" s="24">
        <f t="shared" ref="AM328:CZ328" si="850">SUM(AM329)</f>
        <v>0</v>
      </c>
      <c r="AN328" s="24">
        <f t="shared" si="850"/>
        <v>0</v>
      </c>
      <c r="AO328" s="24">
        <f t="shared" si="850"/>
        <v>0</v>
      </c>
      <c r="AP328" s="24">
        <f t="shared" si="850"/>
        <v>0</v>
      </c>
      <c r="AQ328" s="24">
        <f t="shared" si="850"/>
        <v>0</v>
      </c>
      <c r="AR328" s="24">
        <f t="shared" si="850"/>
        <v>0</v>
      </c>
      <c r="AS328" s="24">
        <f t="shared" si="850"/>
        <v>0</v>
      </c>
      <c r="AT328" s="24">
        <f t="shared" si="850"/>
        <v>0</v>
      </c>
      <c r="AU328" s="24">
        <f t="shared" si="850"/>
        <v>0</v>
      </c>
      <c r="AV328" s="24">
        <f t="shared" si="850"/>
        <v>0</v>
      </c>
      <c r="AW328" s="24">
        <f t="shared" si="850"/>
        <v>0</v>
      </c>
      <c r="AX328" s="24">
        <f t="shared" si="850"/>
        <v>0</v>
      </c>
      <c r="AY328" s="24">
        <f t="shared" si="850"/>
        <v>0</v>
      </c>
      <c r="AZ328" s="24">
        <f t="shared" si="850"/>
        <v>0</v>
      </c>
      <c r="BA328" s="24">
        <f t="shared" si="850"/>
        <v>0</v>
      </c>
      <c r="BB328" s="24"/>
      <c r="BC328" s="24">
        <f t="shared" si="850"/>
        <v>11932702</v>
      </c>
      <c r="BD328" s="24">
        <f t="shared" si="850"/>
        <v>37668600</v>
      </c>
      <c r="BE328" s="24">
        <f t="shared" si="850"/>
        <v>0</v>
      </c>
      <c r="BF328" s="24">
        <f t="shared" si="850"/>
        <v>0</v>
      </c>
      <c r="BG328" s="24">
        <f t="shared" si="850"/>
        <v>0</v>
      </c>
      <c r="BH328" s="24">
        <f t="shared" si="850"/>
        <v>0</v>
      </c>
      <c r="BI328" s="24">
        <f t="shared" si="850"/>
        <v>0</v>
      </c>
      <c r="BJ328" s="24">
        <f t="shared" si="850"/>
        <v>0</v>
      </c>
      <c r="BK328" s="24">
        <f t="shared" si="850"/>
        <v>0</v>
      </c>
      <c r="BL328" s="24">
        <f t="shared" si="850"/>
        <v>0</v>
      </c>
      <c r="BM328" s="24">
        <f t="shared" si="850"/>
        <v>0</v>
      </c>
      <c r="BN328" s="24">
        <f t="shared" si="850"/>
        <v>0</v>
      </c>
      <c r="BO328" s="24">
        <f t="shared" si="850"/>
        <v>0</v>
      </c>
      <c r="BP328" s="24">
        <f t="shared" si="850"/>
        <v>0</v>
      </c>
      <c r="BQ328" s="24">
        <f t="shared" si="850"/>
        <v>0</v>
      </c>
      <c r="BR328" s="24">
        <f t="shared" si="850"/>
        <v>37668600</v>
      </c>
      <c r="BS328" s="24">
        <f t="shared" si="850"/>
        <v>0</v>
      </c>
      <c r="BT328" s="24">
        <f t="shared" si="850"/>
        <v>0</v>
      </c>
      <c r="BU328" s="24">
        <f t="shared" si="850"/>
        <v>0</v>
      </c>
      <c r="BV328" s="24">
        <f t="shared" si="850"/>
        <v>0</v>
      </c>
      <c r="BW328" s="24">
        <f t="shared" si="850"/>
        <v>0</v>
      </c>
      <c r="BX328" s="24">
        <f t="shared" si="850"/>
        <v>0</v>
      </c>
      <c r="BY328" s="24">
        <f t="shared" si="850"/>
        <v>0</v>
      </c>
      <c r="BZ328" s="24">
        <f t="shared" si="850"/>
        <v>0</v>
      </c>
      <c r="CA328" s="24">
        <f t="shared" si="850"/>
        <v>0</v>
      </c>
      <c r="CB328" s="24">
        <f t="shared" si="850"/>
        <v>0</v>
      </c>
      <c r="CC328" s="24">
        <f t="shared" si="850"/>
        <v>37668600</v>
      </c>
      <c r="CD328" s="24">
        <f t="shared" si="767"/>
        <v>0</v>
      </c>
      <c r="CE328" s="24">
        <f t="shared" si="850"/>
        <v>0</v>
      </c>
      <c r="CF328" s="24">
        <f t="shared" si="850"/>
        <v>0</v>
      </c>
      <c r="CG328" s="24">
        <f t="shared" si="850"/>
        <v>0</v>
      </c>
      <c r="CH328" s="24">
        <f t="shared" si="850"/>
        <v>0</v>
      </c>
      <c r="CI328" s="24">
        <f t="shared" si="850"/>
        <v>0</v>
      </c>
      <c r="CJ328" s="24">
        <f t="shared" si="850"/>
        <v>0</v>
      </c>
      <c r="CK328" s="24">
        <f t="shared" si="850"/>
        <v>0</v>
      </c>
      <c r="CL328" s="24">
        <f t="shared" si="850"/>
        <v>0</v>
      </c>
      <c r="CM328" s="24">
        <f t="shared" si="850"/>
        <v>0</v>
      </c>
      <c r="CN328" s="24">
        <f t="shared" si="850"/>
        <v>0</v>
      </c>
      <c r="CO328" s="24">
        <f t="shared" si="850"/>
        <v>0</v>
      </c>
      <c r="CP328" s="24">
        <f t="shared" si="850"/>
        <v>0</v>
      </c>
      <c r="CQ328" s="24">
        <f t="shared" si="850"/>
        <v>0</v>
      </c>
      <c r="CR328" s="24"/>
      <c r="CS328" s="24"/>
      <c r="CT328" s="24">
        <f t="shared" si="850"/>
        <v>0</v>
      </c>
      <c r="CU328" s="24">
        <f t="shared" si="850"/>
        <v>0</v>
      </c>
      <c r="CV328" s="24">
        <f t="shared" si="850"/>
        <v>0</v>
      </c>
      <c r="CW328" s="24">
        <f t="shared" si="850"/>
        <v>0</v>
      </c>
      <c r="CX328" s="24">
        <f t="shared" si="850"/>
        <v>0</v>
      </c>
      <c r="CY328" s="24">
        <f t="shared" si="850"/>
        <v>0</v>
      </c>
      <c r="CZ328" s="25">
        <f t="shared" si="850"/>
        <v>0</v>
      </c>
    </row>
    <row r="329" spans="1:218" ht="31.2" x14ac:dyDescent="0.3">
      <c r="A329" s="26"/>
      <c r="B329" s="27" t="s">
        <v>1</v>
      </c>
      <c r="C329" s="27" t="s">
        <v>94</v>
      </c>
      <c r="D329" s="28" t="s">
        <v>407</v>
      </c>
      <c r="E329" s="23">
        <f>SUM(F329+CD329+CW329)</f>
        <v>49601302</v>
      </c>
      <c r="F329" s="24">
        <f>SUM(G329+BD329)</f>
        <v>49601302</v>
      </c>
      <c r="G329" s="24">
        <f>SUM(H329+I329+J329+Q329+T329+U329+V329+AF329+AE329)</f>
        <v>11932702</v>
      </c>
      <c r="H329" s="24">
        <v>0</v>
      </c>
      <c r="I329" s="24">
        <v>0</v>
      </c>
      <c r="J329" s="24">
        <f t="shared" ref="J329:J339" si="851">SUM(K329:P329)</f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f t="shared" ref="Q329:Q339" si="852">SUM(R329:S329)</f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f t="shared" ref="V329" si="853">SUM(W329:AD329)</f>
        <v>0</v>
      </c>
      <c r="W329" s="24">
        <v>0</v>
      </c>
      <c r="X329" s="24">
        <v>0</v>
      </c>
      <c r="Y329" s="24">
        <v>0</v>
      </c>
      <c r="Z329" s="24">
        <v>0</v>
      </c>
      <c r="AA329" s="24">
        <v>0</v>
      </c>
      <c r="AB329" s="24">
        <v>0</v>
      </c>
      <c r="AC329" s="24">
        <v>0</v>
      </c>
      <c r="AD329" s="24">
        <v>0</v>
      </c>
      <c r="AE329" s="24">
        <v>0</v>
      </c>
      <c r="AF329" s="24">
        <f>SUM(AG329:BC329)</f>
        <v>11932702</v>
      </c>
      <c r="AG329" s="24">
        <v>0</v>
      </c>
      <c r="AH329" s="24">
        <v>0</v>
      </c>
      <c r="AI329" s="24">
        <v>0</v>
      </c>
      <c r="AJ329" s="24">
        <v>0</v>
      </c>
      <c r="AK329" s="24">
        <v>0</v>
      </c>
      <c r="AL329" s="24">
        <v>0</v>
      </c>
      <c r="AM329" s="24">
        <v>0</v>
      </c>
      <c r="AN329" s="24">
        <v>0</v>
      </c>
      <c r="AO329" s="24">
        <v>0</v>
      </c>
      <c r="AP329" s="24">
        <v>0</v>
      </c>
      <c r="AQ329" s="24">
        <v>0</v>
      </c>
      <c r="AR329" s="24">
        <v>0</v>
      </c>
      <c r="AS329" s="24">
        <v>0</v>
      </c>
      <c r="AT329" s="24">
        <v>0</v>
      </c>
      <c r="AU329" s="24">
        <v>0</v>
      </c>
      <c r="AV329" s="24">
        <v>0</v>
      </c>
      <c r="AW329" s="24">
        <v>0</v>
      </c>
      <c r="AX329" s="24">
        <v>0</v>
      </c>
      <c r="AY329" s="24">
        <v>0</v>
      </c>
      <c r="AZ329" s="24">
        <v>0</v>
      </c>
      <c r="BA329" s="24">
        <v>0</v>
      </c>
      <c r="BB329" s="24"/>
      <c r="BC329" s="24">
        <f>0+11932702</f>
        <v>11932702</v>
      </c>
      <c r="BD329" s="24">
        <f>SUM(BE329+BI329+BM329+BO329+BR329)</f>
        <v>37668600</v>
      </c>
      <c r="BE329" s="24">
        <f>SUM(BF329:BH329)</f>
        <v>0</v>
      </c>
      <c r="BF329" s="24">
        <v>0</v>
      </c>
      <c r="BG329" s="24">
        <v>0</v>
      </c>
      <c r="BH329" s="24">
        <v>0</v>
      </c>
      <c r="BI329" s="24">
        <f>SUM(BL329:BL329)</f>
        <v>0</v>
      </c>
      <c r="BJ329" s="24">
        <v>0</v>
      </c>
      <c r="BK329" s="24">
        <v>0</v>
      </c>
      <c r="BL329" s="24">
        <v>0</v>
      </c>
      <c r="BM329" s="24">
        <v>0</v>
      </c>
      <c r="BN329" s="24">
        <v>0</v>
      </c>
      <c r="BO329" s="24">
        <f t="shared" ref="BO329:BO339" si="854">SUM(BP329)</f>
        <v>0</v>
      </c>
      <c r="BP329" s="24">
        <v>0</v>
      </c>
      <c r="BQ329" s="24">
        <v>0</v>
      </c>
      <c r="BR329" s="24">
        <f>SUM(BS329:CC329)</f>
        <v>37668600</v>
      </c>
      <c r="BS329" s="24">
        <v>0</v>
      </c>
      <c r="BT329" s="24">
        <v>0</v>
      </c>
      <c r="BU329" s="24">
        <v>0</v>
      </c>
      <c r="BV329" s="24">
        <v>0</v>
      </c>
      <c r="BW329" s="24">
        <v>0</v>
      </c>
      <c r="BX329" s="24">
        <v>0</v>
      </c>
      <c r="BY329" s="24">
        <v>0</v>
      </c>
      <c r="BZ329" s="24">
        <v>0</v>
      </c>
      <c r="CA329" s="24">
        <v>0</v>
      </c>
      <c r="CB329" s="24">
        <v>0</v>
      </c>
      <c r="CC329" s="24">
        <f>47825823+1775479-11932702</f>
        <v>37668600</v>
      </c>
      <c r="CD329" s="24">
        <f t="shared" si="767"/>
        <v>0</v>
      </c>
      <c r="CE329" s="24">
        <f>SUM(CF329+CI329+CN329)</f>
        <v>0</v>
      </c>
      <c r="CF329" s="24">
        <f t="shared" ref="CF329:CF339" si="855">SUM(CG329:CH329)</f>
        <v>0</v>
      </c>
      <c r="CG329" s="24">
        <v>0</v>
      </c>
      <c r="CH329" s="24">
        <v>0</v>
      </c>
      <c r="CI329" s="24">
        <f>SUM(CJ329:CM329)</f>
        <v>0</v>
      </c>
      <c r="CJ329" s="24">
        <v>0</v>
      </c>
      <c r="CK329" s="24">
        <v>0</v>
      </c>
      <c r="CL329" s="24">
        <v>0</v>
      </c>
      <c r="CM329" s="24">
        <v>0</v>
      </c>
      <c r="CN329" s="24">
        <f>SUM(CO329:CS329)</f>
        <v>0</v>
      </c>
      <c r="CO329" s="24">
        <v>0</v>
      </c>
      <c r="CP329" s="24">
        <v>0</v>
      </c>
      <c r="CQ329" s="24">
        <v>0</v>
      </c>
      <c r="CR329" s="24"/>
      <c r="CS329" s="24"/>
      <c r="CT329" s="24">
        <v>0</v>
      </c>
      <c r="CU329" s="24">
        <v>0</v>
      </c>
      <c r="CV329" s="24">
        <v>0</v>
      </c>
      <c r="CW329" s="24">
        <f t="shared" ref="CW329:CW339" si="856">SUM(CX329)</f>
        <v>0</v>
      </c>
      <c r="CX329" s="24">
        <f t="shared" ref="CX329:CX339" si="857">SUM(CY329:CZ329)</f>
        <v>0</v>
      </c>
      <c r="CY329" s="24">
        <v>0</v>
      </c>
      <c r="CZ329" s="25">
        <v>0</v>
      </c>
    </row>
    <row r="330" spans="1:218" ht="15.6" x14ac:dyDescent="0.3">
      <c r="A330" s="20"/>
      <c r="B330" s="21" t="s">
        <v>408</v>
      </c>
      <c r="C330" s="21" t="s">
        <v>1</v>
      </c>
      <c r="D330" s="22" t="s">
        <v>409</v>
      </c>
      <c r="E330" s="23">
        <f t="shared" ref="E330:AL330" si="858">SUM(E331)</f>
        <v>237556417</v>
      </c>
      <c r="F330" s="24">
        <f t="shared" si="858"/>
        <v>1070558</v>
      </c>
      <c r="G330" s="24">
        <f t="shared" si="858"/>
        <v>1070558</v>
      </c>
      <c r="H330" s="24">
        <f t="shared" si="858"/>
        <v>0</v>
      </c>
      <c r="I330" s="24">
        <f t="shared" si="858"/>
        <v>0</v>
      </c>
      <c r="J330" s="24">
        <f t="shared" si="858"/>
        <v>18059</v>
      </c>
      <c r="K330" s="24">
        <f t="shared" si="858"/>
        <v>0</v>
      </c>
      <c r="L330" s="24">
        <f t="shared" si="858"/>
        <v>0</v>
      </c>
      <c r="M330" s="24">
        <f t="shared" si="858"/>
        <v>0</v>
      </c>
      <c r="N330" s="24">
        <f t="shared" si="858"/>
        <v>0</v>
      </c>
      <c r="O330" s="24">
        <f t="shared" si="858"/>
        <v>3</v>
      </c>
      <c r="P330" s="24">
        <f t="shared" si="858"/>
        <v>18056</v>
      </c>
      <c r="Q330" s="24">
        <f t="shared" si="858"/>
        <v>0</v>
      </c>
      <c r="R330" s="24">
        <f t="shared" si="858"/>
        <v>0</v>
      </c>
      <c r="S330" s="24">
        <f t="shared" si="858"/>
        <v>0</v>
      </c>
      <c r="T330" s="24">
        <f t="shared" si="858"/>
        <v>0</v>
      </c>
      <c r="U330" s="24">
        <f t="shared" si="858"/>
        <v>0</v>
      </c>
      <c r="V330" s="24">
        <f t="shared" si="858"/>
        <v>0</v>
      </c>
      <c r="W330" s="24">
        <f t="shared" si="858"/>
        <v>0</v>
      </c>
      <c r="X330" s="24">
        <f t="shared" si="858"/>
        <v>0</v>
      </c>
      <c r="Y330" s="24">
        <f t="shared" si="858"/>
        <v>0</v>
      </c>
      <c r="Z330" s="24">
        <f t="shared" si="858"/>
        <v>0</v>
      </c>
      <c r="AA330" s="24">
        <f t="shared" si="858"/>
        <v>0</v>
      </c>
      <c r="AB330" s="24">
        <f t="shared" si="858"/>
        <v>0</v>
      </c>
      <c r="AC330" s="24">
        <f t="shared" si="858"/>
        <v>0</v>
      </c>
      <c r="AD330" s="24">
        <f t="shared" si="858"/>
        <v>0</v>
      </c>
      <c r="AE330" s="24">
        <f t="shared" si="858"/>
        <v>0</v>
      </c>
      <c r="AF330" s="24">
        <f t="shared" si="858"/>
        <v>1052499</v>
      </c>
      <c r="AG330" s="24">
        <f t="shared" si="858"/>
        <v>0</v>
      </c>
      <c r="AH330" s="24">
        <f t="shared" si="858"/>
        <v>0</v>
      </c>
      <c r="AI330" s="24">
        <f t="shared" si="858"/>
        <v>892054</v>
      </c>
      <c r="AJ330" s="24">
        <f t="shared" si="858"/>
        <v>0</v>
      </c>
      <c r="AK330" s="24">
        <f t="shared" si="858"/>
        <v>0</v>
      </c>
      <c r="AL330" s="24">
        <f t="shared" si="858"/>
        <v>0</v>
      </c>
      <c r="AM330" s="24">
        <f t="shared" ref="AM330:CZ330" si="859">SUM(AM331)</f>
        <v>0</v>
      </c>
      <c r="AN330" s="24">
        <f t="shared" si="859"/>
        <v>0</v>
      </c>
      <c r="AO330" s="24">
        <f t="shared" si="859"/>
        <v>0</v>
      </c>
      <c r="AP330" s="24">
        <f t="shared" si="859"/>
        <v>0</v>
      </c>
      <c r="AQ330" s="24">
        <f t="shared" si="859"/>
        <v>0</v>
      </c>
      <c r="AR330" s="24">
        <f t="shared" si="859"/>
        <v>0</v>
      </c>
      <c r="AS330" s="24">
        <f t="shared" si="859"/>
        <v>0</v>
      </c>
      <c r="AT330" s="24">
        <f t="shared" si="859"/>
        <v>0</v>
      </c>
      <c r="AU330" s="24">
        <f t="shared" si="859"/>
        <v>0</v>
      </c>
      <c r="AV330" s="24">
        <f t="shared" si="859"/>
        <v>0</v>
      </c>
      <c r="AW330" s="24">
        <f t="shared" si="859"/>
        <v>0</v>
      </c>
      <c r="AX330" s="24">
        <f t="shared" si="859"/>
        <v>0</v>
      </c>
      <c r="AY330" s="24">
        <f t="shared" si="859"/>
        <v>0</v>
      </c>
      <c r="AZ330" s="24">
        <f t="shared" si="859"/>
        <v>0</v>
      </c>
      <c r="BA330" s="24">
        <f t="shared" si="859"/>
        <v>0</v>
      </c>
      <c r="BB330" s="24"/>
      <c r="BC330" s="24">
        <f t="shared" si="859"/>
        <v>160445</v>
      </c>
      <c r="BD330" s="24">
        <f t="shared" si="859"/>
        <v>0</v>
      </c>
      <c r="BE330" s="24">
        <f t="shared" si="859"/>
        <v>0</v>
      </c>
      <c r="BF330" s="24">
        <f t="shared" si="859"/>
        <v>0</v>
      </c>
      <c r="BG330" s="24">
        <f t="shared" si="859"/>
        <v>0</v>
      </c>
      <c r="BH330" s="24">
        <f t="shared" si="859"/>
        <v>0</v>
      </c>
      <c r="BI330" s="24">
        <f t="shared" si="859"/>
        <v>0</v>
      </c>
      <c r="BJ330" s="24">
        <f t="shared" si="859"/>
        <v>0</v>
      </c>
      <c r="BK330" s="24">
        <f t="shared" si="859"/>
        <v>0</v>
      </c>
      <c r="BL330" s="24">
        <f t="shared" si="859"/>
        <v>0</v>
      </c>
      <c r="BM330" s="24">
        <f t="shared" si="859"/>
        <v>0</v>
      </c>
      <c r="BN330" s="24">
        <f t="shared" si="859"/>
        <v>0</v>
      </c>
      <c r="BO330" s="24">
        <f t="shared" si="859"/>
        <v>0</v>
      </c>
      <c r="BP330" s="24">
        <f t="shared" si="859"/>
        <v>0</v>
      </c>
      <c r="BQ330" s="24">
        <f t="shared" si="859"/>
        <v>0</v>
      </c>
      <c r="BR330" s="24">
        <f t="shared" si="859"/>
        <v>0</v>
      </c>
      <c r="BS330" s="24">
        <f t="shared" si="859"/>
        <v>0</v>
      </c>
      <c r="BT330" s="24">
        <f t="shared" si="859"/>
        <v>0</v>
      </c>
      <c r="BU330" s="24">
        <f t="shared" si="859"/>
        <v>0</v>
      </c>
      <c r="BV330" s="24">
        <f t="shared" si="859"/>
        <v>0</v>
      </c>
      <c r="BW330" s="24">
        <f t="shared" si="859"/>
        <v>0</v>
      </c>
      <c r="BX330" s="24">
        <f t="shared" si="859"/>
        <v>0</v>
      </c>
      <c r="BY330" s="24">
        <f t="shared" si="859"/>
        <v>0</v>
      </c>
      <c r="BZ330" s="24">
        <f t="shared" si="859"/>
        <v>0</v>
      </c>
      <c r="CA330" s="24">
        <f t="shared" si="859"/>
        <v>0</v>
      </c>
      <c r="CB330" s="24">
        <f t="shared" si="859"/>
        <v>0</v>
      </c>
      <c r="CC330" s="24">
        <f t="shared" si="859"/>
        <v>0</v>
      </c>
      <c r="CD330" s="24">
        <f t="shared" si="767"/>
        <v>236485859</v>
      </c>
      <c r="CE330" s="24">
        <f t="shared" si="859"/>
        <v>236485859</v>
      </c>
      <c r="CF330" s="24">
        <f t="shared" si="859"/>
        <v>13090829</v>
      </c>
      <c r="CG330" s="24">
        <f t="shared" si="859"/>
        <v>0</v>
      </c>
      <c r="CH330" s="24">
        <f t="shared" si="859"/>
        <v>13090829</v>
      </c>
      <c r="CI330" s="24">
        <f t="shared" si="859"/>
        <v>111121345</v>
      </c>
      <c r="CJ330" s="24">
        <f t="shared" si="859"/>
        <v>14710569</v>
      </c>
      <c r="CK330" s="24">
        <f t="shared" si="859"/>
        <v>67261584</v>
      </c>
      <c r="CL330" s="24">
        <f t="shared" si="859"/>
        <v>26008195</v>
      </c>
      <c r="CM330" s="24">
        <f t="shared" si="859"/>
        <v>3140997</v>
      </c>
      <c r="CN330" s="24">
        <f t="shared" si="859"/>
        <v>112273685</v>
      </c>
      <c r="CO330" s="24">
        <f t="shared" si="859"/>
        <v>1000000</v>
      </c>
      <c r="CP330" s="24">
        <f t="shared" si="859"/>
        <v>97547207</v>
      </c>
      <c r="CQ330" s="24">
        <f t="shared" si="859"/>
        <v>11726478</v>
      </c>
      <c r="CR330" s="24">
        <f t="shared" si="859"/>
        <v>0</v>
      </c>
      <c r="CS330" s="24">
        <f t="shared" si="859"/>
        <v>2000000</v>
      </c>
      <c r="CT330" s="24">
        <f t="shared" si="859"/>
        <v>0</v>
      </c>
      <c r="CU330" s="24">
        <f t="shared" si="859"/>
        <v>0</v>
      </c>
      <c r="CV330" s="24">
        <f t="shared" si="859"/>
        <v>0</v>
      </c>
      <c r="CW330" s="24">
        <f t="shared" si="859"/>
        <v>0</v>
      </c>
      <c r="CX330" s="24">
        <f t="shared" si="859"/>
        <v>0</v>
      </c>
      <c r="CY330" s="24">
        <f t="shared" si="859"/>
        <v>0</v>
      </c>
      <c r="CZ330" s="24">
        <f t="shared" si="859"/>
        <v>0</v>
      </c>
    </row>
    <row r="331" spans="1:218" ht="15.6" x14ac:dyDescent="0.3">
      <c r="A331" s="26"/>
      <c r="B331" s="27" t="s">
        <v>1</v>
      </c>
      <c r="C331" s="27" t="s">
        <v>410</v>
      </c>
      <c r="D331" s="28" t="s">
        <v>409</v>
      </c>
      <c r="E331" s="23">
        <f>SUM(F331+CD331+CW331)</f>
        <v>237556417</v>
      </c>
      <c r="F331" s="24">
        <f>SUM(G331+BD331)</f>
        <v>1070558</v>
      </c>
      <c r="G331" s="24">
        <f>SUM(H331+I331+J331+Q331+T331+U331+V331+AF331+AE331)</f>
        <v>1070558</v>
      </c>
      <c r="H331" s="24">
        <v>0</v>
      </c>
      <c r="I331" s="24">
        <v>0</v>
      </c>
      <c r="J331" s="24">
        <f t="shared" si="851"/>
        <v>18059</v>
      </c>
      <c r="K331" s="24">
        <f>3111047-3111047</f>
        <v>0</v>
      </c>
      <c r="L331" s="24"/>
      <c r="M331" s="24">
        <v>0</v>
      </c>
      <c r="N331" s="24">
        <v>0</v>
      </c>
      <c r="O331" s="24">
        <f>0+195006-195003</f>
        <v>3</v>
      </c>
      <c r="P331" s="29">
        <f>4868+18056-4868</f>
        <v>18056</v>
      </c>
      <c r="Q331" s="24">
        <f t="shared" si="852"/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f t="shared" ref="V331" si="860">SUM(W331:AD331)</f>
        <v>0</v>
      </c>
      <c r="W331" s="24">
        <v>0</v>
      </c>
      <c r="X331" s="24">
        <v>0</v>
      </c>
      <c r="Y331" s="24">
        <v>0</v>
      </c>
      <c r="Z331" s="24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0</v>
      </c>
      <c r="AF331" s="24">
        <f>SUM(AG331:BC331)</f>
        <v>1052499</v>
      </c>
      <c r="AG331" s="24">
        <v>0</v>
      </c>
      <c r="AH331" s="24">
        <v>0</v>
      </c>
      <c r="AI331" s="62">
        <f>0+892054</f>
        <v>892054</v>
      </c>
      <c r="AJ331" s="24">
        <v>0</v>
      </c>
      <c r="AK331" s="24">
        <v>0</v>
      </c>
      <c r="AL331" s="24">
        <v>0</v>
      </c>
      <c r="AM331" s="24">
        <v>0</v>
      </c>
      <c r="AN331" s="24">
        <v>0</v>
      </c>
      <c r="AO331" s="24">
        <v>0</v>
      </c>
      <c r="AP331" s="24">
        <v>0</v>
      </c>
      <c r="AQ331" s="24">
        <v>0</v>
      </c>
      <c r="AR331" s="24">
        <v>0</v>
      </c>
      <c r="AS331" s="24">
        <v>0</v>
      </c>
      <c r="AT331" s="24">
        <v>0</v>
      </c>
      <c r="AU331" s="24">
        <v>0</v>
      </c>
      <c r="AV331" s="24">
        <v>0</v>
      </c>
      <c r="AW331" s="24">
        <v>0</v>
      </c>
      <c r="AX331" s="29"/>
      <c r="AY331" s="24">
        <v>0</v>
      </c>
      <c r="AZ331" s="24">
        <v>0</v>
      </c>
      <c r="BA331" s="24">
        <v>0</v>
      </c>
      <c r="BB331" s="24"/>
      <c r="BC331" s="24">
        <f>250000+60445-150000</f>
        <v>160445</v>
      </c>
      <c r="BD331" s="24">
        <f>SUM(BE331+BI331+BM331+BO331+BR331)</f>
        <v>0</v>
      </c>
      <c r="BE331" s="24">
        <f>SUM(BF331:BH331)</f>
        <v>0</v>
      </c>
      <c r="BF331" s="24">
        <v>0</v>
      </c>
      <c r="BG331" s="24">
        <v>0</v>
      </c>
      <c r="BH331" s="24">
        <v>0</v>
      </c>
      <c r="BI331" s="24">
        <f>SUM(BL331:BL331)</f>
        <v>0</v>
      </c>
      <c r="BJ331" s="24">
        <v>0</v>
      </c>
      <c r="BK331" s="24">
        <v>0</v>
      </c>
      <c r="BL331" s="24">
        <v>0</v>
      </c>
      <c r="BM331" s="24">
        <v>0</v>
      </c>
      <c r="BN331" s="24">
        <v>0</v>
      </c>
      <c r="BO331" s="24">
        <f t="shared" si="854"/>
        <v>0</v>
      </c>
      <c r="BP331" s="24">
        <v>0</v>
      </c>
      <c r="BQ331" s="24">
        <v>0</v>
      </c>
      <c r="BR331" s="24">
        <f>SUM(BS331:CC331)</f>
        <v>0</v>
      </c>
      <c r="BS331" s="24">
        <v>0</v>
      </c>
      <c r="BT331" s="24">
        <v>0</v>
      </c>
      <c r="BU331" s="24">
        <v>0</v>
      </c>
      <c r="BV331" s="24">
        <v>0</v>
      </c>
      <c r="BW331" s="24">
        <v>0</v>
      </c>
      <c r="BX331" s="24">
        <v>0</v>
      </c>
      <c r="BY331" s="24">
        <v>0</v>
      </c>
      <c r="BZ331" s="29"/>
      <c r="CA331" s="24">
        <v>0</v>
      </c>
      <c r="CB331" s="24">
        <v>0</v>
      </c>
      <c r="CC331" s="24">
        <v>0</v>
      </c>
      <c r="CD331" s="24">
        <f t="shared" si="767"/>
        <v>236485859</v>
      </c>
      <c r="CE331" s="24">
        <f>SUM(CF331+CI331+CN331)</f>
        <v>236485859</v>
      </c>
      <c r="CF331" s="24">
        <f t="shared" si="855"/>
        <v>13090829</v>
      </c>
      <c r="CG331" s="24"/>
      <c r="CH331" s="42">
        <f>10135772+5626369-2772567+282728-181473</f>
        <v>13090829</v>
      </c>
      <c r="CI331" s="24">
        <f>SUM(CJ331:CM331)</f>
        <v>111121345</v>
      </c>
      <c r="CJ331" s="29">
        <f>0+66849366+83134868-821034-132452631-2000000</f>
        <v>14710569</v>
      </c>
      <c r="CK331" s="29">
        <f>74682692+8902271-28371856+12117464-68987</f>
        <v>67261584</v>
      </c>
      <c r="CL331" s="30">
        <f>18735204+1788500-1000000+6484541-50</f>
        <v>26008195</v>
      </c>
      <c r="CM331" s="30">
        <f>300000+1625497+1215500</f>
        <v>3140997</v>
      </c>
      <c r="CN331" s="24">
        <f>SUM(CO331:CS331)</f>
        <v>112273685</v>
      </c>
      <c r="CO331" s="30">
        <f>1987189-1987189+1000000</f>
        <v>1000000</v>
      </c>
      <c r="CP331" s="30">
        <f>134182363-650589-43206866+4875421+2346878</f>
        <v>97547207</v>
      </c>
      <c r="CQ331" s="24">
        <f>19138614-7267019-145117</f>
        <v>11726478</v>
      </c>
      <c r="CR331" s="24"/>
      <c r="CS331" s="24">
        <v>2000000</v>
      </c>
      <c r="CT331" s="24">
        <v>0</v>
      </c>
      <c r="CU331" s="24">
        <v>0</v>
      </c>
      <c r="CV331" s="24"/>
      <c r="CW331" s="24">
        <f t="shared" si="856"/>
        <v>0</v>
      </c>
      <c r="CX331" s="24">
        <f t="shared" si="857"/>
        <v>0</v>
      </c>
      <c r="CY331" s="24">
        <v>0</v>
      </c>
      <c r="CZ331" s="25">
        <v>0</v>
      </c>
    </row>
    <row r="332" spans="1:218" ht="15.6" x14ac:dyDescent="0.3">
      <c r="A332" s="20"/>
      <c r="B332" s="21" t="s">
        <v>411</v>
      </c>
      <c r="C332" s="21" t="s">
        <v>1</v>
      </c>
      <c r="D332" s="22" t="s">
        <v>412</v>
      </c>
      <c r="E332" s="23">
        <f t="shared" ref="E332:BU332" si="861">SUM(E333)</f>
        <v>25804335</v>
      </c>
      <c r="F332" s="24">
        <f t="shared" si="861"/>
        <v>25804335</v>
      </c>
      <c r="G332" s="24">
        <f t="shared" si="861"/>
        <v>25804335</v>
      </c>
      <c r="H332" s="24">
        <f t="shared" si="861"/>
        <v>0</v>
      </c>
      <c r="I332" s="24">
        <f t="shared" si="861"/>
        <v>0</v>
      </c>
      <c r="J332" s="24">
        <f t="shared" si="861"/>
        <v>0</v>
      </c>
      <c r="K332" s="24">
        <f t="shared" si="861"/>
        <v>0</v>
      </c>
      <c r="L332" s="24">
        <f t="shared" si="861"/>
        <v>0</v>
      </c>
      <c r="M332" s="24">
        <f t="shared" si="861"/>
        <v>0</v>
      </c>
      <c r="N332" s="24">
        <f t="shared" si="861"/>
        <v>0</v>
      </c>
      <c r="O332" s="24">
        <f t="shared" si="861"/>
        <v>0</v>
      </c>
      <c r="P332" s="24">
        <f t="shared" si="861"/>
        <v>0</v>
      </c>
      <c r="Q332" s="24">
        <f t="shared" si="861"/>
        <v>0</v>
      </c>
      <c r="R332" s="24">
        <f t="shared" si="861"/>
        <v>0</v>
      </c>
      <c r="S332" s="24">
        <f t="shared" si="861"/>
        <v>0</v>
      </c>
      <c r="T332" s="24">
        <f t="shared" si="861"/>
        <v>0</v>
      </c>
      <c r="U332" s="24">
        <f t="shared" si="861"/>
        <v>0</v>
      </c>
      <c r="V332" s="24">
        <f t="shared" si="861"/>
        <v>0</v>
      </c>
      <c r="W332" s="24">
        <f t="shared" si="861"/>
        <v>0</v>
      </c>
      <c r="X332" s="24">
        <f t="shared" si="861"/>
        <v>0</v>
      </c>
      <c r="Y332" s="24">
        <f t="shared" si="861"/>
        <v>0</v>
      </c>
      <c r="Z332" s="24">
        <f t="shared" si="861"/>
        <v>0</v>
      </c>
      <c r="AA332" s="24">
        <f t="shared" si="861"/>
        <v>0</v>
      </c>
      <c r="AB332" s="24">
        <f t="shared" si="861"/>
        <v>0</v>
      </c>
      <c r="AC332" s="24">
        <f t="shared" si="861"/>
        <v>0</v>
      </c>
      <c r="AD332" s="24">
        <f t="shared" si="861"/>
        <v>0</v>
      </c>
      <c r="AE332" s="24">
        <f t="shared" si="861"/>
        <v>0</v>
      </c>
      <c r="AF332" s="24">
        <f t="shared" si="861"/>
        <v>25804335</v>
      </c>
      <c r="AG332" s="24">
        <f t="shared" si="861"/>
        <v>0</v>
      </c>
      <c r="AH332" s="24">
        <f t="shared" si="861"/>
        <v>0</v>
      </c>
      <c r="AI332" s="24">
        <f t="shared" si="861"/>
        <v>0</v>
      </c>
      <c r="AJ332" s="24">
        <f t="shared" si="861"/>
        <v>0</v>
      </c>
      <c r="AK332" s="24">
        <f t="shared" si="861"/>
        <v>0</v>
      </c>
      <c r="AL332" s="24">
        <f t="shared" si="861"/>
        <v>0</v>
      </c>
      <c r="AM332" s="24">
        <f t="shared" si="861"/>
        <v>0</v>
      </c>
      <c r="AN332" s="24">
        <f t="shared" si="861"/>
        <v>0</v>
      </c>
      <c r="AO332" s="24">
        <f t="shared" si="861"/>
        <v>0</v>
      </c>
      <c r="AP332" s="24">
        <f t="shared" si="861"/>
        <v>0</v>
      </c>
      <c r="AQ332" s="24">
        <f t="shared" si="861"/>
        <v>0</v>
      </c>
      <c r="AR332" s="24">
        <f t="shared" ref="AR332" si="862">SUM(AR333)</f>
        <v>0</v>
      </c>
      <c r="AS332" s="24">
        <f t="shared" si="861"/>
        <v>0</v>
      </c>
      <c r="AT332" s="24">
        <f t="shared" si="861"/>
        <v>0</v>
      </c>
      <c r="AU332" s="24">
        <f t="shared" si="861"/>
        <v>0</v>
      </c>
      <c r="AV332" s="24">
        <f t="shared" si="861"/>
        <v>0</v>
      </c>
      <c r="AW332" s="24">
        <f t="shared" si="861"/>
        <v>0</v>
      </c>
      <c r="AX332" s="24">
        <f t="shared" si="861"/>
        <v>0</v>
      </c>
      <c r="AY332" s="24">
        <f t="shared" si="861"/>
        <v>0</v>
      </c>
      <c r="AZ332" s="24">
        <f t="shared" si="861"/>
        <v>0</v>
      </c>
      <c r="BA332" s="24">
        <f t="shared" si="861"/>
        <v>0</v>
      </c>
      <c r="BB332" s="24"/>
      <c r="BC332" s="24">
        <f t="shared" si="861"/>
        <v>25804335</v>
      </c>
      <c r="BD332" s="24">
        <f t="shared" si="861"/>
        <v>0</v>
      </c>
      <c r="BE332" s="24">
        <f t="shared" si="861"/>
        <v>0</v>
      </c>
      <c r="BF332" s="24">
        <f t="shared" si="861"/>
        <v>0</v>
      </c>
      <c r="BG332" s="24">
        <f t="shared" si="861"/>
        <v>0</v>
      </c>
      <c r="BH332" s="24">
        <f t="shared" si="861"/>
        <v>0</v>
      </c>
      <c r="BI332" s="24">
        <f t="shared" si="861"/>
        <v>0</v>
      </c>
      <c r="BJ332" s="24">
        <f t="shared" si="861"/>
        <v>0</v>
      </c>
      <c r="BK332" s="24">
        <f t="shared" si="861"/>
        <v>0</v>
      </c>
      <c r="BL332" s="24">
        <f t="shared" si="861"/>
        <v>0</v>
      </c>
      <c r="BM332" s="24">
        <f t="shared" si="861"/>
        <v>0</v>
      </c>
      <c r="BN332" s="24">
        <f t="shared" si="861"/>
        <v>0</v>
      </c>
      <c r="BO332" s="24">
        <f t="shared" si="861"/>
        <v>0</v>
      </c>
      <c r="BP332" s="24">
        <f t="shared" si="861"/>
        <v>0</v>
      </c>
      <c r="BQ332" s="24">
        <f t="shared" si="861"/>
        <v>0</v>
      </c>
      <c r="BR332" s="24">
        <f t="shared" si="861"/>
        <v>0</v>
      </c>
      <c r="BS332" s="24">
        <f t="shared" si="861"/>
        <v>0</v>
      </c>
      <c r="BT332" s="24">
        <f t="shared" si="861"/>
        <v>0</v>
      </c>
      <c r="BU332" s="24">
        <f t="shared" si="861"/>
        <v>0</v>
      </c>
      <c r="BV332" s="24">
        <f t="shared" ref="BV332:CZ332" si="863">SUM(BV333)</f>
        <v>0</v>
      </c>
      <c r="BW332" s="24">
        <f t="shared" si="863"/>
        <v>0</v>
      </c>
      <c r="BX332" s="24">
        <f t="shared" si="863"/>
        <v>0</v>
      </c>
      <c r="BY332" s="24">
        <f t="shared" si="863"/>
        <v>0</v>
      </c>
      <c r="BZ332" s="24">
        <f t="shared" si="863"/>
        <v>0</v>
      </c>
      <c r="CA332" s="24">
        <f t="shared" si="863"/>
        <v>0</v>
      </c>
      <c r="CB332" s="24">
        <f t="shared" si="863"/>
        <v>0</v>
      </c>
      <c r="CC332" s="24">
        <f t="shared" si="863"/>
        <v>0</v>
      </c>
      <c r="CD332" s="24">
        <f t="shared" si="767"/>
        <v>0</v>
      </c>
      <c r="CE332" s="24">
        <f t="shared" si="863"/>
        <v>0</v>
      </c>
      <c r="CF332" s="24">
        <f t="shared" si="863"/>
        <v>0</v>
      </c>
      <c r="CG332" s="24">
        <f t="shared" si="863"/>
        <v>0</v>
      </c>
      <c r="CH332" s="24">
        <f t="shared" si="863"/>
        <v>0</v>
      </c>
      <c r="CI332" s="24">
        <f t="shared" si="863"/>
        <v>0</v>
      </c>
      <c r="CJ332" s="24">
        <f t="shared" si="863"/>
        <v>0</v>
      </c>
      <c r="CK332" s="24">
        <f t="shared" si="863"/>
        <v>0</v>
      </c>
      <c r="CL332" s="24">
        <f t="shared" si="863"/>
        <v>0</v>
      </c>
      <c r="CM332" s="24">
        <f t="shared" si="863"/>
        <v>0</v>
      </c>
      <c r="CN332" s="24">
        <f t="shared" si="863"/>
        <v>0</v>
      </c>
      <c r="CO332" s="24">
        <f t="shared" si="863"/>
        <v>0</v>
      </c>
      <c r="CP332" s="24">
        <f t="shared" si="863"/>
        <v>0</v>
      </c>
      <c r="CQ332" s="24">
        <f t="shared" si="863"/>
        <v>0</v>
      </c>
      <c r="CR332" s="24"/>
      <c r="CS332" s="24"/>
      <c r="CT332" s="24">
        <f t="shared" si="863"/>
        <v>0</v>
      </c>
      <c r="CU332" s="24">
        <f t="shared" si="863"/>
        <v>0</v>
      </c>
      <c r="CV332" s="24">
        <f t="shared" si="863"/>
        <v>0</v>
      </c>
      <c r="CW332" s="24">
        <f t="shared" si="863"/>
        <v>0</v>
      </c>
      <c r="CX332" s="24">
        <f t="shared" si="863"/>
        <v>0</v>
      </c>
      <c r="CY332" s="24">
        <f t="shared" si="863"/>
        <v>0</v>
      </c>
      <c r="CZ332" s="25">
        <f t="shared" si="863"/>
        <v>0</v>
      </c>
    </row>
    <row r="333" spans="1:218" ht="15.6" x14ac:dyDescent="0.3">
      <c r="A333" s="26"/>
      <c r="B333" s="27" t="s">
        <v>1</v>
      </c>
      <c r="C333" s="27" t="s">
        <v>329</v>
      </c>
      <c r="D333" s="28" t="s">
        <v>412</v>
      </c>
      <c r="E333" s="23">
        <f>SUM(F333+CD333+CW333)</f>
        <v>25804335</v>
      </c>
      <c r="F333" s="24">
        <f>SUM(G333+BD333)</f>
        <v>25804335</v>
      </c>
      <c r="G333" s="24">
        <f>SUM(H333+I333+J333+Q333+T333+U333+V333+AF333+AE333)</f>
        <v>25804335</v>
      </c>
      <c r="H333" s="24">
        <v>0</v>
      </c>
      <c r="I333" s="24">
        <v>0</v>
      </c>
      <c r="J333" s="24">
        <f t="shared" si="851"/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f t="shared" si="852"/>
        <v>0</v>
      </c>
      <c r="R333" s="24">
        <v>0</v>
      </c>
      <c r="S333" s="24">
        <v>0</v>
      </c>
      <c r="T333" s="24">
        <v>0</v>
      </c>
      <c r="U333" s="24">
        <v>0</v>
      </c>
      <c r="V333" s="24">
        <f t="shared" ref="V333" si="864">SUM(W333:AD333)</f>
        <v>0</v>
      </c>
      <c r="W333" s="24">
        <v>0</v>
      </c>
      <c r="X333" s="24">
        <v>0</v>
      </c>
      <c r="Y333" s="24">
        <v>0</v>
      </c>
      <c r="Z333" s="24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0</v>
      </c>
      <c r="AF333" s="24">
        <f>SUM(AG333:BC333)</f>
        <v>25804335</v>
      </c>
      <c r="AG333" s="24">
        <v>0</v>
      </c>
      <c r="AH333" s="24">
        <v>0</v>
      </c>
      <c r="AI333" s="24">
        <v>0</v>
      </c>
      <c r="AJ333" s="24">
        <v>0</v>
      </c>
      <c r="AK333" s="24">
        <v>0</v>
      </c>
      <c r="AL333" s="24">
        <v>0</v>
      </c>
      <c r="AM333" s="24">
        <v>0</v>
      </c>
      <c r="AN333" s="24">
        <v>0</v>
      </c>
      <c r="AO333" s="24">
        <v>0</v>
      </c>
      <c r="AP333" s="24">
        <v>0</v>
      </c>
      <c r="AQ333" s="24">
        <v>0</v>
      </c>
      <c r="AR333" s="24">
        <v>0</v>
      </c>
      <c r="AS333" s="24">
        <v>0</v>
      </c>
      <c r="AT333" s="24">
        <v>0</v>
      </c>
      <c r="AU333" s="24">
        <v>0</v>
      </c>
      <c r="AV333" s="24">
        <v>0</v>
      </c>
      <c r="AW333" s="24">
        <v>0</v>
      </c>
      <c r="AX333" s="24">
        <v>0</v>
      </c>
      <c r="AY333" s="24">
        <v>0</v>
      </c>
      <c r="AZ333" s="24">
        <v>0</v>
      </c>
      <c r="BA333" s="24">
        <v>0</v>
      </c>
      <c r="BB333" s="24"/>
      <c r="BC333" s="29">
        <f>19809115+13575660-7580440</f>
        <v>25804335</v>
      </c>
      <c r="BD333" s="24">
        <f>SUM(BE333+BI333+BM333+BO333+BR333)</f>
        <v>0</v>
      </c>
      <c r="BE333" s="24">
        <f>SUM(BF333:BH333)</f>
        <v>0</v>
      </c>
      <c r="BF333" s="24">
        <v>0</v>
      </c>
      <c r="BG333" s="24">
        <v>0</v>
      </c>
      <c r="BH333" s="24">
        <v>0</v>
      </c>
      <c r="BI333" s="24">
        <f>SUM(BL333:BL333)</f>
        <v>0</v>
      </c>
      <c r="BJ333" s="24">
        <v>0</v>
      </c>
      <c r="BK333" s="24">
        <v>0</v>
      </c>
      <c r="BL333" s="24">
        <v>0</v>
      </c>
      <c r="BM333" s="24">
        <v>0</v>
      </c>
      <c r="BN333" s="24">
        <v>0</v>
      </c>
      <c r="BO333" s="24">
        <f t="shared" si="854"/>
        <v>0</v>
      </c>
      <c r="BP333" s="24">
        <v>0</v>
      </c>
      <c r="BQ333" s="24">
        <v>0</v>
      </c>
      <c r="BR333" s="24">
        <f>SUM(BS333:CC333)</f>
        <v>0</v>
      </c>
      <c r="BS333" s="24">
        <v>0</v>
      </c>
      <c r="BT333" s="24">
        <v>0</v>
      </c>
      <c r="BU333" s="24">
        <v>0</v>
      </c>
      <c r="BV333" s="24">
        <v>0</v>
      </c>
      <c r="BW333" s="24">
        <v>0</v>
      </c>
      <c r="BX333" s="24">
        <v>0</v>
      </c>
      <c r="BY333" s="24">
        <v>0</v>
      </c>
      <c r="BZ333" s="24">
        <v>0</v>
      </c>
      <c r="CA333" s="24">
        <v>0</v>
      </c>
      <c r="CB333" s="24">
        <v>0</v>
      </c>
      <c r="CC333" s="24">
        <v>0</v>
      </c>
      <c r="CD333" s="24">
        <f t="shared" si="767"/>
        <v>0</v>
      </c>
      <c r="CE333" s="24">
        <f>SUM(CF333+CI333+CN333)</f>
        <v>0</v>
      </c>
      <c r="CF333" s="24">
        <f t="shared" si="855"/>
        <v>0</v>
      </c>
      <c r="CG333" s="24">
        <v>0</v>
      </c>
      <c r="CH333" s="24">
        <v>0</v>
      </c>
      <c r="CI333" s="24">
        <f>SUM(CJ333:CM333)</f>
        <v>0</v>
      </c>
      <c r="CJ333" s="24">
        <v>0</v>
      </c>
      <c r="CK333" s="24">
        <v>0</v>
      </c>
      <c r="CL333" s="24">
        <v>0</v>
      </c>
      <c r="CM333" s="24">
        <v>0</v>
      </c>
      <c r="CN333" s="24">
        <f>SUM(CO333:CS333)</f>
        <v>0</v>
      </c>
      <c r="CO333" s="24">
        <v>0</v>
      </c>
      <c r="CP333" s="24">
        <v>0</v>
      </c>
      <c r="CQ333" s="24">
        <v>0</v>
      </c>
      <c r="CR333" s="24"/>
      <c r="CS333" s="24"/>
      <c r="CT333" s="24">
        <v>0</v>
      </c>
      <c r="CU333" s="24">
        <v>0</v>
      </c>
      <c r="CV333" s="24">
        <v>0</v>
      </c>
      <c r="CW333" s="24">
        <f t="shared" si="856"/>
        <v>0</v>
      </c>
      <c r="CX333" s="24">
        <f t="shared" si="857"/>
        <v>0</v>
      </c>
      <c r="CY333" s="24">
        <v>0</v>
      </c>
      <c r="CZ333" s="25">
        <v>0</v>
      </c>
    </row>
    <row r="334" spans="1:218" ht="15.6" x14ac:dyDescent="0.3">
      <c r="A334" s="20"/>
      <c r="B334" s="21" t="s">
        <v>413</v>
      </c>
      <c r="C334" s="21" t="s">
        <v>1</v>
      </c>
      <c r="D334" s="22" t="s">
        <v>414</v>
      </c>
      <c r="E334" s="23">
        <f t="shared" ref="E334:AL334" si="865">SUM(E335)</f>
        <v>23198921</v>
      </c>
      <c r="F334" s="24">
        <f t="shared" si="865"/>
        <v>23198921</v>
      </c>
      <c r="G334" s="24">
        <f t="shared" si="865"/>
        <v>0</v>
      </c>
      <c r="H334" s="24">
        <f t="shared" si="865"/>
        <v>0</v>
      </c>
      <c r="I334" s="24">
        <f t="shared" si="865"/>
        <v>0</v>
      </c>
      <c r="J334" s="24">
        <f t="shared" si="865"/>
        <v>0</v>
      </c>
      <c r="K334" s="24">
        <f t="shared" si="865"/>
        <v>0</v>
      </c>
      <c r="L334" s="24">
        <f t="shared" si="865"/>
        <v>0</v>
      </c>
      <c r="M334" s="24">
        <f t="shared" si="865"/>
        <v>0</v>
      </c>
      <c r="N334" s="24">
        <f t="shared" si="865"/>
        <v>0</v>
      </c>
      <c r="O334" s="24">
        <f t="shared" si="865"/>
        <v>0</v>
      </c>
      <c r="P334" s="24">
        <f t="shared" si="865"/>
        <v>0</v>
      </c>
      <c r="Q334" s="24">
        <f t="shared" si="865"/>
        <v>0</v>
      </c>
      <c r="R334" s="24">
        <f t="shared" si="865"/>
        <v>0</v>
      </c>
      <c r="S334" s="24">
        <f t="shared" si="865"/>
        <v>0</v>
      </c>
      <c r="T334" s="24">
        <f t="shared" si="865"/>
        <v>0</v>
      </c>
      <c r="U334" s="24">
        <f t="shared" si="865"/>
        <v>0</v>
      </c>
      <c r="V334" s="24">
        <f t="shared" si="865"/>
        <v>0</v>
      </c>
      <c r="W334" s="24">
        <f t="shared" si="865"/>
        <v>0</v>
      </c>
      <c r="X334" s="24">
        <f t="shared" si="865"/>
        <v>0</v>
      </c>
      <c r="Y334" s="24">
        <f t="shared" si="865"/>
        <v>0</v>
      </c>
      <c r="Z334" s="24">
        <f t="shared" si="865"/>
        <v>0</v>
      </c>
      <c r="AA334" s="24">
        <f t="shared" si="865"/>
        <v>0</v>
      </c>
      <c r="AB334" s="24">
        <f t="shared" si="865"/>
        <v>0</v>
      </c>
      <c r="AC334" s="24">
        <f t="shared" si="865"/>
        <v>0</v>
      </c>
      <c r="AD334" s="24">
        <f t="shared" si="865"/>
        <v>0</v>
      </c>
      <c r="AE334" s="24">
        <f t="shared" si="865"/>
        <v>0</v>
      </c>
      <c r="AF334" s="24">
        <f t="shared" si="865"/>
        <v>0</v>
      </c>
      <c r="AG334" s="24">
        <f t="shared" si="865"/>
        <v>0</v>
      </c>
      <c r="AH334" s="24">
        <f t="shared" si="865"/>
        <v>0</v>
      </c>
      <c r="AI334" s="24">
        <f t="shared" si="865"/>
        <v>0</v>
      </c>
      <c r="AJ334" s="24">
        <f t="shared" si="865"/>
        <v>0</v>
      </c>
      <c r="AK334" s="24">
        <f t="shared" si="865"/>
        <v>0</v>
      </c>
      <c r="AL334" s="24">
        <f t="shared" si="865"/>
        <v>0</v>
      </c>
      <c r="AM334" s="24">
        <f t="shared" ref="AM334:CZ334" si="866">SUM(AM335)</f>
        <v>0</v>
      </c>
      <c r="AN334" s="24">
        <f t="shared" si="866"/>
        <v>0</v>
      </c>
      <c r="AO334" s="24">
        <f t="shared" si="866"/>
        <v>0</v>
      </c>
      <c r="AP334" s="24">
        <f t="shared" si="866"/>
        <v>0</v>
      </c>
      <c r="AQ334" s="24">
        <f t="shared" si="866"/>
        <v>0</v>
      </c>
      <c r="AR334" s="24">
        <f t="shared" si="866"/>
        <v>0</v>
      </c>
      <c r="AS334" s="24">
        <f t="shared" si="866"/>
        <v>0</v>
      </c>
      <c r="AT334" s="24">
        <f t="shared" si="866"/>
        <v>0</v>
      </c>
      <c r="AU334" s="24">
        <f t="shared" si="866"/>
        <v>0</v>
      </c>
      <c r="AV334" s="24">
        <f t="shared" si="866"/>
        <v>0</v>
      </c>
      <c r="AW334" s="24">
        <f t="shared" si="866"/>
        <v>0</v>
      </c>
      <c r="AX334" s="24">
        <f t="shared" si="866"/>
        <v>0</v>
      </c>
      <c r="AY334" s="24">
        <f t="shared" si="866"/>
        <v>0</v>
      </c>
      <c r="AZ334" s="24">
        <f t="shared" si="866"/>
        <v>0</v>
      </c>
      <c r="BA334" s="24">
        <f t="shared" si="866"/>
        <v>0</v>
      </c>
      <c r="BB334" s="24"/>
      <c r="BC334" s="24">
        <f t="shared" si="866"/>
        <v>0</v>
      </c>
      <c r="BD334" s="24">
        <f t="shared" si="866"/>
        <v>23198921</v>
      </c>
      <c r="BE334" s="24">
        <f t="shared" si="866"/>
        <v>0</v>
      </c>
      <c r="BF334" s="24">
        <f t="shared" si="866"/>
        <v>0</v>
      </c>
      <c r="BG334" s="24">
        <f t="shared" si="866"/>
        <v>0</v>
      </c>
      <c r="BH334" s="24">
        <f t="shared" si="866"/>
        <v>0</v>
      </c>
      <c r="BI334" s="24">
        <f t="shared" si="866"/>
        <v>0</v>
      </c>
      <c r="BJ334" s="24">
        <f t="shared" si="866"/>
        <v>0</v>
      </c>
      <c r="BK334" s="24">
        <f t="shared" si="866"/>
        <v>0</v>
      </c>
      <c r="BL334" s="24">
        <f t="shared" si="866"/>
        <v>0</v>
      </c>
      <c r="BM334" s="24">
        <f t="shared" si="866"/>
        <v>0</v>
      </c>
      <c r="BN334" s="24">
        <f t="shared" si="866"/>
        <v>0</v>
      </c>
      <c r="BO334" s="24">
        <f t="shared" si="866"/>
        <v>0</v>
      </c>
      <c r="BP334" s="24">
        <f t="shared" si="866"/>
        <v>0</v>
      </c>
      <c r="BQ334" s="24">
        <f t="shared" si="866"/>
        <v>0</v>
      </c>
      <c r="BR334" s="24">
        <f t="shared" si="866"/>
        <v>23198921</v>
      </c>
      <c r="BS334" s="24">
        <f t="shared" si="866"/>
        <v>0</v>
      </c>
      <c r="BT334" s="24">
        <f t="shared" si="866"/>
        <v>0</v>
      </c>
      <c r="BU334" s="24">
        <f t="shared" si="866"/>
        <v>0</v>
      </c>
      <c r="BV334" s="24">
        <f t="shared" si="866"/>
        <v>0</v>
      </c>
      <c r="BW334" s="24">
        <f t="shared" si="866"/>
        <v>0</v>
      </c>
      <c r="BX334" s="24">
        <f t="shared" si="866"/>
        <v>0</v>
      </c>
      <c r="BY334" s="24">
        <f t="shared" si="866"/>
        <v>0</v>
      </c>
      <c r="BZ334" s="24">
        <f t="shared" si="866"/>
        <v>0</v>
      </c>
      <c r="CA334" s="24">
        <f t="shared" si="866"/>
        <v>0</v>
      </c>
      <c r="CB334" s="24">
        <f t="shared" si="866"/>
        <v>0</v>
      </c>
      <c r="CC334" s="24">
        <f t="shared" si="866"/>
        <v>23198921</v>
      </c>
      <c r="CD334" s="24">
        <f t="shared" si="767"/>
        <v>0</v>
      </c>
      <c r="CE334" s="24">
        <f t="shared" si="866"/>
        <v>0</v>
      </c>
      <c r="CF334" s="24">
        <f t="shared" si="866"/>
        <v>0</v>
      </c>
      <c r="CG334" s="24">
        <f t="shared" si="866"/>
        <v>0</v>
      </c>
      <c r="CH334" s="24">
        <f t="shared" si="866"/>
        <v>0</v>
      </c>
      <c r="CI334" s="24">
        <f t="shared" si="866"/>
        <v>0</v>
      </c>
      <c r="CJ334" s="24">
        <f t="shared" si="866"/>
        <v>0</v>
      </c>
      <c r="CK334" s="24">
        <f t="shared" si="866"/>
        <v>0</v>
      </c>
      <c r="CL334" s="24">
        <f t="shared" si="866"/>
        <v>0</v>
      </c>
      <c r="CM334" s="24">
        <f t="shared" si="866"/>
        <v>0</v>
      </c>
      <c r="CN334" s="24">
        <f t="shared" si="866"/>
        <v>0</v>
      </c>
      <c r="CO334" s="24">
        <f t="shared" si="866"/>
        <v>0</v>
      </c>
      <c r="CP334" s="24">
        <f t="shared" si="866"/>
        <v>0</v>
      </c>
      <c r="CQ334" s="24">
        <f t="shared" si="866"/>
        <v>0</v>
      </c>
      <c r="CR334" s="24"/>
      <c r="CS334" s="24"/>
      <c r="CT334" s="24">
        <f t="shared" si="866"/>
        <v>0</v>
      </c>
      <c r="CU334" s="24">
        <f t="shared" si="866"/>
        <v>0</v>
      </c>
      <c r="CV334" s="24">
        <f t="shared" si="866"/>
        <v>0</v>
      </c>
      <c r="CW334" s="24">
        <f t="shared" si="866"/>
        <v>0</v>
      </c>
      <c r="CX334" s="24">
        <f t="shared" si="866"/>
        <v>0</v>
      </c>
      <c r="CY334" s="24">
        <f t="shared" si="866"/>
        <v>0</v>
      </c>
      <c r="CZ334" s="25">
        <f t="shared" si="866"/>
        <v>0</v>
      </c>
    </row>
    <row r="335" spans="1:218" ht="15.6" x14ac:dyDescent="0.3">
      <c r="A335" s="26"/>
      <c r="B335" s="27" t="s">
        <v>1</v>
      </c>
      <c r="C335" s="27" t="s">
        <v>329</v>
      </c>
      <c r="D335" s="28" t="s">
        <v>414</v>
      </c>
      <c r="E335" s="23">
        <f>SUM(F335+CD335+CW335)</f>
        <v>23198921</v>
      </c>
      <c r="F335" s="24">
        <f>SUM(G335+BD335)</f>
        <v>23198921</v>
      </c>
      <c r="G335" s="24">
        <f>SUM(H335+I335+J335+Q335+T335+U335+V335+AF335+AE335)</f>
        <v>0</v>
      </c>
      <c r="H335" s="24">
        <v>0</v>
      </c>
      <c r="I335" s="24">
        <v>0</v>
      </c>
      <c r="J335" s="24">
        <f t="shared" si="851"/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f t="shared" si="852"/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f t="shared" ref="V335" si="867">SUM(W335:AD335)</f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0</v>
      </c>
      <c r="AF335" s="24">
        <f>SUM(AG335:BC335)</f>
        <v>0</v>
      </c>
      <c r="AG335" s="24">
        <v>0</v>
      </c>
      <c r="AH335" s="24">
        <v>0</v>
      </c>
      <c r="AI335" s="24">
        <v>0</v>
      </c>
      <c r="AJ335" s="24">
        <v>0</v>
      </c>
      <c r="AK335" s="24">
        <v>0</v>
      </c>
      <c r="AL335" s="24">
        <v>0</v>
      </c>
      <c r="AM335" s="24">
        <v>0</v>
      </c>
      <c r="AN335" s="24">
        <v>0</v>
      </c>
      <c r="AO335" s="24">
        <v>0</v>
      </c>
      <c r="AP335" s="24">
        <v>0</v>
      </c>
      <c r="AQ335" s="24">
        <v>0</v>
      </c>
      <c r="AR335" s="24">
        <v>0</v>
      </c>
      <c r="AS335" s="24">
        <v>0</v>
      </c>
      <c r="AT335" s="24">
        <v>0</v>
      </c>
      <c r="AU335" s="24">
        <v>0</v>
      </c>
      <c r="AV335" s="24">
        <v>0</v>
      </c>
      <c r="AW335" s="24">
        <v>0</v>
      </c>
      <c r="AX335" s="24">
        <v>0</v>
      </c>
      <c r="AY335" s="24">
        <v>0</v>
      </c>
      <c r="AZ335" s="24">
        <v>0</v>
      </c>
      <c r="BA335" s="24">
        <v>0</v>
      </c>
      <c r="BB335" s="24"/>
      <c r="BC335" s="24">
        <v>0</v>
      </c>
      <c r="BD335" s="24">
        <f>SUM(BE335+BI335+BM335+BO335+BR335)</f>
        <v>23198921</v>
      </c>
      <c r="BE335" s="24">
        <f>SUM(BF335:BH335)</f>
        <v>0</v>
      </c>
      <c r="BF335" s="24">
        <v>0</v>
      </c>
      <c r="BG335" s="24">
        <v>0</v>
      </c>
      <c r="BH335" s="24">
        <v>0</v>
      </c>
      <c r="BI335" s="24">
        <f>SUM(BL335:BL335)</f>
        <v>0</v>
      </c>
      <c r="BJ335" s="24">
        <v>0</v>
      </c>
      <c r="BK335" s="24">
        <v>0</v>
      </c>
      <c r="BL335" s="24">
        <v>0</v>
      </c>
      <c r="BM335" s="24">
        <v>0</v>
      </c>
      <c r="BN335" s="24">
        <v>0</v>
      </c>
      <c r="BO335" s="24">
        <f t="shared" si="854"/>
        <v>0</v>
      </c>
      <c r="BP335" s="24">
        <v>0</v>
      </c>
      <c r="BQ335" s="24">
        <v>0</v>
      </c>
      <c r="BR335" s="24">
        <f>SUM(BS335:CC335)</f>
        <v>23198921</v>
      </c>
      <c r="BS335" s="24">
        <v>0</v>
      </c>
      <c r="BT335" s="24">
        <v>0</v>
      </c>
      <c r="BU335" s="24">
        <v>0</v>
      </c>
      <c r="BV335" s="24">
        <v>0</v>
      </c>
      <c r="BW335" s="24">
        <v>0</v>
      </c>
      <c r="BX335" s="24">
        <v>0</v>
      </c>
      <c r="BY335" s="24">
        <v>0</v>
      </c>
      <c r="BZ335" s="24">
        <v>0</v>
      </c>
      <c r="CA335" s="24">
        <v>0</v>
      </c>
      <c r="CB335" s="24">
        <v>0</v>
      </c>
      <c r="CC335" s="24">
        <f>18000000+5198921</f>
        <v>23198921</v>
      </c>
      <c r="CD335" s="24">
        <f t="shared" si="767"/>
        <v>0</v>
      </c>
      <c r="CE335" s="24">
        <f>SUM(CF335+CI335+CN335)</f>
        <v>0</v>
      </c>
      <c r="CF335" s="24">
        <f t="shared" si="855"/>
        <v>0</v>
      </c>
      <c r="CG335" s="24">
        <v>0</v>
      </c>
      <c r="CH335" s="24">
        <v>0</v>
      </c>
      <c r="CI335" s="24">
        <f>SUM(CJ335:CM335)</f>
        <v>0</v>
      </c>
      <c r="CJ335" s="24">
        <v>0</v>
      </c>
      <c r="CK335" s="24">
        <v>0</v>
      </c>
      <c r="CL335" s="24">
        <v>0</v>
      </c>
      <c r="CM335" s="24">
        <v>0</v>
      </c>
      <c r="CN335" s="24">
        <f>SUM(CO335:CS335)</f>
        <v>0</v>
      </c>
      <c r="CO335" s="24">
        <v>0</v>
      </c>
      <c r="CP335" s="24">
        <v>0</v>
      </c>
      <c r="CQ335" s="24">
        <v>0</v>
      </c>
      <c r="CR335" s="24"/>
      <c r="CS335" s="24"/>
      <c r="CT335" s="24">
        <v>0</v>
      </c>
      <c r="CU335" s="24">
        <v>0</v>
      </c>
      <c r="CV335" s="24">
        <v>0</v>
      </c>
      <c r="CW335" s="24">
        <f t="shared" si="856"/>
        <v>0</v>
      </c>
      <c r="CX335" s="24">
        <f t="shared" si="857"/>
        <v>0</v>
      </c>
      <c r="CY335" s="24">
        <v>0</v>
      </c>
      <c r="CZ335" s="25">
        <v>0</v>
      </c>
    </row>
    <row r="336" spans="1:218" ht="15.6" x14ac:dyDescent="0.3">
      <c r="A336" s="20"/>
      <c r="B336" s="21" t="s">
        <v>415</v>
      </c>
      <c r="C336" s="21" t="s">
        <v>1</v>
      </c>
      <c r="D336" s="37" t="s">
        <v>416</v>
      </c>
      <c r="E336" s="23">
        <f t="shared" ref="E336:AJ336" si="868">SUM(E337)</f>
        <v>33637451</v>
      </c>
      <c r="F336" s="24">
        <f t="shared" si="868"/>
        <v>33637451</v>
      </c>
      <c r="G336" s="24">
        <f t="shared" si="868"/>
        <v>33637451</v>
      </c>
      <c r="H336" s="24">
        <f t="shared" si="868"/>
        <v>0</v>
      </c>
      <c r="I336" s="24">
        <f t="shared" si="868"/>
        <v>0</v>
      </c>
      <c r="J336" s="24">
        <f t="shared" si="868"/>
        <v>0</v>
      </c>
      <c r="K336" s="24">
        <f t="shared" si="868"/>
        <v>0</v>
      </c>
      <c r="L336" s="24">
        <f t="shared" si="868"/>
        <v>0</v>
      </c>
      <c r="M336" s="24">
        <f t="shared" si="868"/>
        <v>0</v>
      </c>
      <c r="N336" s="24">
        <f t="shared" si="868"/>
        <v>0</v>
      </c>
      <c r="O336" s="24">
        <f t="shared" si="868"/>
        <v>0</v>
      </c>
      <c r="P336" s="24">
        <f t="shared" si="868"/>
        <v>0</v>
      </c>
      <c r="Q336" s="24">
        <f t="shared" si="868"/>
        <v>0</v>
      </c>
      <c r="R336" s="24">
        <f t="shared" si="868"/>
        <v>0</v>
      </c>
      <c r="S336" s="24">
        <f t="shared" si="868"/>
        <v>0</v>
      </c>
      <c r="T336" s="24">
        <f t="shared" si="868"/>
        <v>0</v>
      </c>
      <c r="U336" s="24">
        <f t="shared" si="868"/>
        <v>0</v>
      </c>
      <c r="V336" s="24">
        <f t="shared" si="868"/>
        <v>0</v>
      </c>
      <c r="W336" s="24">
        <f t="shared" si="868"/>
        <v>0</v>
      </c>
      <c r="X336" s="24">
        <f t="shared" si="868"/>
        <v>0</v>
      </c>
      <c r="Y336" s="24">
        <f t="shared" si="868"/>
        <v>0</v>
      </c>
      <c r="Z336" s="24">
        <f t="shared" si="868"/>
        <v>0</v>
      </c>
      <c r="AA336" s="24">
        <f t="shared" si="868"/>
        <v>0</v>
      </c>
      <c r="AB336" s="24">
        <f t="shared" si="868"/>
        <v>0</v>
      </c>
      <c r="AC336" s="24">
        <f t="shared" si="868"/>
        <v>0</v>
      </c>
      <c r="AD336" s="24">
        <f t="shared" si="868"/>
        <v>0</v>
      </c>
      <c r="AE336" s="24">
        <f t="shared" si="868"/>
        <v>0</v>
      </c>
      <c r="AF336" s="24">
        <f t="shared" si="868"/>
        <v>33637451</v>
      </c>
      <c r="AG336" s="24">
        <f t="shared" si="868"/>
        <v>0</v>
      </c>
      <c r="AH336" s="24">
        <f t="shared" si="868"/>
        <v>0</v>
      </c>
      <c r="AI336" s="24">
        <f t="shared" si="868"/>
        <v>0</v>
      </c>
      <c r="AJ336" s="24">
        <f t="shared" si="868"/>
        <v>0</v>
      </c>
      <c r="AK336" s="24">
        <f t="shared" ref="AK336:CX336" si="869">SUM(AK337)</f>
        <v>0</v>
      </c>
      <c r="AL336" s="24">
        <f t="shared" si="869"/>
        <v>0</v>
      </c>
      <c r="AM336" s="24">
        <f t="shared" si="869"/>
        <v>0</v>
      </c>
      <c r="AN336" s="24">
        <f t="shared" si="869"/>
        <v>0</v>
      </c>
      <c r="AO336" s="24">
        <f t="shared" si="869"/>
        <v>0</v>
      </c>
      <c r="AP336" s="24">
        <f t="shared" si="869"/>
        <v>0</v>
      </c>
      <c r="AQ336" s="24">
        <f t="shared" si="869"/>
        <v>0</v>
      </c>
      <c r="AR336" s="24">
        <f t="shared" si="869"/>
        <v>0</v>
      </c>
      <c r="AS336" s="24">
        <f t="shared" si="869"/>
        <v>0</v>
      </c>
      <c r="AT336" s="24">
        <f t="shared" si="869"/>
        <v>0</v>
      </c>
      <c r="AU336" s="24">
        <f t="shared" si="869"/>
        <v>0</v>
      </c>
      <c r="AV336" s="24">
        <f t="shared" si="869"/>
        <v>0</v>
      </c>
      <c r="AW336" s="24">
        <f t="shared" si="869"/>
        <v>0</v>
      </c>
      <c r="AX336" s="24">
        <f t="shared" si="869"/>
        <v>0</v>
      </c>
      <c r="AY336" s="24">
        <f t="shared" si="869"/>
        <v>0</v>
      </c>
      <c r="AZ336" s="24">
        <f t="shared" si="869"/>
        <v>0</v>
      </c>
      <c r="BA336" s="24">
        <f t="shared" si="869"/>
        <v>0</v>
      </c>
      <c r="BB336" s="24"/>
      <c r="BC336" s="24">
        <f t="shared" si="869"/>
        <v>33637451</v>
      </c>
      <c r="BD336" s="24">
        <f t="shared" si="869"/>
        <v>0</v>
      </c>
      <c r="BE336" s="24">
        <f t="shared" si="869"/>
        <v>0</v>
      </c>
      <c r="BF336" s="24">
        <f t="shared" si="869"/>
        <v>0</v>
      </c>
      <c r="BG336" s="24">
        <f t="shared" si="869"/>
        <v>0</v>
      </c>
      <c r="BH336" s="24">
        <f t="shared" si="869"/>
        <v>0</v>
      </c>
      <c r="BI336" s="24">
        <f t="shared" si="869"/>
        <v>0</v>
      </c>
      <c r="BJ336" s="24">
        <f t="shared" si="869"/>
        <v>0</v>
      </c>
      <c r="BK336" s="24">
        <f t="shared" si="869"/>
        <v>0</v>
      </c>
      <c r="BL336" s="24">
        <f t="shared" si="869"/>
        <v>0</v>
      </c>
      <c r="BM336" s="24">
        <f t="shared" si="869"/>
        <v>0</v>
      </c>
      <c r="BN336" s="24">
        <f t="shared" si="869"/>
        <v>0</v>
      </c>
      <c r="BO336" s="24">
        <f t="shared" si="869"/>
        <v>0</v>
      </c>
      <c r="BP336" s="24">
        <f t="shared" si="869"/>
        <v>0</v>
      </c>
      <c r="BQ336" s="24">
        <f t="shared" si="869"/>
        <v>0</v>
      </c>
      <c r="BR336" s="24">
        <f t="shared" si="869"/>
        <v>0</v>
      </c>
      <c r="BS336" s="24">
        <f t="shared" si="869"/>
        <v>0</v>
      </c>
      <c r="BT336" s="24">
        <f t="shared" si="869"/>
        <v>0</v>
      </c>
      <c r="BU336" s="24">
        <f t="shared" si="869"/>
        <v>0</v>
      </c>
      <c r="BV336" s="24">
        <f t="shared" si="869"/>
        <v>0</v>
      </c>
      <c r="BW336" s="24">
        <f t="shared" si="869"/>
        <v>0</v>
      </c>
      <c r="BX336" s="24">
        <f t="shared" si="869"/>
        <v>0</v>
      </c>
      <c r="BY336" s="24">
        <f t="shared" si="869"/>
        <v>0</v>
      </c>
      <c r="BZ336" s="24">
        <f t="shared" si="869"/>
        <v>0</v>
      </c>
      <c r="CA336" s="24">
        <f t="shared" si="869"/>
        <v>0</v>
      </c>
      <c r="CB336" s="24">
        <f t="shared" si="869"/>
        <v>0</v>
      </c>
      <c r="CC336" s="24">
        <f t="shared" si="869"/>
        <v>0</v>
      </c>
      <c r="CD336" s="24">
        <f t="shared" si="767"/>
        <v>0</v>
      </c>
      <c r="CE336" s="24">
        <f t="shared" si="869"/>
        <v>0</v>
      </c>
      <c r="CF336" s="24">
        <f t="shared" si="869"/>
        <v>0</v>
      </c>
      <c r="CG336" s="24">
        <f t="shared" si="869"/>
        <v>0</v>
      </c>
      <c r="CH336" s="24">
        <f t="shared" si="869"/>
        <v>0</v>
      </c>
      <c r="CI336" s="24">
        <f t="shared" si="869"/>
        <v>0</v>
      </c>
      <c r="CJ336" s="24">
        <f t="shared" si="869"/>
        <v>0</v>
      </c>
      <c r="CK336" s="24">
        <f t="shared" si="869"/>
        <v>0</v>
      </c>
      <c r="CL336" s="24">
        <f t="shared" si="869"/>
        <v>0</v>
      </c>
      <c r="CM336" s="24">
        <f t="shared" si="869"/>
        <v>0</v>
      </c>
      <c r="CN336" s="24">
        <f t="shared" si="869"/>
        <v>0</v>
      </c>
      <c r="CO336" s="24">
        <f t="shared" si="869"/>
        <v>0</v>
      </c>
      <c r="CP336" s="24">
        <f t="shared" si="869"/>
        <v>0</v>
      </c>
      <c r="CQ336" s="24">
        <f t="shared" si="869"/>
        <v>0</v>
      </c>
      <c r="CR336" s="24"/>
      <c r="CS336" s="24"/>
      <c r="CT336" s="24">
        <f t="shared" si="869"/>
        <v>0</v>
      </c>
      <c r="CU336" s="24">
        <f t="shared" si="869"/>
        <v>0</v>
      </c>
      <c r="CV336" s="24">
        <f t="shared" si="869"/>
        <v>0</v>
      </c>
      <c r="CW336" s="24">
        <f t="shared" si="869"/>
        <v>0</v>
      </c>
      <c r="CX336" s="24">
        <f t="shared" si="869"/>
        <v>0</v>
      </c>
      <c r="CY336" s="24">
        <f t="shared" ref="CY336:CZ336" si="870">SUM(CY337)</f>
        <v>0</v>
      </c>
      <c r="CZ336" s="25">
        <f t="shared" si="870"/>
        <v>0</v>
      </c>
    </row>
    <row r="337" spans="1:104" ht="15.6" x14ac:dyDescent="0.3">
      <c r="A337" s="26"/>
      <c r="B337" s="27" t="s">
        <v>1</v>
      </c>
      <c r="C337" s="27" t="s">
        <v>94</v>
      </c>
      <c r="D337" s="38" t="s">
        <v>416</v>
      </c>
      <c r="E337" s="23">
        <f>SUM(F337+CD337+CW337)</f>
        <v>33637451</v>
      </c>
      <c r="F337" s="24">
        <f>SUM(G337+BD337)</f>
        <v>33637451</v>
      </c>
      <c r="G337" s="24">
        <f>SUM(H337+I337+J337+Q337+T337+U337+V337+AF337+AE337)</f>
        <v>33637451</v>
      </c>
      <c r="H337" s="24"/>
      <c r="I337" s="24"/>
      <c r="J337" s="24">
        <f>SUM(K337:P337)</f>
        <v>0</v>
      </c>
      <c r="K337" s="24"/>
      <c r="L337" s="24"/>
      <c r="M337" s="24"/>
      <c r="N337" s="24"/>
      <c r="O337" s="24"/>
      <c r="P337" s="24"/>
      <c r="Q337" s="24">
        <f>SUM(R337:S337)</f>
        <v>0</v>
      </c>
      <c r="R337" s="24"/>
      <c r="S337" s="24"/>
      <c r="T337" s="24"/>
      <c r="U337" s="24"/>
      <c r="V337" s="24">
        <f t="shared" ref="V337" si="871">SUM(W337:AD337)</f>
        <v>0</v>
      </c>
      <c r="W337" s="24"/>
      <c r="X337" s="24"/>
      <c r="Y337" s="24"/>
      <c r="Z337" s="24"/>
      <c r="AA337" s="24"/>
      <c r="AB337" s="24"/>
      <c r="AC337" s="24"/>
      <c r="AD337" s="24"/>
      <c r="AE337" s="24"/>
      <c r="AF337" s="24">
        <f>SUM(AG337:BC337)</f>
        <v>33637451</v>
      </c>
      <c r="AG337" s="24">
        <v>0</v>
      </c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30">
        <f>20500000+13137451</f>
        <v>33637451</v>
      </c>
      <c r="BD337" s="24">
        <f>SUM(BE337+BI337+BM337+BO337+BR337)</f>
        <v>0</v>
      </c>
      <c r="BE337" s="24">
        <f>SUM(BF337:BH337)</f>
        <v>0</v>
      </c>
      <c r="BF337" s="30"/>
      <c r="BG337" s="24">
        <v>0</v>
      </c>
      <c r="BH337" s="24">
        <v>0</v>
      </c>
      <c r="BI337" s="24">
        <f>SUM(BL337:BL337)</f>
        <v>0</v>
      </c>
      <c r="BJ337" s="24">
        <v>0</v>
      </c>
      <c r="BK337" s="24">
        <v>0</v>
      </c>
      <c r="BL337" s="24">
        <v>0</v>
      </c>
      <c r="BM337" s="24">
        <v>0</v>
      </c>
      <c r="BN337" s="24">
        <v>0</v>
      </c>
      <c r="BO337" s="24">
        <f>SUM(BP337)</f>
        <v>0</v>
      </c>
      <c r="BP337" s="24">
        <v>0</v>
      </c>
      <c r="BQ337" s="24">
        <v>0</v>
      </c>
      <c r="BR337" s="24">
        <f>SUM(BS337:CC337)</f>
        <v>0</v>
      </c>
      <c r="BS337" s="24">
        <v>0</v>
      </c>
      <c r="BT337" s="24">
        <v>0</v>
      </c>
      <c r="BU337" s="24">
        <v>0</v>
      </c>
      <c r="BV337" s="24">
        <v>0</v>
      </c>
      <c r="BW337" s="24">
        <v>0</v>
      </c>
      <c r="BX337" s="24">
        <v>0</v>
      </c>
      <c r="BY337" s="24">
        <v>0</v>
      </c>
      <c r="BZ337" s="24">
        <v>0</v>
      </c>
      <c r="CA337" s="24">
        <v>0</v>
      </c>
      <c r="CB337" s="24"/>
      <c r="CC337" s="24"/>
      <c r="CD337" s="24">
        <f t="shared" si="767"/>
        <v>0</v>
      </c>
      <c r="CE337" s="24">
        <f>SUM(CF337+CI337+CN337)</f>
        <v>0</v>
      </c>
      <c r="CF337" s="24">
        <f>SUM(CG337:CH337)</f>
        <v>0</v>
      </c>
      <c r="CG337" s="24">
        <v>0</v>
      </c>
      <c r="CH337" s="24"/>
      <c r="CI337" s="24">
        <f>SUM(CJ337:CM337)</f>
        <v>0</v>
      </c>
      <c r="CJ337" s="24">
        <v>0</v>
      </c>
      <c r="CK337" s="24">
        <v>0</v>
      </c>
      <c r="CL337" s="24"/>
      <c r="CM337" s="24"/>
      <c r="CN337" s="24">
        <f>SUM(CO337:CS337)</f>
        <v>0</v>
      </c>
      <c r="CO337" s="24"/>
      <c r="CP337" s="24"/>
      <c r="CQ337" s="24"/>
      <c r="CR337" s="24"/>
      <c r="CS337" s="24"/>
      <c r="CT337" s="24">
        <v>0</v>
      </c>
      <c r="CU337" s="24">
        <v>0</v>
      </c>
      <c r="CV337" s="24">
        <v>0</v>
      </c>
      <c r="CW337" s="24">
        <f>SUM(CX337)</f>
        <v>0</v>
      </c>
      <c r="CX337" s="24">
        <f>SUM(CY337:CZ337)</f>
        <v>0</v>
      </c>
      <c r="CY337" s="24">
        <v>0</v>
      </c>
      <c r="CZ337" s="25">
        <v>0</v>
      </c>
    </row>
    <row r="338" spans="1:104" ht="31.2" x14ac:dyDescent="0.3">
      <c r="A338" s="20"/>
      <c r="B338" s="21" t="s">
        <v>417</v>
      </c>
      <c r="C338" s="21" t="s">
        <v>1</v>
      </c>
      <c r="D338" s="37" t="s">
        <v>418</v>
      </c>
      <c r="E338" s="23">
        <f t="shared" ref="E338:AL338" si="872">SUM(E339)</f>
        <v>45733205</v>
      </c>
      <c r="F338" s="24">
        <f t="shared" si="872"/>
        <v>45733205</v>
      </c>
      <c r="G338" s="24">
        <f t="shared" si="872"/>
        <v>17312821</v>
      </c>
      <c r="H338" s="24">
        <f t="shared" si="872"/>
        <v>0</v>
      </c>
      <c r="I338" s="24">
        <f t="shared" si="872"/>
        <v>0</v>
      </c>
      <c r="J338" s="24">
        <f t="shared" si="872"/>
        <v>0</v>
      </c>
      <c r="K338" s="24">
        <f t="shared" si="872"/>
        <v>0</v>
      </c>
      <c r="L338" s="24">
        <f t="shared" si="872"/>
        <v>0</v>
      </c>
      <c r="M338" s="24">
        <f t="shared" si="872"/>
        <v>0</v>
      </c>
      <c r="N338" s="24">
        <f t="shared" si="872"/>
        <v>0</v>
      </c>
      <c r="O338" s="24">
        <f t="shared" si="872"/>
        <v>0</v>
      </c>
      <c r="P338" s="24">
        <f t="shared" si="872"/>
        <v>0</v>
      </c>
      <c r="Q338" s="24">
        <f t="shared" si="872"/>
        <v>0</v>
      </c>
      <c r="R338" s="24">
        <f t="shared" si="872"/>
        <v>0</v>
      </c>
      <c r="S338" s="24">
        <f t="shared" si="872"/>
        <v>0</v>
      </c>
      <c r="T338" s="24">
        <f t="shared" si="872"/>
        <v>0</v>
      </c>
      <c r="U338" s="24">
        <f t="shared" si="872"/>
        <v>0</v>
      </c>
      <c r="V338" s="24">
        <f t="shared" si="872"/>
        <v>0</v>
      </c>
      <c r="W338" s="24">
        <f t="shared" si="872"/>
        <v>0</v>
      </c>
      <c r="X338" s="24">
        <f t="shared" si="872"/>
        <v>0</v>
      </c>
      <c r="Y338" s="24">
        <f t="shared" si="872"/>
        <v>0</v>
      </c>
      <c r="Z338" s="24">
        <f t="shared" si="872"/>
        <v>0</v>
      </c>
      <c r="AA338" s="24">
        <f t="shared" si="872"/>
        <v>0</v>
      </c>
      <c r="AB338" s="24">
        <f t="shared" si="872"/>
        <v>0</v>
      </c>
      <c r="AC338" s="24">
        <f t="shared" si="872"/>
        <v>0</v>
      </c>
      <c r="AD338" s="24">
        <f t="shared" si="872"/>
        <v>0</v>
      </c>
      <c r="AE338" s="24">
        <f t="shared" si="872"/>
        <v>0</v>
      </c>
      <c r="AF338" s="24">
        <f t="shared" si="872"/>
        <v>17312821</v>
      </c>
      <c r="AG338" s="24">
        <f t="shared" si="872"/>
        <v>0</v>
      </c>
      <c r="AH338" s="24">
        <f t="shared" si="872"/>
        <v>0</v>
      </c>
      <c r="AI338" s="24">
        <f t="shared" si="872"/>
        <v>0</v>
      </c>
      <c r="AJ338" s="24">
        <f t="shared" si="872"/>
        <v>0</v>
      </c>
      <c r="AK338" s="24">
        <f t="shared" si="872"/>
        <v>0</v>
      </c>
      <c r="AL338" s="24">
        <f t="shared" si="872"/>
        <v>0</v>
      </c>
      <c r="AM338" s="24">
        <f t="shared" ref="AM338:CZ338" si="873">SUM(AM339)</f>
        <v>0</v>
      </c>
      <c r="AN338" s="24">
        <f t="shared" si="873"/>
        <v>0</v>
      </c>
      <c r="AO338" s="24">
        <f t="shared" si="873"/>
        <v>0</v>
      </c>
      <c r="AP338" s="24">
        <f t="shared" si="873"/>
        <v>0</v>
      </c>
      <c r="AQ338" s="24">
        <f t="shared" si="873"/>
        <v>0</v>
      </c>
      <c r="AR338" s="24">
        <f t="shared" si="873"/>
        <v>0</v>
      </c>
      <c r="AS338" s="24">
        <f t="shared" si="873"/>
        <v>0</v>
      </c>
      <c r="AT338" s="24">
        <f t="shared" si="873"/>
        <v>0</v>
      </c>
      <c r="AU338" s="24">
        <f t="shared" si="873"/>
        <v>0</v>
      </c>
      <c r="AV338" s="24">
        <f t="shared" si="873"/>
        <v>0</v>
      </c>
      <c r="AW338" s="24">
        <f t="shared" si="873"/>
        <v>0</v>
      </c>
      <c r="AX338" s="24">
        <f t="shared" si="873"/>
        <v>0</v>
      </c>
      <c r="AY338" s="24">
        <f t="shared" si="873"/>
        <v>0</v>
      </c>
      <c r="AZ338" s="24">
        <f t="shared" si="873"/>
        <v>0</v>
      </c>
      <c r="BA338" s="24">
        <f t="shared" si="873"/>
        <v>0</v>
      </c>
      <c r="BB338" s="24"/>
      <c r="BC338" s="24">
        <f t="shared" si="873"/>
        <v>17312821</v>
      </c>
      <c r="BD338" s="24">
        <f t="shared" si="873"/>
        <v>28420384</v>
      </c>
      <c r="BE338" s="24">
        <f t="shared" si="873"/>
        <v>28420384</v>
      </c>
      <c r="BF338" s="24">
        <f t="shared" si="873"/>
        <v>28420384</v>
      </c>
      <c r="BG338" s="24">
        <f t="shared" si="873"/>
        <v>0</v>
      </c>
      <c r="BH338" s="24">
        <f t="shared" si="873"/>
        <v>0</v>
      </c>
      <c r="BI338" s="24">
        <f t="shared" si="873"/>
        <v>0</v>
      </c>
      <c r="BJ338" s="24">
        <f t="shared" si="873"/>
        <v>0</v>
      </c>
      <c r="BK338" s="24">
        <f t="shared" si="873"/>
        <v>0</v>
      </c>
      <c r="BL338" s="24">
        <f t="shared" si="873"/>
        <v>0</v>
      </c>
      <c r="BM338" s="24">
        <f t="shared" si="873"/>
        <v>0</v>
      </c>
      <c r="BN338" s="24">
        <f t="shared" si="873"/>
        <v>0</v>
      </c>
      <c r="BO338" s="24">
        <f t="shared" si="873"/>
        <v>0</v>
      </c>
      <c r="BP338" s="24">
        <f t="shared" si="873"/>
        <v>0</v>
      </c>
      <c r="BQ338" s="24">
        <f t="shared" si="873"/>
        <v>0</v>
      </c>
      <c r="BR338" s="24">
        <f t="shared" si="873"/>
        <v>0</v>
      </c>
      <c r="BS338" s="24">
        <f t="shared" si="873"/>
        <v>0</v>
      </c>
      <c r="BT338" s="24">
        <f t="shared" si="873"/>
        <v>0</v>
      </c>
      <c r="BU338" s="24">
        <f t="shared" si="873"/>
        <v>0</v>
      </c>
      <c r="BV338" s="24">
        <f t="shared" si="873"/>
        <v>0</v>
      </c>
      <c r="BW338" s="24">
        <f t="shared" si="873"/>
        <v>0</v>
      </c>
      <c r="BX338" s="24">
        <f t="shared" si="873"/>
        <v>0</v>
      </c>
      <c r="BY338" s="24">
        <f t="shared" si="873"/>
        <v>0</v>
      </c>
      <c r="BZ338" s="24">
        <f t="shared" si="873"/>
        <v>0</v>
      </c>
      <c r="CA338" s="24">
        <f t="shared" si="873"/>
        <v>0</v>
      </c>
      <c r="CB338" s="24">
        <f t="shared" si="873"/>
        <v>0</v>
      </c>
      <c r="CC338" s="24">
        <f t="shared" si="873"/>
        <v>0</v>
      </c>
      <c r="CD338" s="24">
        <f t="shared" si="767"/>
        <v>0</v>
      </c>
      <c r="CE338" s="24">
        <f t="shared" si="873"/>
        <v>0</v>
      </c>
      <c r="CF338" s="24">
        <f t="shared" si="873"/>
        <v>0</v>
      </c>
      <c r="CG338" s="24">
        <f t="shared" si="873"/>
        <v>0</v>
      </c>
      <c r="CH338" s="24">
        <f t="shared" si="873"/>
        <v>0</v>
      </c>
      <c r="CI338" s="24">
        <f t="shared" si="873"/>
        <v>0</v>
      </c>
      <c r="CJ338" s="24">
        <f t="shared" si="873"/>
        <v>0</v>
      </c>
      <c r="CK338" s="24">
        <f t="shared" si="873"/>
        <v>0</v>
      </c>
      <c r="CL338" s="24">
        <f t="shared" si="873"/>
        <v>0</v>
      </c>
      <c r="CM338" s="24">
        <f t="shared" si="873"/>
        <v>0</v>
      </c>
      <c r="CN338" s="24">
        <f t="shared" si="873"/>
        <v>0</v>
      </c>
      <c r="CO338" s="24">
        <f t="shared" si="873"/>
        <v>0</v>
      </c>
      <c r="CP338" s="24">
        <f t="shared" si="873"/>
        <v>0</v>
      </c>
      <c r="CQ338" s="24">
        <f t="shared" si="873"/>
        <v>0</v>
      </c>
      <c r="CR338" s="24"/>
      <c r="CS338" s="24"/>
      <c r="CT338" s="24">
        <f t="shared" si="873"/>
        <v>0</v>
      </c>
      <c r="CU338" s="24">
        <f t="shared" si="873"/>
        <v>0</v>
      </c>
      <c r="CV338" s="24">
        <f t="shared" si="873"/>
        <v>0</v>
      </c>
      <c r="CW338" s="24">
        <f t="shared" si="873"/>
        <v>0</v>
      </c>
      <c r="CX338" s="24">
        <f t="shared" si="873"/>
        <v>0</v>
      </c>
      <c r="CY338" s="24">
        <f t="shared" si="873"/>
        <v>0</v>
      </c>
      <c r="CZ338" s="25">
        <f t="shared" si="873"/>
        <v>0</v>
      </c>
    </row>
    <row r="339" spans="1:104" ht="15.6" x14ac:dyDescent="0.3">
      <c r="A339" s="26" t="s">
        <v>1</v>
      </c>
      <c r="B339" s="27" t="s">
        <v>1</v>
      </c>
      <c r="C339" s="27" t="s">
        <v>94</v>
      </c>
      <c r="D339" s="38" t="s">
        <v>418</v>
      </c>
      <c r="E339" s="23">
        <f>SUM(F339+CD339+CW339)</f>
        <v>45733205</v>
      </c>
      <c r="F339" s="24">
        <f>SUM(G339+BD339)</f>
        <v>45733205</v>
      </c>
      <c r="G339" s="24">
        <f>SUM(H339+I339+J339+Q339+T339+U339+V339+AF339+AE339)</f>
        <v>17312821</v>
      </c>
      <c r="H339" s="24">
        <v>0</v>
      </c>
      <c r="I339" s="24">
        <v>0</v>
      </c>
      <c r="J339" s="24">
        <f t="shared" si="851"/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  <c r="Q339" s="24">
        <f t="shared" si="852"/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f t="shared" ref="V339" si="874">SUM(W339:AD339)</f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0</v>
      </c>
      <c r="AF339" s="24">
        <f>SUM(AG339:BC339)</f>
        <v>17312821</v>
      </c>
      <c r="AG339" s="24">
        <v>0</v>
      </c>
      <c r="AH339" s="24">
        <v>0</v>
      </c>
      <c r="AI339" s="24">
        <v>0</v>
      </c>
      <c r="AJ339" s="24">
        <v>0</v>
      </c>
      <c r="AK339" s="24">
        <v>0</v>
      </c>
      <c r="AL339" s="24">
        <v>0</v>
      </c>
      <c r="AM339" s="24">
        <v>0</v>
      </c>
      <c r="AN339" s="24">
        <v>0</v>
      </c>
      <c r="AO339" s="24">
        <v>0</v>
      </c>
      <c r="AP339" s="24">
        <v>0</v>
      </c>
      <c r="AQ339" s="24">
        <v>0</v>
      </c>
      <c r="AR339" s="24">
        <v>0</v>
      </c>
      <c r="AS339" s="24">
        <v>0</v>
      </c>
      <c r="AT339" s="24">
        <v>0</v>
      </c>
      <c r="AU339" s="24">
        <v>0</v>
      </c>
      <c r="AV339" s="24">
        <v>0</v>
      </c>
      <c r="AW339" s="24">
        <v>0</v>
      </c>
      <c r="AX339" s="24">
        <v>0</v>
      </c>
      <c r="AY339" s="24">
        <v>0</v>
      </c>
      <c r="AZ339" s="24">
        <v>0</v>
      </c>
      <c r="BA339" s="24">
        <v>0</v>
      </c>
      <c r="BB339" s="24"/>
      <c r="BC339" s="29">
        <f>13031300+4281521</f>
        <v>17312821</v>
      </c>
      <c r="BD339" s="24">
        <f>SUM(BE339+BI339+BM339+BO339+BR339)</f>
        <v>28420384</v>
      </c>
      <c r="BE339" s="24">
        <f>SUM(BF339:BH339)</f>
        <v>28420384</v>
      </c>
      <c r="BF339" s="29">
        <f>19622120+8798264</f>
        <v>28420384</v>
      </c>
      <c r="BG339" s="24">
        <v>0</v>
      </c>
      <c r="BH339" s="24">
        <v>0</v>
      </c>
      <c r="BI339" s="24">
        <f>SUM(BL339:BL339)</f>
        <v>0</v>
      </c>
      <c r="BJ339" s="24">
        <v>0</v>
      </c>
      <c r="BK339" s="24">
        <v>0</v>
      </c>
      <c r="BL339" s="24">
        <v>0</v>
      </c>
      <c r="BM339" s="24"/>
      <c r="BN339" s="24">
        <v>0</v>
      </c>
      <c r="BO339" s="24">
        <f t="shared" si="854"/>
        <v>0</v>
      </c>
      <c r="BP339" s="24">
        <v>0</v>
      </c>
      <c r="BQ339" s="24">
        <v>0</v>
      </c>
      <c r="BR339" s="24">
        <f>SUM(BS339:CC339)</f>
        <v>0</v>
      </c>
      <c r="BS339" s="24">
        <v>0</v>
      </c>
      <c r="BT339" s="24">
        <v>0</v>
      </c>
      <c r="BU339" s="24">
        <v>0</v>
      </c>
      <c r="BV339" s="24">
        <v>0</v>
      </c>
      <c r="BW339" s="24">
        <v>0</v>
      </c>
      <c r="BX339" s="24">
        <v>0</v>
      </c>
      <c r="BY339" s="24">
        <v>0</v>
      </c>
      <c r="BZ339" s="24">
        <v>0</v>
      </c>
      <c r="CA339" s="24">
        <v>0</v>
      </c>
      <c r="CB339" s="24">
        <v>0</v>
      </c>
      <c r="CC339" s="24">
        <v>0</v>
      </c>
      <c r="CD339" s="24">
        <f t="shared" si="767"/>
        <v>0</v>
      </c>
      <c r="CE339" s="24">
        <f>SUM(CF339+CI339+CN339)</f>
        <v>0</v>
      </c>
      <c r="CF339" s="24">
        <f t="shared" si="855"/>
        <v>0</v>
      </c>
      <c r="CG339" s="24">
        <v>0</v>
      </c>
      <c r="CH339" s="24">
        <v>0</v>
      </c>
      <c r="CI339" s="24">
        <f>SUM(CJ339:CM339)</f>
        <v>0</v>
      </c>
      <c r="CJ339" s="24">
        <v>0</v>
      </c>
      <c r="CK339" s="24">
        <v>0</v>
      </c>
      <c r="CL339" s="24">
        <v>0</v>
      </c>
      <c r="CM339" s="24">
        <v>0</v>
      </c>
      <c r="CN339" s="24">
        <f>SUM(CO339:CS339)</f>
        <v>0</v>
      </c>
      <c r="CO339" s="24">
        <v>0</v>
      </c>
      <c r="CP339" s="24">
        <v>0</v>
      </c>
      <c r="CQ339" s="24">
        <v>0</v>
      </c>
      <c r="CR339" s="24"/>
      <c r="CS339" s="24"/>
      <c r="CT339" s="24">
        <v>0</v>
      </c>
      <c r="CU339" s="24">
        <v>0</v>
      </c>
      <c r="CV339" s="24">
        <v>0</v>
      </c>
      <c r="CW339" s="24">
        <f t="shared" si="856"/>
        <v>0</v>
      </c>
      <c r="CX339" s="24">
        <f t="shared" si="857"/>
        <v>0</v>
      </c>
      <c r="CY339" s="24">
        <v>0</v>
      </c>
      <c r="CZ339" s="25">
        <v>0</v>
      </c>
    </row>
    <row r="340" spans="1:104" ht="16.2" thickBot="1" x14ac:dyDescent="0.35">
      <c r="A340" s="55" t="s">
        <v>1</v>
      </c>
      <c r="B340" s="56" t="s">
        <v>1</v>
      </c>
      <c r="C340" s="56" t="s">
        <v>1</v>
      </c>
      <c r="D340" s="57" t="s">
        <v>419</v>
      </c>
      <c r="E340" s="58">
        <f>E16+E49+E60+E65+E70+E88+E102+E105+E108+E114+E126+E147+E162+E169+E182+E216+E222+E229+E311+E314+E219+E226</f>
        <v>5094909253</v>
      </c>
      <c r="F340" s="59">
        <f t="shared" ref="F340:BQ340" si="875">F16+F49+F60+F65+F70+F88+F102+F105+F108+F114+F126+F147+F162+F169+F182+F216+F222+F229+F311+F314+F219+F226</f>
        <v>4304982118</v>
      </c>
      <c r="G340" s="59">
        <f t="shared" si="875"/>
        <v>3005615901</v>
      </c>
      <c r="H340" s="59">
        <f t="shared" si="875"/>
        <v>1562231006</v>
      </c>
      <c r="I340" s="59">
        <f t="shared" si="875"/>
        <v>242940305</v>
      </c>
      <c r="J340" s="59">
        <f t="shared" si="875"/>
        <v>420283380</v>
      </c>
      <c r="K340" s="59">
        <f t="shared" si="875"/>
        <v>139319141</v>
      </c>
      <c r="L340" s="59">
        <f t="shared" si="875"/>
        <v>60800208</v>
      </c>
      <c r="M340" s="59">
        <f t="shared" si="875"/>
        <v>81320028</v>
      </c>
      <c r="N340" s="59">
        <f t="shared" si="875"/>
        <v>3948815</v>
      </c>
      <c r="O340" s="59">
        <f t="shared" si="875"/>
        <v>82059139</v>
      </c>
      <c r="P340" s="59">
        <f t="shared" si="875"/>
        <v>52836049</v>
      </c>
      <c r="Q340" s="59">
        <f t="shared" si="875"/>
        <v>9364929</v>
      </c>
      <c r="R340" s="59">
        <f t="shared" si="875"/>
        <v>338176</v>
      </c>
      <c r="S340" s="59">
        <f t="shared" si="875"/>
        <v>9026753</v>
      </c>
      <c r="T340" s="59">
        <f t="shared" si="875"/>
        <v>168424</v>
      </c>
      <c r="U340" s="59">
        <f t="shared" si="875"/>
        <v>16608060</v>
      </c>
      <c r="V340" s="59">
        <f t="shared" si="875"/>
        <v>237331229</v>
      </c>
      <c r="W340" s="59">
        <f t="shared" si="875"/>
        <v>7174300</v>
      </c>
      <c r="X340" s="59">
        <f t="shared" si="875"/>
        <v>34646338</v>
      </c>
      <c r="Y340" s="59">
        <f t="shared" si="875"/>
        <v>24638880</v>
      </c>
      <c r="Z340" s="59">
        <f t="shared" si="875"/>
        <v>13797929</v>
      </c>
      <c r="AA340" s="59">
        <f t="shared" si="875"/>
        <v>2794900</v>
      </c>
      <c r="AB340" s="59">
        <f t="shared" si="875"/>
        <v>1740496</v>
      </c>
      <c r="AC340" s="59">
        <f t="shared" si="875"/>
        <v>150758578</v>
      </c>
      <c r="AD340" s="59">
        <f t="shared" si="875"/>
        <v>1779808</v>
      </c>
      <c r="AE340" s="59">
        <f t="shared" si="875"/>
        <v>2472</v>
      </c>
      <c r="AF340" s="59">
        <f t="shared" si="875"/>
        <v>516686096</v>
      </c>
      <c r="AG340" s="59">
        <f t="shared" si="875"/>
        <v>371063</v>
      </c>
      <c r="AH340" s="59">
        <f t="shared" si="875"/>
        <v>7338080</v>
      </c>
      <c r="AI340" s="59">
        <f t="shared" si="875"/>
        <v>8327616</v>
      </c>
      <c r="AJ340" s="59">
        <f t="shared" si="875"/>
        <v>20773180</v>
      </c>
      <c r="AK340" s="59">
        <f t="shared" si="875"/>
        <v>1163851</v>
      </c>
      <c r="AL340" s="59">
        <f t="shared" si="875"/>
        <v>3126448</v>
      </c>
      <c r="AM340" s="59">
        <f t="shared" si="875"/>
        <v>1553800</v>
      </c>
      <c r="AN340" s="59">
        <f t="shared" si="875"/>
        <v>1706907</v>
      </c>
      <c r="AO340" s="59">
        <f t="shared" si="875"/>
        <v>8087527</v>
      </c>
      <c r="AP340" s="59">
        <f t="shared" si="875"/>
        <v>5576894</v>
      </c>
      <c r="AQ340" s="59">
        <f t="shared" si="875"/>
        <v>175795</v>
      </c>
      <c r="AR340" s="59">
        <f t="shared" si="875"/>
        <v>164946</v>
      </c>
      <c r="AS340" s="59">
        <f t="shared" si="875"/>
        <v>14102269</v>
      </c>
      <c r="AT340" s="59">
        <f t="shared" si="875"/>
        <v>6710642</v>
      </c>
      <c r="AU340" s="59">
        <f t="shared" si="875"/>
        <v>2910769</v>
      </c>
      <c r="AV340" s="59">
        <f t="shared" si="875"/>
        <v>643177</v>
      </c>
      <c r="AW340" s="59">
        <f t="shared" si="875"/>
        <v>1989573</v>
      </c>
      <c r="AX340" s="59">
        <f t="shared" si="875"/>
        <v>11798308</v>
      </c>
      <c r="AY340" s="59">
        <f t="shared" si="875"/>
        <v>48085354</v>
      </c>
      <c r="AZ340" s="59">
        <f t="shared" si="875"/>
        <v>828</v>
      </c>
      <c r="BA340" s="59">
        <f t="shared" si="875"/>
        <v>2341174</v>
      </c>
      <c r="BB340" s="59">
        <f t="shared" si="875"/>
        <v>4070240</v>
      </c>
      <c r="BC340" s="59">
        <f t="shared" si="875"/>
        <v>365667655</v>
      </c>
      <c r="BD340" s="59">
        <f t="shared" si="875"/>
        <v>1299366217</v>
      </c>
      <c r="BE340" s="59">
        <f t="shared" si="875"/>
        <v>246368729</v>
      </c>
      <c r="BF340" s="59">
        <f t="shared" si="875"/>
        <v>224008951</v>
      </c>
      <c r="BG340" s="59">
        <f t="shared" si="875"/>
        <v>3635676</v>
      </c>
      <c r="BH340" s="59">
        <f t="shared" si="875"/>
        <v>18724102</v>
      </c>
      <c r="BI340" s="59">
        <f t="shared" si="875"/>
        <v>10837319</v>
      </c>
      <c r="BJ340" s="59">
        <f t="shared" si="875"/>
        <v>660116</v>
      </c>
      <c r="BK340" s="59">
        <f t="shared" si="875"/>
        <v>631124</v>
      </c>
      <c r="BL340" s="59">
        <f t="shared" si="875"/>
        <v>9546079</v>
      </c>
      <c r="BM340" s="59">
        <f t="shared" si="875"/>
        <v>456264830</v>
      </c>
      <c r="BN340" s="59">
        <f t="shared" si="875"/>
        <v>2444377</v>
      </c>
      <c r="BO340" s="59">
        <f t="shared" si="875"/>
        <v>2438765</v>
      </c>
      <c r="BP340" s="59">
        <f t="shared" si="875"/>
        <v>1179714</v>
      </c>
      <c r="BQ340" s="59">
        <f t="shared" si="875"/>
        <v>1259051</v>
      </c>
      <c r="BR340" s="59">
        <f t="shared" ref="BR340:CZ340" si="876">BR16+BR49+BR60+BR65+BR70+BR88+BR102+BR105+BR108+BR114+BR126+BR147+BR162+BR169+BR182+BR216+BR222+BR229+BR311+BR314+BR219+BR226</f>
        <v>583456574</v>
      </c>
      <c r="BS340" s="59">
        <f t="shared" si="876"/>
        <v>58592417</v>
      </c>
      <c r="BT340" s="59">
        <f t="shared" si="876"/>
        <v>4556520</v>
      </c>
      <c r="BU340" s="59">
        <f t="shared" si="876"/>
        <v>14629062</v>
      </c>
      <c r="BV340" s="59">
        <f t="shared" si="876"/>
        <v>21743941</v>
      </c>
      <c r="BW340" s="59">
        <f t="shared" si="876"/>
        <v>100000</v>
      </c>
      <c r="BX340" s="59">
        <f t="shared" si="876"/>
        <v>374363</v>
      </c>
      <c r="BY340" s="59">
        <f t="shared" si="876"/>
        <v>158605121</v>
      </c>
      <c r="BZ340" s="59">
        <f t="shared" si="876"/>
        <v>1673500</v>
      </c>
      <c r="CA340" s="59">
        <f t="shared" si="876"/>
        <v>321180</v>
      </c>
      <c r="CB340" s="59">
        <f t="shared" si="876"/>
        <v>173605273</v>
      </c>
      <c r="CC340" s="59">
        <f t="shared" si="876"/>
        <v>149255197</v>
      </c>
      <c r="CD340" s="59">
        <f t="shared" si="876"/>
        <v>489364256</v>
      </c>
      <c r="CE340" s="59">
        <f t="shared" si="876"/>
        <v>391838976</v>
      </c>
      <c r="CF340" s="59">
        <f t="shared" si="876"/>
        <v>112591169</v>
      </c>
      <c r="CG340" s="59">
        <f t="shared" si="876"/>
        <v>259180</v>
      </c>
      <c r="CH340" s="59">
        <f t="shared" si="876"/>
        <v>112331989</v>
      </c>
      <c r="CI340" s="59">
        <f t="shared" si="876"/>
        <v>141515385</v>
      </c>
      <c r="CJ340" s="59">
        <f t="shared" si="876"/>
        <v>15952469</v>
      </c>
      <c r="CK340" s="59">
        <f t="shared" si="876"/>
        <v>94308101</v>
      </c>
      <c r="CL340" s="59">
        <f t="shared" si="876"/>
        <v>28113818</v>
      </c>
      <c r="CM340" s="59">
        <f t="shared" si="876"/>
        <v>3140997</v>
      </c>
      <c r="CN340" s="59">
        <f t="shared" si="876"/>
        <v>137732422</v>
      </c>
      <c r="CO340" s="59">
        <f t="shared" si="876"/>
        <v>1000000</v>
      </c>
      <c r="CP340" s="59">
        <f t="shared" si="876"/>
        <v>109624768</v>
      </c>
      <c r="CQ340" s="59">
        <f t="shared" si="876"/>
        <v>25070294</v>
      </c>
      <c r="CR340" s="59">
        <f t="shared" si="876"/>
        <v>37360</v>
      </c>
      <c r="CS340" s="59">
        <f t="shared" si="876"/>
        <v>2000000</v>
      </c>
      <c r="CT340" s="59">
        <f t="shared" si="876"/>
        <v>17601196</v>
      </c>
      <c r="CU340" s="59">
        <f t="shared" si="876"/>
        <v>17601196</v>
      </c>
      <c r="CV340" s="59">
        <f t="shared" si="876"/>
        <v>79924084</v>
      </c>
      <c r="CW340" s="59">
        <f t="shared" si="876"/>
        <v>300562879</v>
      </c>
      <c r="CX340" s="59">
        <f t="shared" si="876"/>
        <v>300562879</v>
      </c>
      <c r="CY340" s="59">
        <f t="shared" si="876"/>
        <v>4509006</v>
      </c>
      <c r="CZ340" s="60">
        <f t="shared" si="876"/>
        <v>296053873</v>
      </c>
    </row>
    <row r="341" spans="1:104" x14ac:dyDescent="0.3">
      <c r="E341" s="65"/>
      <c r="F341" s="66"/>
    </row>
    <row r="342" spans="1:104" x14ac:dyDescent="0.3">
      <c r="E342" s="74">
        <v>5094909253</v>
      </c>
    </row>
    <row r="343" spans="1:104" x14ac:dyDescent="0.3">
      <c r="E343" s="74">
        <f>E340-E342</f>
        <v>0</v>
      </c>
    </row>
  </sheetData>
  <mergeCells count="109">
    <mergeCell ref="F13:F14"/>
    <mergeCell ref="A13:B13"/>
    <mergeCell ref="C13:C15"/>
    <mergeCell ref="D13:D15"/>
    <mergeCell ref="E13:E15"/>
    <mergeCell ref="P13:P14"/>
    <mergeCell ref="K13:K14"/>
    <mergeCell ref="L13:L14"/>
    <mergeCell ref="M13:M14"/>
    <mergeCell ref="N13:N14"/>
    <mergeCell ref="O13:O14"/>
    <mergeCell ref="G13:G14"/>
    <mergeCell ref="H13:H14"/>
    <mergeCell ref="I13:I14"/>
    <mergeCell ref="BE13:BE14"/>
    <mergeCell ref="AT13:AT14"/>
    <mergeCell ref="AU13:AU14"/>
    <mergeCell ref="AV13:AV14"/>
    <mergeCell ref="AW13:AW14"/>
    <mergeCell ref="AX13:AX14"/>
    <mergeCell ref="AR13:AR14"/>
    <mergeCell ref="AN13:AN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K13:AK14"/>
    <mergeCell ref="BC13:BC14"/>
    <mergeCell ref="BD13:BD14"/>
    <mergeCell ref="BB13:BB14"/>
    <mergeCell ref="AO13:AO14"/>
    <mergeCell ref="AP13:AP14"/>
    <mergeCell ref="AQ13:AQ14"/>
    <mergeCell ref="AS13:AS14"/>
    <mergeCell ref="J13:J14"/>
    <mergeCell ref="AL13:AL14"/>
    <mergeCell ref="AM13:AM14"/>
    <mergeCell ref="Q13:Q14"/>
    <mergeCell ref="R13:R14"/>
    <mergeCell ref="S13:S14"/>
    <mergeCell ref="T13:T14"/>
    <mergeCell ref="CY13:CY14"/>
    <mergeCell ref="CZ13:CZ14"/>
    <mergeCell ref="A14:A15"/>
    <mergeCell ref="B14:B15"/>
    <mergeCell ref="CT13:CT14"/>
    <mergeCell ref="CU13:CU14"/>
    <mergeCell ref="CV13:CV14"/>
    <mergeCell ref="CW13:CW14"/>
    <mergeCell ref="CX13:CX14"/>
    <mergeCell ref="CO13:CO14"/>
    <mergeCell ref="CQ13:CQ14"/>
    <mergeCell ref="CS13:CS14"/>
    <mergeCell ref="CJ13:CJ14"/>
    <mergeCell ref="CM13:CM14"/>
    <mergeCell ref="CN13:CN14"/>
    <mergeCell ref="CE13:CE14"/>
    <mergeCell ref="CA13:CA14"/>
    <mergeCell ref="CB13:CB14"/>
    <mergeCell ref="CC13:CC14"/>
    <mergeCell ref="CD13:CD14"/>
    <mergeCell ref="BU13:BU14"/>
    <mergeCell ref="BV13:BV14"/>
    <mergeCell ref="BW13:BW14"/>
    <mergeCell ref="BX13:BX14"/>
    <mergeCell ref="CL13:CL14"/>
    <mergeCell ref="CP13:CP14"/>
    <mergeCell ref="CR13:CR14"/>
    <mergeCell ref="CF13:CF14"/>
    <mergeCell ref="CG13:CG14"/>
    <mergeCell ref="CH13:CH14"/>
    <mergeCell ref="CI13:CI14"/>
    <mergeCell ref="BZ13:BZ14"/>
    <mergeCell ref="BY13:BY14"/>
    <mergeCell ref="H2:N2"/>
    <mergeCell ref="I3:N3"/>
    <mergeCell ref="I4:N4"/>
    <mergeCell ref="I5:N5"/>
    <mergeCell ref="CK13:CK14"/>
    <mergeCell ref="BJ13:BJ14"/>
    <mergeCell ref="BL13:BL14"/>
    <mergeCell ref="BM13:BM14"/>
    <mergeCell ref="BN13:BN14"/>
    <mergeCell ref="BQ13:BQ14"/>
    <mergeCell ref="BO13:BO14"/>
    <mergeCell ref="BP13:BP14"/>
    <mergeCell ref="BR13:BR14"/>
    <mergeCell ref="BS13:BS14"/>
    <mergeCell ref="BT13:BT14"/>
    <mergeCell ref="BK13:BK14"/>
    <mergeCell ref="BF13:BF14"/>
    <mergeCell ref="BG13:BG14"/>
    <mergeCell ref="BH13:BH14"/>
    <mergeCell ref="BI13:BI14"/>
    <mergeCell ref="AJ13:AJ14"/>
    <mergeCell ref="AY13:AY14"/>
    <mergeCell ref="AZ13:AZ14"/>
    <mergeCell ref="BA13:BA14"/>
  </mergeCells>
  <pageMargins left="0.23622047244094491" right="0.15748031496062992" top="0.51181102362204722" bottom="0.23622047244094491" header="0.19685039370078741" footer="0.19685039370078741"/>
  <pageSetup paperSize="9" scale="82" firstPageNumber="8" fitToWidth="0" fitToHeight="13" orientation="landscape" useFirstPageNumber="1" r:id="rId1"/>
  <headerFooter>
    <oddHeader>&amp;C&amp;P</oddHeader>
  </headerFooter>
  <rowBreaks count="1" manualBreakCount="1">
    <brk id="142" max="10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(815)</vt:lpstr>
      <vt:lpstr>'Приложение № 2 (815)'!Заголовки_для_печати</vt:lpstr>
      <vt:lpstr>'Приложение № 2 (815)'!Область_печати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2023-02-02T14:04:22Z</dcterms:modified>
</cp:coreProperties>
</file>