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244"/>
  </bookViews>
  <sheets>
    <sheet name="Приложение № 4 (744)" sheetId="1" r:id="rId1"/>
  </sheets>
  <definedNames>
    <definedName name="_xlnm.Print_Titles" localSheetId="0">'Приложение № 4 (744)'!$13:$13</definedName>
    <definedName name="_xlnm.Print_Area" localSheetId="0">'Приложение № 4 (744)'!$A$1:$K$52</definedName>
  </definedNames>
  <calcPr calcId="162913" fullPrecision="0"/>
</workbook>
</file>

<file path=xl/calcChain.xml><?xml version="1.0" encoding="utf-8"?>
<calcChain xmlns="http://schemas.openxmlformats.org/spreadsheetml/2006/main">
  <c r="H48" i="1" l="1"/>
  <c r="I48" i="1"/>
  <c r="C48" i="1"/>
  <c r="J22" i="1"/>
  <c r="I22" i="1"/>
  <c r="H22" i="1"/>
  <c r="G22" i="1"/>
  <c r="F22" i="1"/>
  <c r="E22" i="1"/>
  <c r="C22" i="1"/>
  <c r="J19" i="1"/>
  <c r="H16" i="1"/>
  <c r="J15" i="1"/>
  <c r="I15" i="1"/>
  <c r="H15" i="1"/>
  <c r="G15" i="1"/>
  <c r="F15" i="1"/>
  <c r="E15" i="1"/>
  <c r="D15" i="1"/>
  <c r="C15" i="1"/>
  <c r="J14" i="1"/>
  <c r="E14" i="1"/>
  <c r="C14" i="1"/>
  <c r="K52" i="1" l="1"/>
  <c r="K23" i="1"/>
  <c r="K24" i="1"/>
  <c r="W52" i="1"/>
  <c r="W51" i="1"/>
  <c r="W50" i="1"/>
  <c r="W49" i="1"/>
  <c r="W48" i="1"/>
  <c r="W47" i="1"/>
  <c r="W46" i="1"/>
  <c r="W45" i="1"/>
  <c r="W44" i="1"/>
  <c r="V43" i="1"/>
  <c r="U43" i="1"/>
  <c r="T43" i="1"/>
  <c r="S43" i="1"/>
  <c r="R43" i="1"/>
  <c r="Q43" i="1"/>
  <c r="P43" i="1"/>
  <c r="O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43" i="1" l="1"/>
  <c r="J48" i="1" l="1"/>
  <c r="G48" i="1"/>
  <c r="F48" i="1"/>
  <c r="E48" i="1"/>
  <c r="D48" i="1"/>
  <c r="C45" i="1" l="1"/>
  <c r="J42" i="1"/>
  <c r="I42" i="1"/>
  <c r="H42" i="1"/>
  <c r="G42" i="1"/>
  <c r="F42" i="1"/>
  <c r="D42" i="1"/>
  <c r="J26" i="1"/>
  <c r="I26" i="1"/>
  <c r="H26" i="1"/>
  <c r="G26" i="1"/>
  <c r="F26" i="1"/>
  <c r="D26" i="1"/>
  <c r="C26" i="1"/>
  <c r="C42" i="1"/>
  <c r="I14" i="1"/>
  <c r="H14" i="1"/>
  <c r="G14" i="1"/>
  <c r="D14" i="1"/>
  <c r="K16" i="1" l="1"/>
  <c r="E26" i="1" l="1"/>
  <c r="E42" i="1"/>
  <c r="J44" i="1"/>
  <c r="I44" i="1"/>
  <c r="H44" i="1"/>
  <c r="G44" i="1"/>
  <c r="F44" i="1"/>
  <c r="E44" i="1"/>
  <c r="D44" i="1"/>
  <c r="C44" i="1"/>
  <c r="C46" i="1"/>
  <c r="E19" i="1"/>
  <c r="K21" i="1" l="1"/>
  <c r="D47" i="1" l="1"/>
  <c r="D43" i="1" s="1"/>
  <c r="E47" i="1"/>
  <c r="E43" i="1" s="1"/>
  <c r="F47" i="1"/>
  <c r="F43" i="1" s="1"/>
  <c r="G47" i="1"/>
  <c r="G43" i="1" s="1"/>
  <c r="H47" i="1"/>
  <c r="H43" i="1" s="1"/>
  <c r="I47" i="1"/>
  <c r="I43" i="1" s="1"/>
  <c r="J47" i="1"/>
  <c r="J43" i="1" s="1"/>
  <c r="C47" i="1"/>
  <c r="C43" i="1" s="1"/>
  <c r="K50" i="1"/>
  <c r="K49" i="1"/>
  <c r="K48" i="1"/>
  <c r="J28" i="1"/>
  <c r="J27" i="1" s="1"/>
  <c r="J25" i="1" s="1"/>
  <c r="J18" i="1" s="1"/>
  <c r="I28" i="1"/>
  <c r="I27" i="1" s="1"/>
  <c r="I25" i="1" s="1"/>
  <c r="I18" i="1" s="1"/>
  <c r="H28" i="1"/>
  <c r="H27" i="1" s="1"/>
  <c r="H25" i="1" s="1"/>
  <c r="H18" i="1" s="1"/>
  <c r="G28" i="1"/>
  <c r="G27" i="1" s="1"/>
  <c r="G25" i="1" s="1"/>
  <c r="G18" i="1" s="1"/>
  <c r="F28" i="1"/>
  <c r="F27" i="1" s="1"/>
  <c r="F25" i="1" s="1"/>
  <c r="F18" i="1" s="1"/>
  <c r="E28" i="1"/>
  <c r="E27" i="1" s="1"/>
  <c r="E25" i="1" s="1"/>
  <c r="E18" i="1" s="1"/>
  <c r="D28" i="1"/>
  <c r="D27" i="1" s="1"/>
  <c r="D25" i="1" s="1"/>
  <c r="D18" i="1" s="1"/>
  <c r="C28" i="1"/>
  <c r="C27" i="1" s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6" i="1"/>
  <c r="K51" i="1"/>
  <c r="C25" i="1" l="1"/>
  <c r="C18" i="1" s="1"/>
  <c r="K27" i="1"/>
  <c r="K47" i="1"/>
  <c r="K46" i="1"/>
  <c r="K45" i="1"/>
  <c r="K44" i="1"/>
  <c r="K22" i="1"/>
  <c r="K20" i="1"/>
  <c r="K25" i="1" l="1"/>
  <c r="K43" i="1"/>
  <c r="D17" i="1" l="1"/>
  <c r="I17" i="1"/>
  <c r="F17" i="1"/>
  <c r="E17" i="1"/>
  <c r="C17" i="1"/>
  <c r="K15" i="1"/>
  <c r="G17" i="1" l="1"/>
  <c r="H17" i="1"/>
  <c r="J17" i="1"/>
  <c r="K14" i="1"/>
  <c r="K17" i="1" l="1"/>
  <c r="K19" i="1" l="1"/>
  <c r="K18" i="1" l="1"/>
</calcChain>
</file>

<file path=xl/sharedStrings.xml><?xml version="1.0" encoding="utf-8"?>
<sst xmlns="http://schemas.openxmlformats.org/spreadsheetml/2006/main" count="188" uniqueCount="108">
  <si>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</si>
  <si>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</si>
  <si>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</si>
  <si>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</si>
  <si>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</si>
  <si>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</si>
  <si>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</si>
  <si>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</si>
  <si>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</si>
  <si>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</si>
  <si>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№ п/п</t>
  </si>
  <si>
    <t>Предельный дефицит</t>
  </si>
  <si>
    <t>Доходы</t>
  </si>
  <si>
    <t>Источники покрытия предельного дефицита, из них:</t>
  </si>
  <si>
    <t>дотации (трансферты) из республиканского бюджета, из них:</t>
  </si>
  <si>
    <t>к Закону Приднестровской Молдавской Республики</t>
  </si>
  <si>
    <t>задолженность за потребляемые коммунальные услуги</t>
  </si>
  <si>
    <t>(руб.)</t>
  </si>
  <si>
    <t>на цели осуществления городом Тирасполем функций столицы, из них:</t>
  </si>
  <si>
    <t>"О республиканском бюджете на 2022 год"</t>
  </si>
  <si>
    <t>1.</t>
  </si>
  <si>
    <t>2.</t>
  </si>
  <si>
    <t>3.</t>
  </si>
  <si>
    <t>4.</t>
  </si>
  <si>
    <t>5.</t>
  </si>
  <si>
    <t>Основные параметры местных бюджетов, источники покрытия дефицита местных бюджетов, объемы субсидий из республиканского бюджета на 2022 год</t>
  </si>
  <si>
    <t>4.1.</t>
  </si>
  <si>
    <t>4.1.1.</t>
  </si>
  <si>
    <t>4.2.</t>
  </si>
  <si>
    <t>за счет Фонда поддержки территорий городов и районов</t>
  </si>
  <si>
    <t>Приложение № 4</t>
  </si>
  <si>
    <t>Остатки по состоянию на 01.01.2022 года</t>
  </si>
  <si>
    <t xml:space="preserve"> не имеющие целевого назначения  (очищенные)</t>
  </si>
  <si>
    <t xml:space="preserve"> имеющие целевое назначение</t>
  </si>
  <si>
    <t xml:space="preserve"> целевые сборы и платежи всего, в том числе:</t>
  </si>
  <si>
    <t>а)</t>
  </si>
  <si>
    <t>целевой сбор на благоустройство территорий сел</t>
  </si>
  <si>
    <t>б)</t>
  </si>
  <si>
    <t>домовладение</t>
  </si>
  <si>
    <t>в)</t>
  </si>
  <si>
    <t>целевой сбор на содержание и развитие соц. сферы</t>
  </si>
  <si>
    <t>г)</t>
  </si>
  <si>
    <t>д)</t>
  </si>
  <si>
    <t>целевой сбор землеустроителей</t>
  </si>
  <si>
    <t>е)</t>
  </si>
  <si>
    <t xml:space="preserve">средства от приватизации </t>
  </si>
  <si>
    <t>ж)</t>
  </si>
  <si>
    <t>направляемые на кредитование крестьянских хоз-в</t>
  </si>
  <si>
    <t>з)</t>
  </si>
  <si>
    <t>направляемые на кредитование молодых специалистов</t>
  </si>
  <si>
    <t>и)</t>
  </si>
  <si>
    <t>направляемые на кредитование молодых семей</t>
  </si>
  <si>
    <t>к)</t>
  </si>
  <si>
    <t xml:space="preserve">фонд соц. развития </t>
  </si>
  <si>
    <t>л)</t>
  </si>
  <si>
    <t>территориального экологического фонда</t>
  </si>
  <si>
    <t xml:space="preserve"> платные услуги</t>
  </si>
  <si>
    <t>6.</t>
  </si>
  <si>
    <t>4.3.</t>
  </si>
  <si>
    <t>4.3.2.2</t>
  </si>
  <si>
    <t>4.3.2.3</t>
  </si>
  <si>
    <t>6.1.</t>
  </si>
  <si>
    <t>6.2.</t>
  </si>
  <si>
    <t>6.2.1.</t>
  </si>
  <si>
    <t>6.3.</t>
  </si>
  <si>
    <t>6.4.</t>
  </si>
  <si>
    <t>6.3.1</t>
  </si>
  <si>
    <t>за счет Дорожного фонда</t>
  </si>
  <si>
    <t>6.3.2</t>
  </si>
  <si>
    <t>6.3.3</t>
  </si>
  <si>
    <t>на содержание и благоустройство исторического военно-мемориального комплекса «Бендерская крепость» и парка им. А. Невского, за счет остатков, сложившихся по состоянию на 01.01.2022г.</t>
  </si>
  <si>
    <t>на развитие дорожной отрасли</t>
  </si>
  <si>
    <t>Субсидии из республиканского бюджета, в том числе прошлых лет:</t>
  </si>
  <si>
    <t>нераспределенне субсидии выделенные из РБ на развитие дорожной отрасли в 2021 году</t>
  </si>
  <si>
    <t>4.1.2.</t>
  </si>
  <si>
    <t>на оплату текущих трансфертов предприятиям электротранспорта</t>
  </si>
  <si>
    <t>на погашение задолженности государственной администрации города Бендеры перед ОАО "Агентство по оздоровлению банковской системы"</t>
  </si>
  <si>
    <t xml:space="preserve">налог на содержание жилищного фонда </t>
  </si>
  <si>
    <t xml:space="preserve">фонд эконом. развития </t>
  </si>
  <si>
    <t>2.1</t>
  </si>
  <si>
    <t>Формирование резерва за счет нераспределенных остатков, сложившихся по состоянию на 01.01.2022 года</t>
  </si>
  <si>
    <t>на содержание Екатерининского парка в городе Тирасполе</t>
  </si>
  <si>
    <t>расходы на благоустройство и озеленение территорий городов (районов)</t>
  </si>
  <si>
    <t>Предельные расходы, в т.ч.</t>
  </si>
  <si>
    <t>Предельные расходы</t>
  </si>
  <si>
    <t>4.3</t>
  </si>
  <si>
    <t>средства из резервных фондов  Президента ПМР и Правительства ПМР</t>
  </si>
  <si>
    <t>4.4</t>
  </si>
  <si>
    <t xml:space="preserve">средства для выплаты единовременной финансовой (материальной) помощи родителям (иным законным представителям) обучающихся первого класса организаций образования, реализующих основную образовательную программу начального общего образования </t>
  </si>
  <si>
    <t>4.5</t>
  </si>
  <si>
    <t>4.5.1</t>
  </si>
  <si>
    <t>4.5.2</t>
  </si>
  <si>
    <t>4.5.2.1</t>
  </si>
  <si>
    <t>средства Дорожного фонда, необоснованно использованные в 2021 году, во исполнение постановлений Счетной палаты ПМР                                                 от 27.12.2021 г. №15/V, №15/IV, возмещенные в 2022 году местному бюджету</t>
  </si>
  <si>
    <t>6.5.</t>
  </si>
  <si>
    <t>на содержание объекта – мемориальный комплекс «Кицканский плацдарм»</t>
  </si>
  <si>
    <t>4.4.</t>
  </si>
  <si>
    <t>4.5.</t>
  </si>
  <si>
    <t>4.5.2.2</t>
  </si>
  <si>
    <t>4.5.2.3</t>
  </si>
  <si>
    <t xml:space="preserve">"О внесении изменений и дополнений </t>
  </si>
  <si>
    <t xml:space="preserve">в Закон Приднестровской Молдавской Республики </t>
  </si>
  <si>
    <t>на содержание мемориального комплекса "Кицканский плацдарм"</t>
  </si>
  <si>
    <t>за счет фонда поддержки территорий городов и районов</t>
  </si>
  <si>
    <t>средства Дорожного фонда, необоснованно использованные в 2021 году, во исполнение постановлений Счетной палаты ПМР                             от 27.12.2021 г. №15/V, №15/IV, возмещенные в 2022 году местному бюджету</t>
  </si>
  <si>
    <t>нераспределенне субсидии, выделенные из РБ на развитие дорожной отрасли в 2021 году</t>
  </si>
  <si>
    <t>на содержание и благоустройство исторического военно-мемориального комплекса "Бендерская крепость" и парка им. А. Невского, за счет остатков, сложившихся по состоянию на 01.01.2022 г.</t>
  </si>
  <si>
    <t>Приложение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</si>
</sst>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_р_._-;\-* #,##0_р_._-;_-* &quot;-&quot;??_р_._-;_-@_-"/>
    <numFmt numFmtId="166" formatCode="_-* #,##0.0_-;\-* #,##0.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8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vertical="center" wrapText="1"/>
    </xf>
    <xf numFmtId="3" fontId="3" fillId="3" borderId="5" xfId="1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 wrapText="1"/>
    </xf>
    <xf numFmtId="3" fontId="3" fillId="0" borderId="0" xfId="0" applyNumberFormat="1" applyFont="1"/>
    <xf numFmtId="3" fontId="2" fillId="3" borderId="0" xfId="0" applyNumberFormat="1" applyFont="1" applyFill="1"/>
    <xf numFmtId="3" fontId="7" fillId="0" borderId="0" xfId="0" applyNumberFormat="1" applyFont="1"/>
    <xf numFmtId="3" fontId="2" fillId="0" borderId="10" xfId="0" applyNumberFormat="1" applyFont="1" applyFill="1" applyBorder="1" applyAlignment="1">
      <alignment vertical="center"/>
    </xf>
    <xf numFmtId="166" fontId="3" fillId="0" borderId="3" xfId="6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 wrapText="1"/>
    </xf>
    <xf numFmtId="3" fontId="8" fillId="2" borderId="1" xfId="1" applyNumberFormat="1" applyFont="1" applyFill="1" applyBorder="1" applyAlignment="1">
      <alignment vertical="center" wrapText="1"/>
    </xf>
    <xf numFmtId="3" fontId="8" fillId="0" borderId="1" xfId="1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wrapText="1"/>
    </xf>
    <xf numFmtId="3" fontId="11" fillId="0" borderId="1" xfId="0" applyNumberFormat="1" applyFont="1" applyBorder="1"/>
    <xf numFmtId="49" fontId="2" fillId="0" borderId="11" xfId="0" applyNumberFormat="1" applyFont="1" applyFill="1" applyBorder="1" applyAlignment="1">
      <alignment horizontal="center" vertical="center"/>
    </xf>
    <xf numFmtId="3" fontId="2" fillId="0" borderId="12" xfId="0" applyNumberFormat="1" applyFont="1" applyBorder="1" applyAlignment="1">
      <alignment vertical="center" wrapText="1"/>
    </xf>
    <xf numFmtId="3" fontId="2" fillId="0" borderId="12" xfId="0" applyNumberFormat="1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vertical="center" wrapText="1"/>
    </xf>
    <xf numFmtId="3" fontId="2" fillId="0" borderId="15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horizontal="center" wrapText="1"/>
    </xf>
  </cellXfs>
  <cellStyles count="12">
    <cellStyle name="Обычный" xfId="0" builtinId="0"/>
    <cellStyle name="Финансовый" xfId="6" builtinId="3"/>
    <cellStyle name="Финансовый 2" xfId="1"/>
    <cellStyle name="Финансовый 2 2" xfId="4"/>
    <cellStyle name="Финансовый 2 2 2" xfId="10"/>
    <cellStyle name="Финансовый 2 3" xfId="7"/>
    <cellStyle name="Финансовый 3" xfId="2"/>
    <cellStyle name="Финансовый 3 2" xfId="8"/>
    <cellStyle name="Финансовый 4" xfId="3"/>
    <cellStyle name="Финансовый 4 2" xfId="9"/>
    <cellStyle name="Финансовый 5" xfId="5"/>
    <cellStyle name="Финансовый 5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tabSelected="1" view="pageBreakPreview" zoomScale="90" zoomScaleNormal="90" zoomScaleSheetLayoutView="90" workbookViewId="0">
      <pane xSplit="2" ySplit="13" topLeftCell="C47" activePane="bottomRight" state="frozenSplit"/>
      <selection pane="topRight" activeCell="B1" sqref="B1"/>
      <selection pane="bottomLeft" activeCell="A8" sqref="A8"/>
      <selection pane="bottomRight" activeCell="K1" sqref="K1"/>
    </sheetView>
  </sheetViews>
  <sheetFormatPr defaultColWidth="9.109375" defaultRowHeight="15.6" x14ac:dyDescent="0.3"/>
  <cols>
    <col min="1" max="1" width="7.33203125" style="1" bestFit="1" customWidth="1"/>
    <col min="2" max="2" width="47.44140625" style="1" customWidth="1"/>
    <col min="3" max="3" width="14.88671875" style="1" bestFit="1" customWidth="1"/>
    <col min="4" max="5" width="13.6640625" style="1" bestFit="1" customWidth="1"/>
    <col min="6" max="6" width="14.88671875" style="1" bestFit="1" customWidth="1"/>
    <col min="7" max="7" width="13.6640625" style="35" bestFit="1" customWidth="1"/>
    <col min="8" max="8" width="13.6640625" style="1" bestFit="1" customWidth="1"/>
    <col min="9" max="9" width="15.5546875" style="1" customWidth="1"/>
    <col min="10" max="10" width="13.6640625" style="1" bestFit="1" customWidth="1"/>
    <col min="11" max="11" width="15.5546875" style="1" customWidth="1"/>
    <col min="12" max="12" width="4.33203125" style="1" customWidth="1"/>
    <col min="13" max="13" width="6.33203125" style="1" hidden="1" customWidth="1"/>
    <col min="14" max="14" width="60.6640625" style="1" hidden="1" customWidth="1"/>
    <col min="15" max="15" width="12.5546875" style="1" hidden="1" customWidth="1"/>
    <col min="16" max="17" width="11.5546875" style="1" hidden="1" customWidth="1"/>
    <col min="18" max="18" width="12.5546875" style="1" hidden="1" customWidth="1"/>
    <col min="19" max="20" width="11.5546875" style="1" hidden="1" customWidth="1"/>
    <col min="21" max="21" width="13.44140625" style="1" hidden="1" customWidth="1"/>
    <col min="22" max="22" width="11.5546875" style="1" hidden="1" customWidth="1"/>
    <col min="23" max="23" width="12.5546875" style="1" hidden="1" customWidth="1"/>
    <col min="24" max="16384" width="9.109375" style="1"/>
  </cols>
  <sheetData>
    <row r="1" spans="1:23" x14ac:dyDescent="0.3">
      <c r="K1" s="2" t="s">
        <v>107</v>
      </c>
    </row>
    <row r="2" spans="1:23" x14ac:dyDescent="0.3">
      <c r="K2" s="2" t="s">
        <v>15</v>
      </c>
    </row>
    <row r="3" spans="1:23" x14ac:dyDescent="0.3">
      <c r="K3" s="2" t="s">
        <v>100</v>
      </c>
    </row>
    <row r="4" spans="1:23" x14ac:dyDescent="0.3">
      <c r="K4" s="2" t="s">
        <v>101</v>
      </c>
    </row>
    <row r="5" spans="1:23" x14ac:dyDescent="0.3">
      <c r="K5" s="2" t="s">
        <v>19</v>
      </c>
    </row>
    <row r="7" spans="1:23" x14ac:dyDescent="0.3">
      <c r="B7" s="34"/>
      <c r="K7" s="2" t="s">
        <v>30</v>
      </c>
    </row>
    <row r="8" spans="1:23" x14ac:dyDescent="0.3">
      <c r="K8" s="2" t="s">
        <v>15</v>
      </c>
    </row>
    <row r="9" spans="1:23" x14ac:dyDescent="0.3">
      <c r="K9" s="2" t="s">
        <v>19</v>
      </c>
    </row>
    <row r="10" spans="1:23" x14ac:dyDescent="0.3">
      <c r="K10" s="2"/>
    </row>
    <row r="11" spans="1:23" x14ac:dyDescent="0.3">
      <c r="A11" s="67" t="s">
        <v>25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23" ht="16.2" thickBot="1" x14ac:dyDescent="0.35">
      <c r="G12" s="1"/>
      <c r="K12" s="2" t="s">
        <v>17</v>
      </c>
    </row>
    <row r="13" spans="1:23" s="3" customFormat="1" ht="16.2" thickBot="1" x14ac:dyDescent="0.35">
      <c r="A13" s="9" t="s">
        <v>10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2" t="s">
        <v>5</v>
      </c>
      <c r="H13" s="11" t="s">
        <v>6</v>
      </c>
      <c r="I13" s="11" t="s">
        <v>7</v>
      </c>
      <c r="J13" s="11" t="s">
        <v>8</v>
      </c>
      <c r="K13" s="13" t="s">
        <v>9</v>
      </c>
      <c r="M13" s="39" t="s">
        <v>10</v>
      </c>
      <c r="N13" s="40" t="s">
        <v>0</v>
      </c>
      <c r="O13" s="39" t="s">
        <v>1</v>
      </c>
      <c r="P13" s="39" t="s">
        <v>2</v>
      </c>
      <c r="Q13" s="39" t="s">
        <v>3</v>
      </c>
      <c r="R13" s="39" t="s">
        <v>4</v>
      </c>
      <c r="S13" s="39" t="s">
        <v>5</v>
      </c>
      <c r="T13" s="39" t="s">
        <v>6</v>
      </c>
      <c r="U13" s="39" t="s">
        <v>7</v>
      </c>
      <c r="V13" s="39" t="s">
        <v>8</v>
      </c>
      <c r="W13" s="39" t="s">
        <v>9</v>
      </c>
    </row>
    <row r="14" spans="1:23" s="3" customFormat="1" ht="18" customHeight="1" x14ac:dyDescent="0.3">
      <c r="A14" s="15" t="s">
        <v>20</v>
      </c>
      <c r="B14" s="8" t="s">
        <v>12</v>
      </c>
      <c r="C14" s="17">
        <f>372764293+1689636+15385480+435945</f>
        <v>390275354</v>
      </c>
      <c r="D14" s="17">
        <f>39854500+828522</f>
        <v>40683022</v>
      </c>
      <c r="E14" s="17">
        <f>236266055+2733600+10899381+229330</f>
        <v>250128366</v>
      </c>
      <c r="F14" s="17">
        <v>225158240</v>
      </c>
      <c r="G14" s="18">
        <f>96160070+2652933</f>
        <v>98813003</v>
      </c>
      <c r="H14" s="17">
        <f>129277717+10280150</f>
        <v>139557867</v>
      </c>
      <c r="I14" s="17">
        <f>68423745+1202814</f>
        <v>69626559</v>
      </c>
      <c r="J14" s="17">
        <f>40429196+170000</f>
        <v>40599196</v>
      </c>
      <c r="K14" s="19">
        <f>SUM(C14:J14)</f>
        <v>1254841607</v>
      </c>
      <c r="M14" s="41" t="s">
        <v>20</v>
      </c>
      <c r="N14" s="42" t="s">
        <v>12</v>
      </c>
      <c r="O14" s="43">
        <v>390275354</v>
      </c>
      <c r="P14" s="43">
        <v>40683022</v>
      </c>
      <c r="Q14" s="43">
        <v>250128366</v>
      </c>
      <c r="R14" s="44">
        <v>225158240</v>
      </c>
      <c r="S14" s="44">
        <v>98813003</v>
      </c>
      <c r="T14" s="44">
        <v>139557867</v>
      </c>
      <c r="U14" s="43">
        <v>69626559</v>
      </c>
      <c r="V14" s="43">
        <v>40599196</v>
      </c>
      <c r="W14" s="43">
        <f>SUM(O14:V14)</f>
        <v>1254841607</v>
      </c>
    </row>
    <row r="15" spans="1:23" s="3" customFormat="1" ht="20.399999999999999" customHeight="1" x14ac:dyDescent="0.3">
      <c r="A15" s="16" t="s">
        <v>21</v>
      </c>
      <c r="B15" s="4" t="s">
        <v>83</v>
      </c>
      <c r="C15" s="20">
        <f>384719240+3944845+94073+1689636+14159508+16392275+13410404</f>
        <v>434409981</v>
      </c>
      <c r="D15" s="20">
        <f>40833232+3846082+77109+513542+1634739+188370</f>
        <v>47093074</v>
      </c>
      <c r="E15" s="20">
        <f>286340941+2100553+93482+15277315+6367172+10899381+4792217</f>
        <v>325871061</v>
      </c>
      <c r="F15" s="20">
        <f>234867695+4973056+190053+1573173+11473757+1040037</f>
        <v>254117771</v>
      </c>
      <c r="G15" s="20">
        <f>122081577+4555591+132924+946961+2921148+748589</f>
        <v>131386790</v>
      </c>
      <c r="H15" s="20">
        <f>191465783+3561086+186965+2310836+11637278+1498743</f>
        <v>210660691</v>
      </c>
      <c r="I15" s="20">
        <f>119687624+3596963+103011+293472+4671777+871386</f>
        <v>129224233</v>
      </c>
      <c r="J15" s="20">
        <f>69260676+2293651+111441+481304+2244349+742686</f>
        <v>75134107</v>
      </c>
      <c r="K15" s="21">
        <f t="shared" ref="K15:K47" si="0">SUM(C15:J15)</f>
        <v>1607897708</v>
      </c>
      <c r="L15" s="6"/>
      <c r="M15" s="41" t="s">
        <v>21</v>
      </c>
      <c r="N15" s="42" t="s">
        <v>84</v>
      </c>
      <c r="O15" s="45">
        <v>434409981</v>
      </c>
      <c r="P15" s="45">
        <v>47093074</v>
      </c>
      <c r="Q15" s="45">
        <v>325871061</v>
      </c>
      <c r="R15" s="45">
        <v>254117771</v>
      </c>
      <c r="S15" s="45">
        <v>131386790</v>
      </c>
      <c r="T15" s="45">
        <v>210660691</v>
      </c>
      <c r="U15" s="45">
        <v>129224233</v>
      </c>
      <c r="V15" s="45">
        <v>75134107</v>
      </c>
      <c r="W15" s="45">
        <f t="shared" ref="W15:W52" si="1">SUM(O15:V15)</f>
        <v>1607897708</v>
      </c>
    </row>
    <row r="16" spans="1:23" s="3" customFormat="1" ht="42.6" customHeight="1" x14ac:dyDescent="0.3">
      <c r="A16" s="14" t="s">
        <v>79</v>
      </c>
      <c r="B16" s="5" t="s">
        <v>82</v>
      </c>
      <c r="C16" s="37">
        <v>8600000</v>
      </c>
      <c r="D16" s="22">
        <v>513542</v>
      </c>
      <c r="E16" s="22">
        <v>3633572</v>
      </c>
      <c r="F16" s="22">
        <v>1573173</v>
      </c>
      <c r="G16" s="22">
        <v>946961</v>
      </c>
      <c r="H16" s="22">
        <f>1582339-700000</f>
        <v>882339</v>
      </c>
      <c r="I16" s="22">
        <v>293472</v>
      </c>
      <c r="J16" s="22">
        <v>481304</v>
      </c>
      <c r="K16" s="24">
        <f t="shared" si="0"/>
        <v>16924363</v>
      </c>
      <c r="L16" s="6"/>
      <c r="M16" s="46" t="s">
        <v>79</v>
      </c>
      <c r="N16" s="47" t="s">
        <v>82</v>
      </c>
      <c r="O16" s="48">
        <v>8600000</v>
      </c>
      <c r="P16" s="48">
        <v>513542</v>
      </c>
      <c r="Q16" s="48">
        <v>3633572</v>
      </c>
      <c r="R16" s="48">
        <v>1573173</v>
      </c>
      <c r="S16" s="48">
        <v>946961</v>
      </c>
      <c r="T16" s="48">
        <v>882339</v>
      </c>
      <c r="U16" s="48">
        <v>293472</v>
      </c>
      <c r="V16" s="48">
        <v>481304</v>
      </c>
      <c r="W16" s="48">
        <f t="shared" si="1"/>
        <v>16924363</v>
      </c>
    </row>
    <row r="17" spans="1:23" s="3" customFormat="1" ht="20.399999999999999" customHeight="1" x14ac:dyDescent="0.3">
      <c r="A17" s="16" t="s">
        <v>22</v>
      </c>
      <c r="B17" s="4" t="s">
        <v>11</v>
      </c>
      <c r="C17" s="20">
        <f t="shared" ref="C17:J17" si="2">C15-C14</f>
        <v>44134627</v>
      </c>
      <c r="D17" s="20">
        <f t="shared" si="2"/>
        <v>6410052</v>
      </c>
      <c r="E17" s="20">
        <f t="shared" si="2"/>
        <v>75742695</v>
      </c>
      <c r="F17" s="20">
        <f t="shared" si="2"/>
        <v>28959531</v>
      </c>
      <c r="G17" s="20">
        <f t="shared" si="2"/>
        <v>32573787</v>
      </c>
      <c r="H17" s="20">
        <f t="shared" si="2"/>
        <v>71102824</v>
      </c>
      <c r="I17" s="20">
        <f t="shared" si="2"/>
        <v>59597674</v>
      </c>
      <c r="J17" s="20">
        <f t="shared" si="2"/>
        <v>34534911</v>
      </c>
      <c r="K17" s="21">
        <f t="shared" si="0"/>
        <v>353056101</v>
      </c>
      <c r="M17" s="41" t="s">
        <v>22</v>
      </c>
      <c r="N17" s="42" t="s">
        <v>11</v>
      </c>
      <c r="O17" s="45">
        <v>44134627</v>
      </c>
      <c r="P17" s="45">
        <v>6410052</v>
      </c>
      <c r="Q17" s="45">
        <v>75742695</v>
      </c>
      <c r="R17" s="45">
        <v>28959531</v>
      </c>
      <c r="S17" s="45">
        <v>32573787</v>
      </c>
      <c r="T17" s="45">
        <v>71102824</v>
      </c>
      <c r="U17" s="45">
        <v>59597674</v>
      </c>
      <c r="V17" s="45">
        <v>34534911</v>
      </c>
      <c r="W17" s="45">
        <f t="shared" si="1"/>
        <v>353056101</v>
      </c>
    </row>
    <row r="18" spans="1:23" s="6" customFormat="1" ht="39" customHeight="1" x14ac:dyDescent="0.3">
      <c r="A18" s="16" t="s">
        <v>23</v>
      </c>
      <c r="B18" s="4" t="s">
        <v>13</v>
      </c>
      <c r="C18" s="20">
        <f>SUM(C19+C22+C25+C23+C24)</f>
        <v>44134627</v>
      </c>
      <c r="D18" s="20">
        <f t="shared" ref="D18:J18" si="3">SUM(D19+D22+D25+D23+D24)</f>
        <v>6410052</v>
      </c>
      <c r="E18" s="20">
        <f t="shared" si="3"/>
        <v>75742695</v>
      </c>
      <c r="F18" s="20">
        <f t="shared" si="3"/>
        <v>28959531</v>
      </c>
      <c r="G18" s="20">
        <f t="shared" si="3"/>
        <v>32573787</v>
      </c>
      <c r="H18" s="20">
        <f t="shared" si="3"/>
        <v>71102824</v>
      </c>
      <c r="I18" s="20">
        <f t="shared" si="3"/>
        <v>59597674</v>
      </c>
      <c r="J18" s="20">
        <f t="shared" si="3"/>
        <v>34534911</v>
      </c>
      <c r="K18" s="21">
        <f t="shared" si="0"/>
        <v>353056101</v>
      </c>
      <c r="L18" s="3"/>
      <c r="M18" s="41" t="s">
        <v>23</v>
      </c>
      <c r="N18" s="42" t="s">
        <v>13</v>
      </c>
      <c r="O18" s="45">
        <v>44134627</v>
      </c>
      <c r="P18" s="45">
        <v>6410052</v>
      </c>
      <c r="Q18" s="45">
        <v>75742695</v>
      </c>
      <c r="R18" s="45">
        <v>28959531</v>
      </c>
      <c r="S18" s="45">
        <v>32573787</v>
      </c>
      <c r="T18" s="45">
        <v>71102824</v>
      </c>
      <c r="U18" s="45">
        <v>59597674</v>
      </c>
      <c r="V18" s="45">
        <v>34534911</v>
      </c>
      <c r="W18" s="45">
        <f t="shared" si="1"/>
        <v>353056101</v>
      </c>
    </row>
    <row r="19" spans="1:23" s="3" customFormat="1" ht="40.799999999999997" customHeight="1" x14ac:dyDescent="0.3">
      <c r="A19" s="29" t="s">
        <v>26</v>
      </c>
      <c r="B19" s="30" t="s">
        <v>14</v>
      </c>
      <c r="C19" s="31">
        <v>0</v>
      </c>
      <c r="D19" s="31">
        <v>0</v>
      </c>
      <c r="E19" s="31">
        <f>40566730+15277315+222602</f>
        <v>56066647</v>
      </c>
      <c r="F19" s="31">
        <v>0</v>
      </c>
      <c r="G19" s="31">
        <v>22025902</v>
      </c>
      <c r="H19" s="31">
        <v>56616867</v>
      </c>
      <c r="I19" s="31">
        <v>47489725</v>
      </c>
      <c r="J19" s="31">
        <f>26090067-117066</f>
        <v>25973001</v>
      </c>
      <c r="K19" s="32">
        <f t="shared" si="0"/>
        <v>208172142</v>
      </c>
      <c r="L19" s="6"/>
      <c r="M19" s="49" t="s">
        <v>26</v>
      </c>
      <c r="N19" s="50" t="s">
        <v>14</v>
      </c>
      <c r="O19" s="51">
        <v>0</v>
      </c>
      <c r="P19" s="51">
        <v>0</v>
      </c>
      <c r="Q19" s="51">
        <v>56066647</v>
      </c>
      <c r="R19" s="51">
        <v>0</v>
      </c>
      <c r="S19" s="51">
        <v>22025902</v>
      </c>
      <c r="T19" s="51">
        <v>56616867</v>
      </c>
      <c r="U19" s="51">
        <v>47489725</v>
      </c>
      <c r="V19" s="51">
        <v>25973001</v>
      </c>
      <c r="W19" s="51">
        <f t="shared" si="1"/>
        <v>208172142</v>
      </c>
    </row>
    <row r="20" spans="1:23" s="3" customFormat="1" ht="39" customHeight="1" x14ac:dyDescent="0.3">
      <c r="A20" s="14" t="s">
        <v>27</v>
      </c>
      <c r="B20" s="5" t="s">
        <v>75</v>
      </c>
      <c r="C20" s="22"/>
      <c r="D20" s="22"/>
      <c r="E20" s="22">
        <v>18037514</v>
      </c>
      <c r="F20" s="22"/>
      <c r="G20" s="22"/>
      <c r="H20" s="22"/>
      <c r="I20" s="22"/>
      <c r="J20" s="22"/>
      <c r="K20" s="24">
        <f t="shared" si="0"/>
        <v>18037514</v>
      </c>
      <c r="L20" s="6"/>
      <c r="M20" s="46" t="s">
        <v>27</v>
      </c>
      <c r="N20" s="47" t="s">
        <v>75</v>
      </c>
      <c r="O20" s="48"/>
      <c r="P20" s="48"/>
      <c r="Q20" s="48">
        <v>18037514</v>
      </c>
      <c r="R20" s="48"/>
      <c r="S20" s="48"/>
      <c r="T20" s="48"/>
      <c r="U20" s="48"/>
      <c r="V20" s="48"/>
      <c r="W20" s="48">
        <f t="shared" si="1"/>
        <v>18037514</v>
      </c>
    </row>
    <row r="21" spans="1:23" s="3" customFormat="1" ht="71.400000000000006" customHeight="1" x14ac:dyDescent="0.3">
      <c r="A21" s="14" t="s">
        <v>74</v>
      </c>
      <c r="B21" s="5" t="s">
        <v>76</v>
      </c>
      <c r="C21" s="22"/>
      <c r="D21" s="22"/>
      <c r="E21" s="22">
        <v>15277315</v>
      </c>
      <c r="F21" s="22"/>
      <c r="G21" s="22"/>
      <c r="H21" s="22"/>
      <c r="I21" s="22"/>
      <c r="J21" s="22"/>
      <c r="K21" s="24">
        <f t="shared" ref="K21" si="4">SUM(C21:J21)</f>
        <v>15277315</v>
      </c>
      <c r="L21" s="6"/>
      <c r="M21" s="46" t="s">
        <v>74</v>
      </c>
      <c r="N21" s="47" t="s">
        <v>76</v>
      </c>
      <c r="O21" s="48"/>
      <c r="P21" s="48"/>
      <c r="Q21" s="48">
        <v>15277315</v>
      </c>
      <c r="R21" s="48"/>
      <c r="S21" s="48"/>
      <c r="T21" s="48"/>
      <c r="U21" s="48"/>
      <c r="V21" s="48"/>
      <c r="W21" s="48">
        <f t="shared" si="1"/>
        <v>15277315</v>
      </c>
    </row>
    <row r="22" spans="1:23" s="3" customFormat="1" ht="37.799999999999997" customHeight="1" x14ac:dyDescent="0.3">
      <c r="A22" s="29" t="s">
        <v>28</v>
      </c>
      <c r="B22" s="33" t="s">
        <v>16</v>
      </c>
      <c r="C22" s="31">
        <f>11954947+5643177</f>
        <v>17598124</v>
      </c>
      <c r="D22" s="31">
        <v>978732</v>
      </c>
      <c r="E22" s="31">
        <f>9508156+48713</f>
        <v>9556869</v>
      </c>
      <c r="F22" s="31">
        <f>9709455+42389</f>
        <v>9751844</v>
      </c>
      <c r="G22" s="31">
        <f>3895605+15285</f>
        <v>3910890</v>
      </c>
      <c r="H22" s="31">
        <f>5571199+41366</f>
        <v>5612565</v>
      </c>
      <c r="I22" s="31">
        <f>3774154+161407</f>
        <v>3935561</v>
      </c>
      <c r="J22" s="31">
        <f>2741413+21931</f>
        <v>2763344</v>
      </c>
      <c r="K22" s="32">
        <f t="shared" si="0"/>
        <v>54107929</v>
      </c>
      <c r="L22" s="6"/>
      <c r="M22" s="49" t="s">
        <v>28</v>
      </c>
      <c r="N22" s="50" t="s">
        <v>16</v>
      </c>
      <c r="O22" s="51">
        <v>17598124</v>
      </c>
      <c r="P22" s="51">
        <v>978732</v>
      </c>
      <c r="Q22" s="51">
        <v>9556869</v>
      </c>
      <c r="R22" s="51">
        <v>9751844</v>
      </c>
      <c r="S22" s="51">
        <v>3910890</v>
      </c>
      <c r="T22" s="51">
        <v>5612565</v>
      </c>
      <c r="U22" s="51">
        <v>3935561</v>
      </c>
      <c r="V22" s="51">
        <v>2763344</v>
      </c>
      <c r="W22" s="51">
        <f t="shared" si="1"/>
        <v>54107929</v>
      </c>
    </row>
    <row r="23" spans="1:23" ht="35.4" customHeight="1" x14ac:dyDescent="0.3">
      <c r="A23" s="29" t="s">
        <v>58</v>
      </c>
      <c r="B23" s="33" t="s">
        <v>86</v>
      </c>
      <c r="C23" s="31">
        <v>5027372</v>
      </c>
      <c r="D23" s="31"/>
      <c r="E23" s="31">
        <v>3343704</v>
      </c>
      <c r="F23" s="31">
        <v>30038</v>
      </c>
      <c r="G23" s="31">
        <v>282504</v>
      </c>
      <c r="H23" s="31">
        <v>444687</v>
      </c>
      <c r="I23" s="31">
        <v>207659</v>
      </c>
      <c r="J23" s="31">
        <v>371581</v>
      </c>
      <c r="K23" s="32">
        <f t="shared" si="0"/>
        <v>9707545</v>
      </c>
      <c r="L23" s="6"/>
      <c r="M23" s="49" t="s">
        <v>85</v>
      </c>
      <c r="N23" s="50" t="s">
        <v>86</v>
      </c>
      <c r="O23" s="51">
        <v>5027372</v>
      </c>
      <c r="P23" s="51"/>
      <c r="Q23" s="51">
        <v>3343704</v>
      </c>
      <c r="R23" s="51">
        <v>30038</v>
      </c>
      <c r="S23" s="51">
        <v>282504</v>
      </c>
      <c r="T23" s="51">
        <v>444687</v>
      </c>
      <c r="U23" s="51">
        <v>207659</v>
      </c>
      <c r="V23" s="51">
        <v>371581</v>
      </c>
      <c r="W23" s="51">
        <f t="shared" si="1"/>
        <v>9707545</v>
      </c>
    </row>
    <row r="24" spans="1:23" ht="111.6" customHeight="1" x14ac:dyDescent="0.3">
      <c r="A24" s="29" t="s">
        <v>96</v>
      </c>
      <c r="B24" s="33" t="s">
        <v>88</v>
      </c>
      <c r="C24" s="31">
        <v>2303910</v>
      </c>
      <c r="D24" s="31">
        <v>188370</v>
      </c>
      <c r="E24" s="31">
        <v>1170470</v>
      </c>
      <c r="F24" s="31">
        <v>967610</v>
      </c>
      <c r="G24" s="31">
        <v>450800</v>
      </c>
      <c r="H24" s="31">
        <v>1012690</v>
      </c>
      <c r="I24" s="31">
        <v>502320</v>
      </c>
      <c r="J24" s="31">
        <v>296240</v>
      </c>
      <c r="K24" s="32">
        <f t="shared" si="0"/>
        <v>6892410</v>
      </c>
      <c r="L24" s="6"/>
      <c r="M24" s="49" t="s">
        <v>87</v>
      </c>
      <c r="N24" s="50" t="s">
        <v>88</v>
      </c>
      <c r="O24" s="51">
        <v>2303910</v>
      </c>
      <c r="P24" s="51">
        <v>188370</v>
      </c>
      <c r="Q24" s="51">
        <v>1170470</v>
      </c>
      <c r="R24" s="51">
        <v>967610</v>
      </c>
      <c r="S24" s="51">
        <v>450800</v>
      </c>
      <c r="T24" s="51">
        <v>1012690</v>
      </c>
      <c r="U24" s="51">
        <v>502320</v>
      </c>
      <c r="V24" s="51">
        <v>296240</v>
      </c>
      <c r="W24" s="51">
        <f t="shared" si="1"/>
        <v>6892410</v>
      </c>
    </row>
    <row r="25" spans="1:23" ht="20.399999999999999" customHeight="1" x14ac:dyDescent="0.3">
      <c r="A25" s="29" t="s">
        <v>97</v>
      </c>
      <c r="B25" s="33" t="s">
        <v>31</v>
      </c>
      <c r="C25" s="31">
        <f>C26+C27</f>
        <v>19205221</v>
      </c>
      <c r="D25" s="31">
        <f t="shared" ref="D25:J25" si="5">D26+D27</f>
        <v>5242950</v>
      </c>
      <c r="E25" s="31">
        <f t="shared" si="5"/>
        <v>5605005</v>
      </c>
      <c r="F25" s="31">
        <f t="shared" si="5"/>
        <v>18210039</v>
      </c>
      <c r="G25" s="31">
        <f t="shared" si="5"/>
        <v>5903691</v>
      </c>
      <c r="H25" s="31">
        <f t="shared" si="5"/>
        <v>7416015</v>
      </c>
      <c r="I25" s="31">
        <f t="shared" si="5"/>
        <v>7462409</v>
      </c>
      <c r="J25" s="31">
        <f t="shared" si="5"/>
        <v>5130745</v>
      </c>
      <c r="K25" s="32">
        <f t="shared" si="0"/>
        <v>74176075</v>
      </c>
      <c r="L25" s="6"/>
      <c r="M25" s="49" t="s">
        <v>89</v>
      </c>
      <c r="N25" s="50" t="s">
        <v>31</v>
      </c>
      <c r="O25" s="51">
        <v>19205221</v>
      </c>
      <c r="P25" s="51">
        <v>5242950</v>
      </c>
      <c r="Q25" s="51">
        <v>5605005</v>
      </c>
      <c r="R25" s="51">
        <v>18210039</v>
      </c>
      <c r="S25" s="51">
        <v>5903691</v>
      </c>
      <c r="T25" s="51">
        <v>7416015</v>
      </c>
      <c r="U25" s="51">
        <v>7462409</v>
      </c>
      <c r="V25" s="51">
        <v>5130745</v>
      </c>
      <c r="W25" s="51">
        <f t="shared" si="1"/>
        <v>74176075</v>
      </c>
    </row>
    <row r="26" spans="1:23" ht="31.2" x14ac:dyDescent="0.3">
      <c r="A26" s="14" t="s">
        <v>90</v>
      </c>
      <c r="B26" s="7" t="s">
        <v>32</v>
      </c>
      <c r="C26" s="25">
        <f>94073+14159508+1006795</f>
        <v>15260376</v>
      </c>
      <c r="D26" s="25">
        <f>77109+513542+806217</f>
        <v>1396868</v>
      </c>
      <c r="E26" s="25">
        <f>821924+93482+3410970</f>
        <v>4326376</v>
      </c>
      <c r="F26" s="25">
        <f>190053+1573173+11473757</f>
        <v>13236983</v>
      </c>
      <c r="G26" s="25">
        <f>132924+946961+268215</f>
        <v>1348100</v>
      </c>
      <c r="H26" s="25">
        <f>186965+2310836+1357128</f>
        <v>3854929</v>
      </c>
      <c r="I26" s="25">
        <f>103011+293472+3468963</f>
        <v>3865446</v>
      </c>
      <c r="J26" s="25">
        <f>111441+481304+2244349</f>
        <v>2837094</v>
      </c>
      <c r="K26" s="24">
        <f t="shared" si="0"/>
        <v>46126172</v>
      </c>
      <c r="L26" s="6"/>
      <c r="M26" s="46" t="s">
        <v>90</v>
      </c>
      <c r="N26" s="47" t="s">
        <v>32</v>
      </c>
      <c r="O26" s="52">
        <v>15260376</v>
      </c>
      <c r="P26" s="52">
        <v>1396868</v>
      </c>
      <c r="Q26" s="52">
        <v>4326376</v>
      </c>
      <c r="R26" s="52">
        <v>13236983</v>
      </c>
      <c r="S26" s="52">
        <v>1348100</v>
      </c>
      <c r="T26" s="52">
        <v>3854929</v>
      </c>
      <c r="U26" s="52">
        <v>3865446</v>
      </c>
      <c r="V26" s="52">
        <v>2837094</v>
      </c>
      <c r="W26" s="52">
        <f t="shared" si="1"/>
        <v>46126172</v>
      </c>
    </row>
    <row r="27" spans="1:23" ht="17.399999999999999" customHeight="1" x14ac:dyDescent="0.3">
      <c r="A27" s="14" t="s">
        <v>91</v>
      </c>
      <c r="B27" s="7" t="s">
        <v>33</v>
      </c>
      <c r="C27" s="25">
        <f>SUM(C28+C40+C41)</f>
        <v>3944845</v>
      </c>
      <c r="D27" s="25">
        <f t="shared" ref="D27:J27" si="6">SUM(D28+D40+D41)</f>
        <v>3846082</v>
      </c>
      <c r="E27" s="25">
        <f t="shared" si="6"/>
        <v>1278629</v>
      </c>
      <c r="F27" s="25">
        <f t="shared" si="6"/>
        <v>4973056</v>
      </c>
      <c r="G27" s="25">
        <f t="shared" si="6"/>
        <v>4555591</v>
      </c>
      <c r="H27" s="25">
        <f t="shared" si="6"/>
        <v>3561086</v>
      </c>
      <c r="I27" s="25">
        <f t="shared" si="6"/>
        <v>3596963</v>
      </c>
      <c r="J27" s="25">
        <f t="shared" si="6"/>
        <v>2293651</v>
      </c>
      <c r="K27" s="24">
        <f t="shared" si="0"/>
        <v>28049903</v>
      </c>
      <c r="L27" s="6"/>
      <c r="M27" s="46" t="s">
        <v>91</v>
      </c>
      <c r="N27" s="47" t="s">
        <v>33</v>
      </c>
      <c r="O27" s="52">
        <v>3944845</v>
      </c>
      <c r="P27" s="52">
        <v>3846082</v>
      </c>
      <c r="Q27" s="52">
        <v>1278629</v>
      </c>
      <c r="R27" s="52">
        <v>4973056</v>
      </c>
      <c r="S27" s="52">
        <v>4555591</v>
      </c>
      <c r="T27" s="52">
        <v>3561086</v>
      </c>
      <c r="U27" s="52">
        <v>3596963</v>
      </c>
      <c r="V27" s="52">
        <v>2293651</v>
      </c>
      <c r="W27" s="52">
        <f t="shared" si="1"/>
        <v>28049903</v>
      </c>
    </row>
    <row r="28" spans="1:23" ht="24.6" customHeight="1" x14ac:dyDescent="0.3">
      <c r="A28" s="14" t="s">
        <v>92</v>
      </c>
      <c r="B28" s="7" t="s">
        <v>34</v>
      </c>
      <c r="C28" s="25">
        <f>SUM(C29:C39)</f>
        <v>2141613</v>
      </c>
      <c r="D28" s="25">
        <f t="shared" ref="D28:G28" si="7">SUM(D29:D39)</f>
        <v>1543525</v>
      </c>
      <c r="E28" s="25">
        <f t="shared" si="7"/>
        <v>258076</v>
      </c>
      <c r="F28" s="25">
        <f t="shared" si="7"/>
        <v>4328185</v>
      </c>
      <c r="G28" s="25">
        <f t="shared" si="7"/>
        <v>1788358</v>
      </c>
      <c r="H28" s="25">
        <f>SUM(H29:H39)</f>
        <v>2969856</v>
      </c>
      <c r="I28" s="25">
        <f t="shared" ref="I28:J28" si="8">SUM(I29:I39)</f>
        <v>2452715</v>
      </c>
      <c r="J28" s="25">
        <f t="shared" si="8"/>
        <v>1411701</v>
      </c>
      <c r="K28" s="24">
        <f t="shared" si="0"/>
        <v>16894029</v>
      </c>
      <c r="L28" s="6"/>
      <c r="M28" s="46" t="s">
        <v>92</v>
      </c>
      <c r="N28" s="47" t="s">
        <v>34</v>
      </c>
      <c r="O28" s="52">
        <v>2141613</v>
      </c>
      <c r="P28" s="52">
        <v>1543525</v>
      </c>
      <c r="Q28" s="52">
        <v>258076</v>
      </c>
      <c r="R28" s="52">
        <v>4328185</v>
      </c>
      <c r="S28" s="52">
        <v>1788358</v>
      </c>
      <c r="T28" s="52">
        <v>2969856</v>
      </c>
      <c r="U28" s="52">
        <v>2452715</v>
      </c>
      <c r="V28" s="52">
        <v>1411701</v>
      </c>
      <c r="W28" s="52">
        <f t="shared" si="1"/>
        <v>16894029</v>
      </c>
    </row>
    <row r="29" spans="1:23" s="36" customFormat="1" ht="31.2" x14ac:dyDescent="0.25">
      <c r="A29" s="14" t="s">
        <v>35</v>
      </c>
      <c r="B29" s="26" t="s">
        <v>36</v>
      </c>
      <c r="C29" s="25">
        <v>39685</v>
      </c>
      <c r="D29" s="25"/>
      <c r="E29" s="25"/>
      <c r="F29" s="25">
        <v>439132</v>
      </c>
      <c r="G29" s="25">
        <v>223034</v>
      </c>
      <c r="H29" s="25">
        <v>265843</v>
      </c>
      <c r="I29" s="25">
        <v>278521</v>
      </c>
      <c r="J29" s="25">
        <v>234644</v>
      </c>
      <c r="K29" s="24">
        <f t="shared" si="0"/>
        <v>1480859</v>
      </c>
      <c r="L29" s="6"/>
      <c r="M29" s="46" t="s">
        <v>35</v>
      </c>
      <c r="N29" s="53" t="s">
        <v>36</v>
      </c>
      <c r="O29" s="52">
        <v>39685</v>
      </c>
      <c r="P29" s="52"/>
      <c r="Q29" s="52"/>
      <c r="R29" s="52">
        <v>439132</v>
      </c>
      <c r="S29" s="52">
        <v>223034</v>
      </c>
      <c r="T29" s="52">
        <v>265843</v>
      </c>
      <c r="U29" s="52">
        <v>278521</v>
      </c>
      <c r="V29" s="52">
        <v>234644</v>
      </c>
      <c r="W29" s="52">
        <f t="shared" si="1"/>
        <v>1480859</v>
      </c>
    </row>
    <row r="30" spans="1:23" x14ac:dyDescent="0.3">
      <c r="A30" s="14" t="s">
        <v>37</v>
      </c>
      <c r="B30" s="26" t="s">
        <v>38</v>
      </c>
      <c r="C30" s="25"/>
      <c r="D30" s="25"/>
      <c r="E30" s="25">
        <v>443</v>
      </c>
      <c r="F30" s="25">
        <v>19773</v>
      </c>
      <c r="G30" s="25"/>
      <c r="H30" s="25"/>
      <c r="I30" s="25"/>
      <c r="J30" s="25">
        <v>9201</v>
      </c>
      <c r="K30" s="24">
        <f t="shared" si="0"/>
        <v>29417</v>
      </c>
      <c r="L30" s="6"/>
      <c r="M30" s="46" t="s">
        <v>37</v>
      </c>
      <c r="N30" s="53" t="s">
        <v>38</v>
      </c>
      <c r="O30" s="52"/>
      <c r="P30" s="52"/>
      <c r="Q30" s="52">
        <v>443</v>
      </c>
      <c r="R30" s="52">
        <v>19773</v>
      </c>
      <c r="S30" s="52"/>
      <c r="T30" s="52"/>
      <c r="U30" s="52"/>
      <c r="V30" s="52">
        <v>9201</v>
      </c>
      <c r="W30" s="52">
        <f t="shared" si="1"/>
        <v>29417</v>
      </c>
    </row>
    <row r="31" spans="1:23" ht="31.8" customHeight="1" x14ac:dyDescent="0.3">
      <c r="A31" s="14" t="s">
        <v>39</v>
      </c>
      <c r="B31" s="26" t="s">
        <v>40</v>
      </c>
      <c r="C31" s="25">
        <v>32101</v>
      </c>
      <c r="D31" s="25"/>
      <c r="E31" s="25">
        <v>3195</v>
      </c>
      <c r="F31" s="25">
        <v>1408364</v>
      </c>
      <c r="G31" s="25">
        <v>154419</v>
      </c>
      <c r="H31" s="25">
        <v>103338</v>
      </c>
      <c r="I31" s="25">
        <v>395564</v>
      </c>
      <c r="J31" s="25">
        <v>206720</v>
      </c>
      <c r="K31" s="24">
        <f t="shared" si="0"/>
        <v>2303701</v>
      </c>
      <c r="L31" s="6"/>
      <c r="M31" s="46" t="s">
        <v>39</v>
      </c>
      <c r="N31" s="53" t="s">
        <v>40</v>
      </c>
      <c r="O31" s="52">
        <v>32101</v>
      </c>
      <c r="P31" s="52"/>
      <c r="Q31" s="52">
        <v>3195</v>
      </c>
      <c r="R31" s="52">
        <v>1408364</v>
      </c>
      <c r="S31" s="52">
        <v>154419</v>
      </c>
      <c r="T31" s="52">
        <v>103338</v>
      </c>
      <c r="U31" s="52">
        <v>395564</v>
      </c>
      <c r="V31" s="52">
        <v>206720</v>
      </c>
      <c r="W31" s="52">
        <f t="shared" si="1"/>
        <v>2303701</v>
      </c>
    </row>
    <row r="32" spans="1:23" ht="25.2" customHeight="1" x14ac:dyDescent="0.3">
      <c r="A32" s="14" t="s">
        <v>41</v>
      </c>
      <c r="B32" s="26" t="s">
        <v>77</v>
      </c>
      <c r="C32" s="25">
        <v>1362205</v>
      </c>
      <c r="D32" s="25">
        <v>1429141</v>
      </c>
      <c r="E32" s="25">
        <v>193639</v>
      </c>
      <c r="F32" s="25">
        <v>1238023</v>
      </c>
      <c r="G32" s="25">
        <v>680512</v>
      </c>
      <c r="H32" s="25">
        <v>1263718</v>
      </c>
      <c r="I32" s="25">
        <v>308703</v>
      </c>
      <c r="J32" s="25">
        <v>46371</v>
      </c>
      <c r="K32" s="24">
        <f t="shared" si="0"/>
        <v>6522312</v>
      </c>
      <c r="L32" s="6"/>
      <c r="M32" s="46" t="s">
        <v>41</v>
      </c>
      <c r="N32" s="53" t="s">
        <v>77</v>
      </c>
      <c r="O32" s="52">
        <v>1362205</v>
      </c>
      <c r="P32" s="52">
        <v>1429141</v>
      </c>
      <c r="Q32" s="52">
        <v>193639</v>
      </c>
      <c r="R32" s="52">
        <v>1238023</v>
      </c>
      <c r="S32" s="52">
        <v>680512</v>
      </c>
      <c r="T32" s="52">
        <v>1263718</v>
      </c>
      <c r="U32" s="52">
        <v>308703</v>
      </c>
      <c r="V32" s="52">
        <v>46371</v>
      </c>
      <c r="W32" s="52">
        <f t="shared" si="1"/>
        <v>6522312</v>
      </c>
    </row>
    <row r="33" spans="1:23" ht="22.8" customHeight="1" x14ac:dyDescent="0.3">
      <c r="A33" s="14" t="s">
        <v>42</v>
      </c>
      <c r="B33" s="26" t="s">
        <v>43</v>
      </c>
      <c r="C33" s="25"/>
      <c r="D33" s="25"/>
      <c r="E33" s="25"/>
      <c r="F33" s="25"/>
      <c r="G33" s="25">
        <v>3489</v>
      </c>
      <c r="H33" s="25"/>
      <c r="I33" s="25">
        <v>5525</v>
      </c>
      <c r="J33" s="25"/>
      <c r="K33" s="24">
        <f t="shared" si="0"/>
        <v>9014</v>
      </c>
      <c r="L33" s="6"/>
      <c r="M33" s="46" t="s">
        <v>42</v>
      </c>
      <c r="N33" s="53" t="s">
        <v>43</v>
      </c>
      <c r="O33" s="52"/>
      <c r="P33" s="52"/>
      <c r="Q33" s="52"/>
      <c r="R33" s="52"/>
      <c r="S33" s="52">
        <v>3489</v>
      </c>
      <c r="T33" s="52"/>
      <c r="U33" s="52">
        <v>5525</v>
      </c>
      <c r="V33" s="52"/>
      <c r="W33" s="52">
        <f t="shared" si="1"/>
        <v>9014</v>
      </c>
    </row>
    <row r="34" spans="1:23" ht="21" customHeight="1" x14ac:dyDescent="0.3">
      <c r="A34" s="14" t="s">
        <v>44</v>
      </c>
      <c r="B34" s="26" t="s">
        <v>45</v>
      </c>
      <c r="C34" s="25">
        <v>602141</v>
      </c>
      <c r="D34" s="25">
        <v>114384</v>
      </c>
      <c r="E34" s="25"/>
      <c r="F34" s="25"/>
      <c r="G34" s="25"/>
      <c r="H34" s="25"/>
      <c r="I34" s="25"/>
      <c r="J34" s="25"/>
      <c r="K34" s="24">
        <f t="shared" si="0"/>
        <v>716525</v>
      </c>
      <c r="L34" s="6"/>
      <c r="M34" s="46" t="s">
        <v>44</v>
      </c>
      <c r="N34" s="53" t="s">
        <v>45</v>
      </c>
      <c r="O34" s="52">
        <v>602141</v>
      </c>
      <c r="P34" s="52">
        <v>114384</v>
      </c>
      <c r="Q34" s="52"/>
      <c r="R34" s="52"/>
      <c r="S34" s="52"/>
      <c r="T34" s="52"/>
      <c r="U34" s="52"/>
      <c r="V34" s="52"/>
      <c r="W34" s="52">
        <f t="shared" si="1"/>
        <v>716525</v>
      </c>
    </row>
    <row r="35" spans="1:23" ht="36.6" customHeight="1" x14ac:dyDescent="0.3">
      <c r="A35" s="14" t="s">
        <v>46</v>
      </c>
      <c r="B35" s="26" t="s">
        <v>47</v>
      </c>
      <c r="C35" s="25"/>
      <c r="D35" s="25"/>
      <c r="E35" s="25"/>
      <c r="F35" s="25">
        <v>541915</v>
      </c>
      <c r="G35" s="25"/>
      <c r="H35" s="25">
        <v>803832</v>
      </c>
      <c r="I35" s="25">
        <v>1003942</v>
      </c>
      <c r="J35" s="25">
        <v>468261</v>
      </c>
      <c r="K35" s="24">
        <f t="shared" si="0"/>
        <v>2817950</v>
      </c>
      <c r="L35" s="6"/>
      <c r="M35" s="46" t="s">
        <v>46</v>
      </c>
      <c r="N35" s="53" t="s">
        <v>47</v>
      </c>
      <c r="O35" s="52"/>
      <c r="P35" s="52"/>
      <c r="Q35" s="52"/>
      <c r="R35" s="52">
        <v>541915</v>
      </c>
      <c r="S35" s="52"/>
      <c r="T35" s="52">
        <v>803832</v>
      </c>
      <c r="U35" s="52">
        <v>1003942</v>
      </c>
      <c r="V35" s="52">
        <v>468261</v>
      </c>
      <c r="W35" s="52">
        <f t="shared" si="1"/>
        <v>2817950</v>
      </c>
    </row>
    <row r="36" spans="1:23" ht="37.799999999999997" customHeight="1" x14ac:dyDescent="0.3">
      <c r="A36" s="14" t="s">
        <v>48</v>
      </c>
      <c r="B36" s="26" t="s">
        <v>49</v>
      </c>
      <c r="C36" s="25"/>
      <c r="D36" s="25"/>
      <c r="E36" s="25"/>
      <c r="F36" s="25">
        <v>58080</v>
      </c>
      <c r="G36" s="25"/>
      <c r="H36" s="25">
        <v>180691</v>
      </c>
      <c r="I36" s="25">
        <v>123747</v>
      </c>
      <c r="J36" s="25">
        <v>215976</v>
      </c>
      <c r="K36" s="24">
        <f t="shared" si="0"/>
        <v>578494</v>
      </c>
      <c r="L36" s="6"/>
      <c r="M36" s="46" t="s">
        <v>48</v>
      </c>
      <c r="N36" s="53" t="s">
        <v>49</v>
      </c>
      <c r="O36" s="52"/>
      <c r="P36" s="52"/>
      <c r="Q36" s="52"/>
      <c r="R36" s="52">
        <v>58080</v>
      </c>
      <c r="S36" s="52"/>
      <c r="T36" s="52">
        <v>180691</v>
      </c>
      <c r="U36" s="52">
        <v>123747</v>
      </c>
      <c r="V36" s="52">
        <v>215976</v>
      </c>
      <c r="W36" s="52">
        <f t="shared" si="1"/>
        <v>578494</v>
      </c>
    </row>
    <row r="37" spans="1:23" ht="21" customHeight="1" x14ac:dyDescent="0.3">
      <c r="A37" s="14" t="s">
        <v>50</v>
      </c>
      <c r="B37" s="26" t="s">
        <v>51</v>
      </c>
      <c r="C37" s="25">
        <v>105481</v>
      </c>
      <c r="D37" s="25"/>
      <c r="E37" s="25">
        <v>60796</v>
      </c>
      <c r="F37" s="25">
        <v>122194</v>
      </c>
      <c r="G37" s="25">
        <v>134309</v>
      </c>
      <c r="H37" s="25">
        <v>22632</v>
      </c>
      <c r="I37" s="25">
        <v>49622</v>
      </c>
      <c r="J37" s="25">
        <v>87339</v>
      </c>
      <c r="K37" s="24">
        <f t="shared" si="0"/>
        <v>582373</v>
      </c>
      <c r="L37" s="6"/>
      <c r="M37" s="46" t="s">
        <v>50</v>
      </c>
      <c r="N37" s="53" t="s">
        <v>51</v>
      </c>
      <c r="O37" s="52">
        <v>105481</v>
      </c>
      <c r="P37" s="52"/>
      <c r="Q37" s="52">
        <v>60796</v>
      </c>
      <c r="R37" s="52">
        <v>122194</v>
      </c>
      <c r="S37" s="52">
        <v>134309</v>
      </c>
      <c r="T37" s="52">
        <v>22632</v>
      </c>
      <c r="U37" s="52">
        <v>49622</v>
      </c>
      <c r="V37" s="52">
        <v>87339</v>
      </c>
      <c r="W37" s="52">
        <f t="shared" si="1"/>
        <v>582373</v>
      </c>
    </row>
    <row r="38" spans="1:23" ht="21" customHeight="1" x14ac:dyDescent="0.3">
      <c r="A38" s="14" t="s">
        <v>52</v>
      </c>
      <c r="B38" s="26" t="s">
        <v>53</v>
      </c>
      <c r="C38" s="25"/>
      <c r="D38" s="25"/>
      <c r="E38" s="25">
        <v>1</v>
      </c>
      <c r="F38" s="25">
        <v>215342</v>
      </c>
      <c r="G38" s="25">
        <v>102130</v>
      </c>
      <c r="H38" s="25">
        <v>194317</v>
      </c>
      <c r="I38" s="25">
        <v>163108</v>
      </c>
      <c r="J38" s="25">
        <v>36132</v>
      </c>
      <c r="K38" s="24">
        <f t="shared" si="0"/>
        <v>711030</v>
      </c>
      <c r="L38" s="6"/>
      <c r="M38" s="46" t="s">
        <v>52</v>
      </c>
      <c r="N38" s="53" t="s">
        <v>53</v>
      </c>
      <c r="O38" s="52"/>
      <c r="P38" s="52"/>
      <c r="Q38" s="52">
        <v>1</v>
      </c>
      <c r="R38" s="52">
        <v>215342</v>
      </c>
      <c r="S38" s="52">
        <v>102130</v>
      </c>
      <c r="T38" s="52">
        <v>194317</v>
      </c>
      <c r="U38" s="52">
        <v>163108</v>
      </c>
      <c r="V38" s="52">
        <v>36132</v>
      </c>
      <c r="W38" s="52">
        <f t="shared" si="1"/>
        <v>711030</v>
      </c>
    </row>
    <row r="39" spans="1:23" ht="20.399999999999999" customHeight="1" x14ac:dyDescent="0.3">
      <c r="A39" s="14" t="s">
        <v>54</v>
      </c>
      <c r="B39" s="26" t="s">
        <v>78</v>
      </c>
      <c r="C39" s="25"/>
      <c r="D39" s="25"/>
      <c r="E39" s="25">
        <v>2</v>
      </c>
      <c r="F39" s="25">
        <v>285362</v>
      </c>
      <c r="G39" s="25">
        <v>490465</v>
      </c>
      <c r="H39" s="25">
        <v>135485</v>
      </c>
      <c r="I39" s="25">
        <v>123983</v>
      </c>
      <c r="J39" s="25">
        <v>107057</v>
      </c>
      <c r="K39" s="24">
        <f t="shared" si="0"/>
        <v>1142354</v>
      </c>
      <c r="L39" s="6"/>
      <c r="M39" s="46" t="s">
        <v>54</v>
      </c>
      <c r="N39" s="53" t="s">
        <v>78</v>
      </c>
      <c r="O39" s="52"/>
      <c r="P39" s="52"/>
      <c r="Q39" s="52">
        <v>2</v>
      </c>
      <c r="R39" s="52">
        <v>285362</v>
      </c>
      <c r="S39" s="52">
        <v>490465</v>
      </c>
      <c r="T39" s="52">
        <v>135485</v>
      </c>
      <c r="U39" s="52">
        <v>123983</v>
      </c>
      <c r="V39" s="52">
        <v>107057</v>
      </c>
      <c r="W39" s="52">
        <f t="shared" si="1"/>
        <v>1142354</v>
      </c>
    </row>
    <row r="40" spans="1:23" ht="22.2" customHeight="1" x14ac:dyDescent="0.3">
      <c r="A40" s="14" t="s">
        <v>98</v>
      </c>
      <c r="B40" s="26" t="s">
        <v>55</v>
      </c>
      <c r="C40" s="25">
        <v>427982</v>
      </c>
      <c r="D40" s="25">
        <v>2076733</v>
      </c>
      <c r="E40" s="25">
        <v>371097</v>
      </c>
      <c r="F40" s="25">
        <v>1195</v>
      </c>
      <c r="G40" s="25">
        <v>269830</v>
      </c>
      <c r="H40" s="25">
        <v>3801</v>
      </c>
      <c r="I40" s="25">
        <v>471538</v>
      </c>
      <c r="J40" s="25">
        <v>496257</v>
      </c>
      <c r="K40" s="24">
        <f t="shared" si="0"/>
        <v>4118433</v>
      </c>
      <c r="L40" s="6"/>
      <c r="M40" s="46" t="s">
        <v>59</v>
      </c>
      <c r="N40" s="53" t="s">
        <v>55</v>
      </c>
      <c r="O40" s="52">
        <v>427982</v>
      </c>
      <c r="P40" s="52">
        <v>2076733</v>
      </c>
      <c r="Q40" s="52">
        <v>371097</v>
      </c>
      <c r="R40" s="52">
        <v>1195</v>
      </c>
      <c r="S40" s="52">
        <v>269830</v>
      </c>
      <c r="T40" s="52">
        <v>3801</v>
      </c>
      <c r="U40" s="52">
        <v>471538</v>
      </c>
      <c r="V40" s="52">
        <v>496257</v>
      </c>
      <c r="W40" s="52">
        <f t="shared" si="1"/>
        <v>4118433</v>
      </c>
    </row>
    <row r="41" spans="1:23" ht="21" customHeight="1" x14ac:dyDescent="0.3">
      <c r="A41" s="14" t="s">
        <v>99</v>
      </c>
      <c r="B41" s="26" t="s">
        <v>56</v>
      </c>
      <c r="C41" s="25">
        <v>1375250</v>
      </c>
      <c r="D41" s="25">
        <v>225824</v>
      </c>
      <c r="E41" s="25">
        <v>649456</v>
      </c>
      <c r="F41" s="25">
        <v>643676</v>
      </c>
      <c r="G41" s="25">
        <v>2497403</v>
      </c>
      <c r="H41" s="25">
        <v>587429</v>
      </c>
      <c r="I41" s="25">
        <v>672710</v>
      </c>
      <c r="J41" s="25">
        <v>385693</v>
      </c>
      <c r="K41" s="24">
        <f t="shared" si="0"/>
        <v>7037441</v>
      </c>
      <c r="L41" s="6"/>
      <c r="M41" s="46" t="s">
        <v>60</v>
      </c>
      <c r="N41" s="53" t="s">
        <v>56</v>
      </c>
      <c r="O41" s="52">
        <v>1375250</v>
      </c>
      <c r="P41" s="52">
        <v>225824</v>
      </c>
      <c r="Q41" s="52">
        <v>649456</v>
      </c>
      <c r="R41" s="52">
        <v>643676</v>
      </c>
      <c r="S41" s="52">
        <v>2497403</v>
      </c>
      <c r="T41" s="52">
        <v>587429</v>
      </c>
      <c r="U41" s="52">
        <v>672710</v>
      </c>
      <c r="V41" s="52">
        <v>385693</v>
      </c>
      <c r="W41" s="52">
        <f t="shared" si="1"/>
        <v>7037441</v>
      </c>
    </row>
    <row r="42" spans="1:23" ht="51" customHeight="1" x14ac:dyDescent="0.3">
      <c r="A42" s="16" t="s">
        <v>24</v>
      </c>
      <c r="B42" s="27" t="s">
        <v>80</v>
      </c>
      <c r="C42" s="28">
        <f>15166303-14159508-1006795</f>
        <v>0</v>
      </c>
      <c r="D42" s="28">
        <f>1319759-513542-806217</f>
        <v>0</v>
      </c>
      <c r="E42" s="28">
        <f>3410970-3410970</f>
        <v>0</v>
      </c>
      <c r="F42" s="28">
        <f>13046930-1573173-11473757</f>
        <v>0</v>
      </c>
      <c r="G42" s="28">
        <f>1215176-946961-268215</f>
        <v>0</v>
      </c>
      <c r="H42" s="28">
        <f>3667964-2310836-1357128</f>
        <v>0</v>
      </c>
      <c r="I42" s="28">
        <f>3762435-293472-3468963</f>
        <v>0</v>
      </c>
      <c r="J42" s="28">
        <f>2725653-481304-2244349</f>
        <v>0</v>
      </c>
      <c r="K42" s="38">
        <f t="shared" si="0"/>
        <v>0</v>
      </c>
      <c r="L42" s="6"/>
      <c r="M42" s="41" t="s">
        <v>24</v>
      </c>
      <c r="N42" s="42" t="s">
        <v>80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f t="shared" si="1"/>
        <v>0</v>
      </c>
    </row>
    <row r="43" spans="1:23" ht="36.6" customHeight="1" x14ac:dyDescent="0.3">
      <c r="A43" s="16" t="s">
        <v>57</v>
      </c>
      <c r="B43" s="4" t="s">
        <v>72</v>
      </c>
      <c r="C43" s="20">
        <f>SUM(C44+C45+C47+C51+C52)</f>
        <v>47696234</v>
      </c>
      <c r="D43" s="20">
        <f t="shared" ref="D43:J43" si="9">SUM(D44+D45+D47+D51+D52)</f>
        <v>2848108</v>
      </c>
      <c r="E43" s="20">
        <f t="shared" si="9"/>
        <v>31884759</v>
      </c>
      <c r="F43" s="20">
        <f t="shared" si="9"/>
        <v>33080337</v>
      </c>
      <c r="G43" s="20">
        <f t="shared" si="9"/>
        <v>22052470</v>
      </c>
      <c r="H43" s="20">
        <f t="shared" si="9"/>
        <v>40564769</v>
      </c>
      <c r="I43" s="20">
        <f t="shared" si="9"/>
        <v>22379322</v>
      </c>
      <c r="J43" s="20">
        <f t="shared" si="9"/>
        <v>17598830</v>
      </c>
      <c r="K43" s="21">
        <f t="shared" si="0"/>
        <v>218104829</v>
      </c>
      <c r="M43" s="41" t="s">
        <v>57</v>
      </c>
      <c r="N43" s="42" t="s">
        <v>72</v>
      </c>
      <c r="O43" s="45">
        <f t="shared" ref="O43:V43" si="10">O44+O45+O47+O51+O52</f>
        <v>47696234</v>
      </c>
      <c r="P43" s="45">
        <f t="shared" si="10"/>
        <v>2848108</v>
      </c>
      <c r="Q43" s="45">
        <f t="shared" si="10"/>
        <v>31884759</v>
      </c>
      <c r="R43" s="45">
        <f t="shared" si="10"/>
        <v>33080337</v>
      </c>
      <c r="S43" s="45">
        <f t="shared" si="10"/>
        <v>22052470</v>
      </c>
      <c r="T43" s="45">
        <f>T44+T45+T47+T51+T52</f>
        <v>40057429</v>
      </c>
      <c r="U43" s="45">
        <f t="shared" si="10"/>
        <v>22379322</v>
      </c>
      <c r="V43" s="45">
        <f t="shared" si="10"/>
        <v>17598830</v>
      </c>
      <c r="W43" s="45">
        <f>SUM(O43:V43)</f>
        <v>217597489</v>
      </c>
    </row>
    <row r="44" spans="1:23" ht="39" customHeight="1" x14ac:dyDescent="0.3">
      <c r="A44" s="14" t="s">
        <v>61</v>
      </c>
      <c r="B44" s="5" t="s">
        <v>103</v>
      </c>
      <c r="C44" s="22">
        <f>4604041-2290080</f>
        <v>2313961</v>
      </c>
      <c r="D44" s="22">
        <f>311689-198861</f>
        <v>112828</v>
      </c>
      <c r="E44" s="22">
        <f>2853549-2063979</f>
        <v>789570</v>
      </c>
      <c r="F44" s="22">
        <f>2181048-1653128</f>
        <v>527920</v>
      </c>
      <c r="G44" s="23">
        <f>1967877-1454324</f>
        <v>513553</v>
      </c>
      <c r="H44" s="22">
        <f>2483756-1313790</f>
        <v>1169966</v>
      </c>
      <c r="I44" s="22">
        <f>1742431-1189327</f>
        <v>553104</v>
      </c>
      <c r="J44" s="22">
        <f>1108374-732372</f>
        <v>376002</v>
      </c>
      <c r="K44" s="24">
        <f t="shared" si="0"/>
        <v>6356904</v>
      </c>
      <c r="M44" s="46" t="s">
        <v>61</v>
      </c>
      <c r="N44" s="47" t="s">
        <v>29</v>
      </c>
      <c r="O44" s="48">
        <v>2313961</v>
      </c>
      <c r="P44" s="48">
        <v>112828</v>
      </c>
      <c r="Q44" s="48">
        <v>789570</v>
      </c>
      <c r="R44" s="48">
        <v>527920</v>
      </c>
      <c r="S44" s="48">
        <v>513553</v>
      </c>
      <c r="T44" s="48">
        <v>1169966</v>
      </c>
      <c r="U44" s="48">
        <v>553104</v>
      </c>
      <c r="V44" s="48">
        <v>376002</v>
      </c>
      <c r="W44" s="48">
        <f t="shared" si="1"/>
        <v>6356904</v>
      </c>
    </row>
    <row r="45" spans="1:23" ht="36.6" customHeight="1" x14ac:dyDescent="0.3">
      <c r="A45" s="14" t="s">
        <v>62</v>
      </c>
      <c r="B45" s="5" t="s">
        <v>18</v>
      </c>
      <c r="C45" s="22">
        <f>3999587-1681700+126490</f>
        <v>2444377</v>
      </c>
      <c r="D45" s="22"/>
      <c r="E45" s="22"/>
      <c r="F45" s="22"/>
      <c r="G45" s="23"/>
      <c r="H45" s="22"/>
      <c r="I45" s="22"/>
      <c r="J45" s="22"/>
      <c r="K45" s="24">
        <f t="shared" si="0"/>
        <v>2444377</v>
      </c>
      <c r="M45" s="46" t="s">
        <v>62</v>
      </c>
      <c r="N45" s="47" t="s">
        <v>18</v>
      </c>
      <c r="O45" s="48">
        <v>2444377</v>
      </c>
      <c r="P45" s="48"/>
      <c r="Q45" s="48"/>
      <c r="R45" s="48"/>
      <c r="S45" s="48"/>
      <c r="T45" s="48"/>
      <c r="U45" s="48"/>
      <c r="V45" s="48"/>
      <c r="W45" s="48">
        <f t="shared" si="1"/>
        <v>2444377</v>
      </c>
    </row>
    <row r="46" spans="1:23" ht="36.6" customHeight="1" x14ac:dyDescent="0.3">
      <c r="A46" s="14" t="s">
        <v>63</v>
      </c>
      <c r="B46" s="5" t="s">
        <v>81</v>
      </c>
      <c r="C46" s="22">
        <f>3500000-1681700</f>
        <v>1818300</v>
      </c>
      <c r="D46" s="22"/>
      <c r="E46" s="22"/>
      <c r="F46" s="22"/>
      <c r="G46" s="23"/>
      <c r="H46" s="22"/>
      <c r="I46" s="22"/>
      <c r="J46" s="22"/>
      <c r="K46" s="24">
        <f t="shared" si="0"/>
        <v>1818300</v>
      </c>
      <c r="M46" s="46" t="s">
        <v>63</v>
      </c>
      <c r="N46" s="47" t="s">
        <v>81</v>
      </c>
      <c r="O46" s="48">
        <v>1818300</v>
      </c>
      <c r="P46" s="48"/>
      <c r="Q46" s="48"/>
      <c r="R46" s="48"/>
      <c r="S46" s="48"/>
      <c r="T46" s="48"/>
      <c r="U46" s="48"/>
      <c r="V46" s="48"/>
      <c r="W46" s="48">
        <f t="shared" si="1"/>
        <v>1818300</v>
      </c>
    </row>
    <row r="47" spans="1:23" ht="20.399999999999999" customHeight="1" x14ac:dyDescent="0.3">
      <c r="A47" s="14" t="s">
        <v>64</v>
      </c>
      <c r="B47" s="5" t="s">
        <v>67</v>
      </c>
      <c r="C47" s="22">
        <f>SUM(C48:C50)</f>
        <v>42937896</v>
      </c>
      <c r="D47" s="22">
        <f t="shared" ref="D47:J47" si="11">SUM(D48:D50)</f>
        <v>2735280</v>
      </c>
      <c r="E47" s="22">
        <f t="shared" si="11"/>
        <v>30273265</v>
      </c>
      <c r="F47" s="22">
        <f t="shared" si="11"/>
        <v>32552417</v>
      </c>
      <c r="G47" s="22">
        <f t="shared" si="11"/>
        <v>21538917</v>
      </c>
      <c r="H47" s="22">
        <f t="shared" si="11"/>
        <v>39353881</v>
      </c>
      <c r="I47" s="22">
        <f t="shared" si="11"/>
        <v>21826218</v>
      </c>
      <c r="J47" s="22">
        <f t="shared" si="11"/>
        <v>17222828</v>
      </c>
      <c r="K47" s="24">
        <f t="shared" si="0"/>
        <v>208440702</v>
      </c>
      <c r="M47" s="46" t="s">
        <v>64</v>
      </c>
      <c r="N47" s="47" t="s">
        <v>67</v>
      </c>
      <c r="O47" s="48">
        <v>42937896</v>
      </c>
      <c r="P47" s="48">
        <v>2735280</v>
      </c>
      <c r="Q47" s="48">
        <v>30273265</v>
      </c>
      <c r="R47" s="48">
        <v>32552417</v>
      </c>
      <c r="S47" s="48">
        <v>21538917</v>
      </c>
      <c r="T47" s="48">
        <v>38846541</v>
      </c>
      <c r="U47" s="48">
        <v>21826218</v>
      </c>
      <c r="V47" s="48">
        <v>17222828</v>
      </c>
      <c r="W47" s="48">
        <f t="shared" si="1"/>
        <v>207933362</v>
      </c>
    </row>
    <row r="48" spans="1:23" ht="17.399999999999999" customHeight="1" x14ac:dyDescent="0.3">
      <c r="A48" s="14" t="s">
        <v>66</v>
      </c>
      <c r="B48" s="5" t="s">
        <v>71</v>
      </c>
      <c r="C48" s="22">
        <f>30655861+2124000+7200000-12678846+10555531+4300000-423912</f>
        <v>41732634</v>
      </c>
      <c r="D48" s="22">
        <f>1026000-436000+1400000+436021</f>
        <v>2426021</v>
      </c>
      <c r="E48" s="22">
        <f>19186515+1266000-6395400+5129880+1100000+8086270</f>
        <v>28373265</v>
      </c>
      <c r="F48" s="22">
        <f>30163834+1749000+53138-5963927+6051451</f>
        <v>32053496</v>
      </c>
      <c r="G48" s="23">
        <f>21265646+1749000+195616-5714751+3966311</f>
        <v>21461822</v>
      </c>
      <c r="H48" s="22">
        <f>33801950+2070000+5000957-10880220+8811112+507340</f>
        <v>39311139</v>
      </c>
      <c r="I48" s="22">
        <f>19205132+1200000-4981708+5151620+1100000</f>
        <v>21675044</v>
      </c>
      <c r="J48" s="22">
        <f>16542894+928000+7257-7274853+6347295</f>
        <v>16550593</v>
      </c>
      <c r="K48" s="24">
        <f t="shared" ref="K48:K50" si="12">SUM(C48:J48)</f>
        <v>203584014</v>
      </c>
      <c r="M48" s="46" t="s">
        <v>66</v>
      </c>
      <c r="N48" s="47" t="s">
        <v>71</v>
      </c>
      <c r="O48" s="48">
        <v>41732634</v>
      </c>
      <c r="P48" s="48">
        <v>2426021</v>
      </c>
      <c r="Q48" s="48">
        <v>28373265</v>
      </c>
      <c r="R48" s="48">
        <v>32053496</v>
      </c>
      <c r="S48" s="48">
        <v>21461822</v>
      </c>
      <c r="T48" s="48">
        <v>38803799</v>
      </c>
      <c r="U48" s="48">
        <v>21675044</v>
      </c>
      <c r="V48" s="48">
        <v>16550593</v>
      </c>
      <c r="W48" s="48">
        <f t="shared" si="1"/>
        <v>203076674</v>
      </c>
    </row>
    <row r="49" spans="1:23" ht="88.2" customHeight="1" x14ac:dyDescent="0.3">
      <c r="A49" s="14" t="s">
        <v>68</v>
      </c>
      <c r="B49" s="26" t="s">
        <v>104</v>
      </c>
      <c r="C49" s="25"/>
      <c r="D49" s="25"/>
      <c r="E49" s="25"/>
      <c r="F49" s="25">
        <v>433422</v>
      </c>
      <c r="G49" s="25"/>
      <c r="H49" s="25"/>
      <c r="I49" s="25"/>
      <c r="J49" s="25">
        <v>173108</v>
      </c>
      <c r="K49" s="24">
        <f t="shared" si="12"/>
        <v>606530</v>
      </c>
      <c r="M49" s="46" t="s">
        <v>68</v>
      </c>
      <c r="N49" s="53" t="s">
        <v>93</v>
      </c>
      <c r="O49" s="52"/>
      <c r="P49" s="52"/>
      <c r="Q49" s="52"/>
      <c r="R49" s="52">
        <v>433422</v>
      </c>
      <c r="S49" s="52"/>
      <c r="T49" s="52"/>
      <c r="U49" s="52"/>
      <c r="V49" s="52">
        <v>173108</v>
      </c>
      <c r="W49" s="52">
        <f t="shared" si="1"/>
        <v>606530</v>
      </c>
    </row>
    <row r="50" spans="1:23" ht="40.200000000000003" customHeight="1" x14ac:dyDescent="0.3">
      <c r="A50" s="14" t="s">
        <v>69</v>
      </c>
      <c r="B50" s="26" t="s">
        <v>105</v>
      </c>
      <c r="C50" s="25">
        <v>1205262</v>
      </c>
      <c r="D50" s="25">
        <v>309259</v>
      </c>
      <c r="E50" s="25">
        <v>1900000</v>
      </c>
      <c r="F50" s="25">
        <v>65499</v>
      </c>
      <c r="G50" s="25">
        <v>77095</v>
      </c>
      <c r="H50" s="25">
        <v>42742</v>
      </c>
      <c r="I50" s="25">
        <v>151174</v>
      </c>
      <c r="J50" s="25">
        <v>499127</v>
      </c>
      <c r="K50" s="24">
        <f t="shared" si="12"/>
        <v>4250158</v>
      </c>
      <c r="M50" s="46" t="s">
        <v>69</v>
      </c>
      <c r="N50" s="53" t="s">
        <v>73</v>
      </c>
      <c r="O50" s="52">
        <v>1205262</v>
      </c>
      <c r="P50" s="52">
        <v>309259</v>
      </c>
      <c r="Q50" s="52">
        <v>1900000</v>
      </c>
      <c r="R50" s="52">
        <v>65499</v>
      </c>
      <c r="S50" s="52">
        <v>77095</v>
      </c>
      <c r="T50" s="52">
        <v>42742</v>
      </c>
      <c r="U50" s="52">
        <v>151174</v>
      </c>
      <c r="V50" s="52">
        <v>499127</v>
      </c>
      <c r="W50" s="52">
        <f t="shared" si="1"/>
        <v>4250158</v>
      </c>
    </row>
    <row r="51" spans="1:23" ht="78" x14ac:dyDescent="0.3">
      <c r="A51" s="57" t="s">
        <v>65</v>
      </c>
      <c r="B51" s="58" t="s">
        <v>106</v>
      </c>
      <c r="C51" s="59"/>
      <c r="D51" s="59"/>
      <c r="E51" s="59">
        <v>821924</v>
      </c>
      <c r="F51" s="59"/>
      <c r="G51" s="60"/>
      <c r="H51" s="59"/>
      <c r="I51" s="59"/>
      <c r="J51" s="59"/>
      <c r="K51" s="61">
        <f t="shared" ref="K51" si="13">SUM(C51:J51)</f>
        <v>821924</v>
      </c>
      <c r="M51" s="46" t="s">
        <v>65</v>
      </c>
      <c r="N51" s="47" t="s">
        <v>70</v>
      </c>
      <c r="O51" s="48"/>
      <c r="P51" s="48"/>
      <c r="Q51" s="48">
        <v>821924</v>
      </c>
      <c r="R51" s="48"/>
      <c r="S51" s="48"/>
      <c r="T51" s="48"/>
      <c r="U51" s="48"/>
      <c r="V51" s="48"/>
      <c r="W51" s="48">
        <f t="shared" si="1"/>
        <v>821924</v>
      </c>
    </row>
    <row r="52" spans="1:23" ht="31.8" thickBot="1" x14ac:dyDescent="0.35">
      <c r="A52" s="62" t="s">
        <v>94</v>
      </c>
      <c r="B52" s="63" t="s">
        <v>102</v>
      </c>
      <c r="C52" s="64"/>
      <c r="D52" s="64"/>
      <c r="E52" s="64"/>
      <c r="F52" s="64"/>
      <c r="G52" s="65"/>
      <c r="H52" s="64">
        <v>40922</v>
      </c>
      <c r="I52" s="64"/>
      <c r="J52" s="64"/>
      <c r="K52" s="66">
        <f t="shared" ref="K52" si="14">SUM(C52:J52)</f>
        <v>40922</v>
      </c>
      <c r="M52" s="46" t="s">
        <v>94</v>
      </c>
      <c r="N52" s="55" t="s">
        <v>95</v>
      </c>
      <c r="O52" s="56"/>
      <c r="P52" s="56"/>
      <c r="Q52" s="56"/>
      <c r="R52" s="56"/>
      <c r="S52" s="56"/>
      <c r="T52" s="56">
        <v>40922</v>
      </c>
      <c r="U52" s="56"/>
      <c r="V52" s="56"/>
      <c r="W52" s="56">
        <f t="shared" si="1"/>
        <v>40922</v>
      </c>
    </row>
  </sheetData>
  <mergeCells count="1">
    <mergeCell ref="A11:K11"/>
  </mergeCells>
  <phoneticPr fontId="1" type="noConversion"/>
  <printOptions horizontalCentered="1"/>
  <pageMargins left="0.23622047244094491" right="0.15748031496062992" top="0.59055118110236227" bottom="0" header="0" footer="0"/>
  <pageSetup paperSize="9" scale="78" firstPageNumber="138" fitToHeight="5" orientation="landscape" useFirstPageNumber="1" verticalDpi="180" r:id="rId1"/>
  <headerFooter>
    <oddHeader>&amp;C&amp;P</oddHeader>
  </headerFooter>
  <rowBreaks count="1" manualBreakCount="1">
    <brk id="1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 (744)</vt:lpstr>
      <vt:lpstr>'Приложение № 4 (744)'!Заголовки_для_печати</vt:lpstr>
      <vt:lpstr>'Приложение № 4 (744)'!Область_печати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2022-12-05T09:50:00Z</dcterms:modified>
</cp:coreProperties>
</file>