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/>
  </bookViews>
  <sheets>
    <sheet name="Приложение № 2.29 (744)" sheetId="1" r:id="rId1"/>
  </sheets>
  <definedNames>
    <definedName name="_xlnm.Print_Titles" localSheetId="0">'Приложение № 2.29 (744)'!$13:$13</definedName>
    <definedName name="_xlnm.Print_Area" localSheetId="0">'Приложение № 2.29 (744)'!$A$1:$E$163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E86" i="1" l="1"/>
  <c r="E17" i="1"/>
  <c r="E81" i="1"/>
  <c r="D82" i="1"/>
  <c r="D81" i="1"/>
  <c r="E78" i="1"/>
  <c r="E77" i="1"/>
  <c r="E76" i="1"/>
  <c r="E75" i="1"/>
  <c r="E74" i="1"/>
  <c r="E73" i="1"/>
  <c r="E72" i="1"/>
  <c r="D74" i="1"/>
  <c r="D73" i="1"/>
  <c r="D72" i="1"/>
  <c r="E53" i="1"/>
  <c r="E52" i="1"/>
  <c r="E51" i="1"/>
  <c r="D64" i="1"/>
  <c r="E58" i="1"/>
  <c r="D58" i="1"/>
  <c r="D53" i="1"/>
  <c r="D52" i="1"/>
  <c r="D51" i="1"/>
  <c r="D39" i="1"/>
  <c r="D38" i="1"/>
  <c r="D37" i="1"/>
  <c r="D35" i="1"/>
  <c r="D34" i="1"/>
  <c r="D33" i="1"/>
  <c r="D32" i="1"/>
  <c r="D30" i="1"/>
  <c r="D29" i="1"/>
  <c r="D28" i="1"/>
  <c r="D27" i="1"/>
  <c r="D25" i="1"/>
  <c r="D24" i="1"/>
  <c r="D23" i="1"/>
  <c r="D19" i="1"/>
  <c r="D20" i="1"/>
  <c r="D21" i="1"/>
  <c r="D22" i="1"/>
  <c r="D40" i="1"/>
  <c r="D44" i="1"/>
  <c r="E50" i="1"/>
  <c r="D50" i="1"/>
  <c r="E49" i="1"/>
  <c r="D49" i="1"/>
  <c r="D48" i="1"/>
  <c r="D47" i="1" s="1"/>
  <c r="E48" i="1"/>
  <c r="E47" i="1" s="1"/>
  <c r="E44" i="1"/>
  <c r="E43" i="1"/>
  <c r="D43" i="1"/>
  <c r="E41" i="1"/>
  <c r="E40" i="1"/>
  <c r="E38" i="1"/>
  <c r="E36" i="1"/>
  <c r="E34" i="1"/>
  <c r="E32" i="1"/>
  <c r="E30" i="1"/>
  <c r="E28" i="1"/>
  <c r="D41" i="1"/>
  <c r="D36" i="1"/>
  <c r="D31" i="1"/>
  <c r="D26" i="1"/>
  <c r="E26" i="1"/>
  <c r="E24" i="1"/>
  <c r="E22" i="1"/>
  <c r="E20" i="1"/>
  <c r="E19" i="1"/>
  <c r="E45" i="1" s="1"/>
  <c r="E158" i="1" l="1"/>
  <c r="E156" i="1"/>
  <c r="E151" i="1"/>
  <c r="E139" i="1"/>
  <c r="E107" i="1"/>
  <c r="D107" i="1"/>
  <c r="D106" i="1"/>
  <c r="E95" i="1"/>
  <c r="E117" i="1" s="1"/>
  <c r="D94" i="1"/>
  <c r="E84" i="1"/>
  <c r="E79" i="1"/>
  <c r="E67" i="1"/>
  <c r="E87" i="1" l="1"/>
  <c r="E159" i="1"/>
  <c r="E157" i="1"/>
  <c r="E85" i="1"/>
  <c r="E160" i="1" l="1"/>
</calcChain>
</file>

<file path=xl/sharedStrings.xml><?xml version="1.0" encoding="utf-8"?>
<sst xmlns="http://schemas.openxmlformats.org/spreadsheetml/2006/main" count="344" uniqueCount="129">
  <si>
    <t xml:space="preserve">"О республиканском бюджете на 2022 год" </t>
  </si>
  <si>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</si>
  <si>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</si>
  <si>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</si>
  <si>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</si>
  <si>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</si>
  <si>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</si>
  <si>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</si>
  <si>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 xml:space="preserve">         в) рубка опасных деревьев     </t>
  </si>
  <si>
    <t>км</t>
  </si>
  <si>
    <t>кг</t>
  </si>
  <si>
    <t>т/шт.</t>
  </si>
  <si>
    <t>тыс.га</t>
  </si>
  <si>
    <t>ч/дн</t>
  </si>
  <si>
    <t>руб</t>
  </si>
  <si>
    <t>руб.</t>
  </si>
  <si>
    <t>тн</t>
  </si>
  <si>
    <t>ИТОГО</t>
  </si>
  <si>
    <t>Налог на доходы (6.5%+1.08%)</t>
  </si>
  <si>
    <t>Сумма всего, руб.</t>
  </si>
  <si>
    <t>к Закону Приднестровской Молдавской Республики</t>
  </si>
  <si>
    <t xml:space="preserve">                   в т.ч. посадка</t>
  </si>
  <si>
    <t xml:space="preserve">                    в т.ч. мехспособом</t>
  </si>
  <si>
    <t xml:space="preserve">                              ручным способом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</si>
  <si>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</si>
  <si>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</si>
  <si>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</si>
  <si>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>Мннистерство сельского хозяйства и природных ресурсов Приднестровской Молдавской Республики</t>
  </si>
  <si>
    <t>Смета расходов на финансирование государственного заказа по оказанию услуг  ГУП "Приднестровье-лес" на 2022 год</t>
  </si>
  <si>
    <t>Приложение № 2.29</t>
  </si>
  <si>
    <t>Объем работ, всего на год</t>
  </si>
  <si>
    <t>№ п/п</t>
  </si>
  <si>
    <t>Отвод лесосек под рубки ухода и санитарно-выборочные рубки</t>
  </si>
  <si>
    <t>Расчистка квартальных просек</t>
  </si>
  <si>
    <t>1.1.</t>
  </si>
  <si>
    <t>2.2.</t>
  </si>
  <si>
    <t>2.1.</t>
  </si>
  <si>
    <t>2.4.</t>
  </si>
  <si>
    <t>2.3.</t>
  </si>
  <si>
    <t>2.5.</t>
  </si>
  <si>
    <t>2.6.</t>
  </si>
  <si>
    <t>Дополнение лесных культур</t>
  </si>
  <si>
    <t>Содействие естественному возобновлению</t>
  </si>
  <si>
    <t>Закладка школ</t>
  </si>
  <si>
    <t>Выращивание саженцев</t>
  </si>
  <si>
    <t>Заготовка черенков тополя, ивы</t>
  </si>
  <si>
    <t>Перевод площадей естественного заращивания</t>
  </si>
  <si>
    <t>Заготовка лесных семян</t>
  </si>
  <si>
    <t>Посев питомника</t>
  </si>
  <si>
    <t>3.1.</t>
  </si>
  <si>
    <t>Текущее лесопатологическое обследование</t>
  </si>
  <si>
    <t>4.1.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</si>
  <si>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</si>
  <si>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</si>
  <si>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</si>
  <si>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</si>
  <si>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Благоустройство лесов</t>
  </si>
  <si>
    <t>Противопожарная пропоганда</t>
  </si>
  <si>
    <t>Благоустройство мест отдыха</t>
  </si>
  <si>
    <t>5.1.</t>
  </si>
  <si>
    <t>5.2.</t>
  </si>
  <si>
    <t>5.3.</t>
  </si>
  <si>
    <t>Заготовка сена</t>
  </si>
  <si>
    <t>Выкладка сена</t>
  </si>
  <si>
    <t>Выкладка соли</t>
  </si>
  <si>
    <t>Перевод лесных культур в покрытые лесом земли</t>
  </si>
  <si>
    <t>Рубки ухода и санитарно-выборочные рубки, всего</t>
  </si>
  <si>
    <t>Посадка лесных культур в Государственном лесном фонде, всего</t>
  </si>
  <si>
    <t>Подготовка почвы в Государственном лесном фонде, всего</t>
  </si>
  <si>
    <t>2. Лесохозяйственные мероприятия</t>
  </si>
  <si>
    <t>3.5.</t>
  </si>
  <si>
    <t>3. Лесокультурные работы</t>
  </si>
  <si>
    <t>3.2.</t>
  </si>
  <si>
    <t>3.3.</t>
  </si>
  <si>
    <t>3.4.</t>
  </si>
  <si>
    <t>3.6.</t>
  </si>
  <si>
    <t>3.7.</t>
  </si>
  <si>
    <t>3.8.</t>
  </si>
  <si>
    <t>4. Лесозащитные мероприятия</t>
  </si>
  <si>
    <t>5. Противопожарные мероприятия</t>
  </si>
  <si>
    <t>6. Биотехнические мероприятия</t>
  </si>
  <si>
    <t>6.1.</t>
  </si>
  <si>
    <t>6.2.</t>
  </si>
  <si>
    <t>6.3.</t>
  </si>
  <si>
    <t>5.4.</t>
  </si>
  <si>
    <t>5.5.</t>
  </si>
  <si>
    <t>5.6.</t>
  </si>
  <si>
    <t>5.7.</t>
  </si>
  <si>
    <t>1. Охрана и защита леса</t>
  </si>
  <si>
    <t>Охрана и защита леса, учет лесного фонда, камеральное сопровождение выполнения государственного заказа</t>
  </si>
  <si>
    <t>Ед. изм.</t>
  </si>
  <si>
    <t>Отвод лесосек под сплошные рубки</t>
  </si>
  <si>
    <t>Трелевка древесины, всего</t>
  </si>
  <si>
    <t xml:space="preserve">          а) лесовосстановительные рубки</t>
  </si>
  <si>
    <t xml:space="preserve">         б) сплошные санитарные</t>
  </si>
  <si>
    <t>Уход за лесными культурами в Государственном лесном фонде, всего:</t>
  </si>
  <si>
    <t>Прочие рубки, всего</t>
  </si>
  <si>
    <t xml:space="preserve">             в том числе мехспособом</t>
  </si>
  <si>
    <t>Государственная служба экологического контроля и охраны окружающей природной среды Приднестровской Молдавской Республики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</si>
  <si>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</si>
  <si>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Дополнительная ручная прополка</t>
  </si>
  <si>
    <t xml:space="preserve">                   в т.ч. а) под лесопитомник</t>
  </si>
  <si>
    <t xml:space="preserve">                             б) под лесные культуры</t>
  </si>
  <si>
    <t>3.9.</t>
  </si>
  <si>
    <t>Выращивание сеянцев, всего</t>
  </si>
  <si>
    <t xml:space="preserve">                    в т.ч. зеленое черенкование</t>
  </si>
  <si>
    <t>3.10.</t>
  </si>
  <si>
    <t>3.11.</t>
  </si>
  <si>
    <t>3.12.</t>
  </si>
  <si>
    <t>3.13.</t>
  </si>
  <si>
    <t>3.14.</t>
  </si>
  <si>
    <t>ИТОГО стоимость с учетом налога на доходы</t>
  </si>
  <si>
    <t>Примечание.</t>
  </si>
  <si>
    <t>Противопожарная пропаганда</t>
  </si>
  <si>
    <t>Уход за лесными культурами в Государственном лесном фонде, всего</t>
  </si>
  <si>
    <t>Изготовление и ремонт межевых знаков</t>
  </si>
  <si>
    <t>шт</t>
  </si>
  <si>
    <t>2.7.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</si>
  <si>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</si>
  <si>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</si>
  <si>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</si>
  <si>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>Приложение № 19</t>
  </si>
  <si>
    <t>Итого по разделу "Лесохозяйственные мероприятия"</t>
  </si>
  <si>
    <t>Итого по разделу "Лесозащитные мероприятия"</t>
  </si>
  <si>
    <t>Итого по разделу "Противопожарные мероприятия"</t>
  </si>
  <si>
    <t>Итого по разделу "Биотехнические мероприятия"</t>
  </si>
  <si>
    <t>Итого по разделу "Лесокультурные мероприятия"</t>
  </si>
  <si>
    <t xml:space="preserve">   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 </t>
  </si>
  <si>
    <t>Итого по разделу "Лесокультурные работы"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</si>
</sst>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/>
    <xf numFmtId="0" fontId="2" fillId="0" borderId="5" xfId="0" applyFont="1" applyFill="1" applyBorder="1"/>
    <xf numFmtId="3" fontId="3" fillId="0" borderId="6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66" fontId="2" fillId="0" borderId="2" xfId="3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view="pageBreakPreview" zoomScaleNormal="100" zoomScaleSheetLayoutView="100" workbookViewId="0">
      <pane xSplit="5" ySplit="13" topLeftCell="F138" activePane="bottomRight" state="frozenSplit"/>
      <selection pane="topRight" activeCell="I1" sqref="I1"/>
      <selection pane="bottomLeft" activeCell="A13" sqref="A13"/>
      <selection pane="bottomRight" activeCell="B143" sqref="B143:E143"/>
    </sheetView>
  </sheetViews>
  <sheetFormatPr defaultColWidth="9.109375" defaultRowHeight="15.6" x14ac:dyDescent="0.3"/>
  <cols>
    <col min="1" max="1" width="5.5546875" style="7" bestFit="1" customWidth="1"/>
    <col min="2" max="2" width="59.33203125" style="1" customWidth="1"/>
    <col min="3" max="3" width="7" style="1" customWidth="1"/>
    <col min="4" max="4" width="13.6640625" style="1" customWidth="1"/>
    <col min="5" max="5" width="17.44140625" style="1" customWidth="1"/>
    <col min="6" max="16384" width="9.109375" style="1"/>
  </cols>
  <sheetData>
    <row r="1" spans="1:5" x14ac:dyDescent="0.3">
      <c r="E1" s="54" t="s">
        <v>121</v>
      </c>
    </row>
    <row r="2" spans="1:5" x14ac:dyDescent="0.3">
      <c r="E2" s="54" t="s">
        <v>20</v>
      </c>
    </row>
    <row r="3" spans="1:5" x14ac:dyDescent="0.3">
      <c r="E3" s="54" t="s">
        <v>118</v>
      </c>
    </row>
    <row r="4" spans="1:5" x14ac:dyDescent="0.3">
      <c r="E4" s="54" t="s">
        <v>119</v>
      </c>
    </row>
    <row r="5" spans="1:5" x14ac:dyDescent="0.3">
      <c r="E5" s="54" t="s">
        <v>120</v>
      </c>
    </row>
    <row r="7" spans="1:5" x14ac:dyDescent="0.3">
      <c r="D7" s="61" t="s">
        <v>29</v>
      </c>
      <c r="E7" s="61"/>
    </row>
    <row r="8" spans="1:5" x14ac:dyDescent="0.3">
      <c r="B8" s="61" t="s">
        <v>20</v>
      </c>
      <c r="C8" s="61"/>
      <c r="D8" s="61"/>
      <c r="E8" s="61"/>
    </row>
    <row r="9" spans="1:5" ht="15.75" customHeight="1" x14ac:dyDescent="0.3">
      <c r="B9" s="62" t="s">
        <v>0</v>
      </c>
      <c r="C9" s="62"/>
      <c r="D9" s="62"/>
      <c r="E9" s="62"/>
    </row>
    <row r="10" spans="1:5" s="2" customFormat="1" x14ac:dyDescent="0.3">
      <c r="A10" s="8"/>
    </row>
    <row r="11" spans="1:5" s="2" customFormat="1" ht="32.25" customHeight="1" x14ac:dyDescent="0.3">
      <c r="A11" s="8"/>
      <c r="B11" s="63" t="s">
        <v>28</v>
      </c>
      <c r="C11" s="63"/>
      <c r="D11" s="63"/>
      <c r="E11" s="63"/>
    </row>
    <row r="12" spans="1:5" ht="16.2" thickBot="1" x14ac:dyDescent="0.35"/>
    <row r="13" spans="1:5" s="3" customFormat="1" ht="47.4" thickBot="1" x14ac:dyDescent="0.3">
      <c r="A13" s="9" t="s">
        <v>31</v>
      </c>
      <c r="B13" s="4" t="s">
        <v>1</v>
      </c>
      <c r="C13" s="5" t="s">
        <v>90</v>
      </c>
      <c r="D13" s="5" t="s">
        <v>30</v>
      </c>
      <c r="E13" s="6" t="s">
        <v>19</v>
      </c>
    </row>
    <row r="14" spans="1:5" s="3" customFormat="1" ht="5.25" customHeight="1" x14ac:dyDescent="0.25">
      <c r="A14" s="46"/>
      <c r="B14" s="45"/>
      <c r="C14" s="44"/>
      <c r="D14" s="44"/>
      <c r="E14" s="47"/>
    </row>
    <row r="15" spans="1:5" ht="32.25" customHeight="1" x14ac:dyDescent="0.3">
      <c r="A15" s="64" t="s">
        <v>27</v>
      </c>
      <c r="B15" s="65"/>
      <c r="C15" s="65"/>
      <c r="D15" s="65"/>
      <c r="E15" s="66"/>
    </row>
    <row r="16" spans="1:5" x14ac:dyDescent="0.3">
      <c r="A16" s="60" t="s">
        <v>88</v>
      </c>
      <c r="B16" s="55"/>
      <c r="C16" s="55"/>
      <c r="D16" s="55"/>
      <c r="E16" s="56"/>
    </row>
    <row r="17" spans="1:5" ht="33" customHeight="1" x14ac:dyDescent="0.3">
      <c r="A17" s="22" t="s">
        <v>34</v>
      </c>
      <c r="B17" s="14" t="s">
        <v>89</v>
      </c>
      <c r="C17" s="15" t="s">
        <v>7</v>
      </c>
      <c r="D17" s="10">
        <v>14846</v>
      </c>
      <c r="E17" s="16">
        <f>2664272-95410</f>
        <v>2568862</v>
      </c>
    </row>
    <row r="18" spans="1:5" x14ac:dyDescent="0.3">
      <c r="A18" s="22"/>
      <c r="B18" s="55" t="s">
        <v>69</v>
      </c>
      <c r="C18" s="55"/>
      <c r="D18" s="55"/>
      <c r="E18" s="56"/>
    </row>
    <row r="19" spans="1:5" x14ac:dyDescent="0.3">
      <c r="A19" s="22" t="s">
        <v>36</v>
      </c>
      <c r="B19" s="17" t="s">
        <v>91</v>
      </c>
      <c r="C19" s="15" t="s">
        <v>7</v>
      </c>
      <c r="D19" s="50">
        <f>48-26.2</f>
        <v>21.8</v>
      </c>
      <c r="E19" s="16">
        <f>20125-15207</f>
        <v>4918</v>
      </c>
    </row>
    <row r="20" spans="1:5" ht="31.2" x14ac:dyDescent="0.3">
      <c r="A20" s="22" t="s">
        <v>35</v>
      </c>
      <c r="B20" s="17" t="s">
        <v>32</v>
      </c>
      <c r="C20" s="15" t="s">
        <v>7</v>
      </c>
      <c r="D20" s="50">
        <f>220-111.2</f>
        <v>108.8</v>
      </c>
      <c r="E20" s="16">
        <f>92752-84140</f>
        <v>8612</v>
      </c>
    </row>
    <row r="21" spans="1:5" x14ac:dyDescent="0.3">
      <c r="A21" s="22" t="s">
        <v>38</v>
      </c>
      <c r="B21" s="17" t="s">
        <v>66</v>
      </c>
      <c r="C21" s="15" t="s">
        <v>7</v>
      </c>
      <c r="D21" s="50">
        <f>280-137.2</f>
        <v>142.80000000000001</v>
      </c>
      <c r="E21" s="16"/>
    </row>
    <row r="22" spans="1:5" ht="18.600000000000001" x14ac:dyDescent="0.3">
      <c r="A22" s="22"/>
      <c r="B22" s="17" t="s">
        <v>24</v>
      </c>
      <c r="C22" s="15" t="s">
        <v>99</v>
      </c>
      <c r="D22" s="53">
        <f>5009-177-2287.3</f>
        <v>2544.6999999999998</v>
      </c>
      <c r="E22" s="16">
        <f>301730+17269</f>
        <v>318999</v>
      </c>
    </row>
    <row r="23" spans="1:5" x14ac:dyDescent="0.3">
      <c r="A23" s="22"/>
      <c r="B23" s="17" t="s">
        <v>2</v>
      </c>
      <c r="C23" s="15" t="s">
        <v>7</v>
      </c>
      <c r="D23" s="50">
        <f>9-4.1</f>
        <v>4.9000000000000004</v>
      </c>
      <c r="E23" s="16"/>
    </row>
    <row r="24" spans="1:5" ht="18.600000000000001" x14ac:dyDescent="0.3">
      <c r="A24" s="22"/>
      <c r="B24" s="17" t="s">
        <v>24</v>
      </c>
      <c r="C24" s="15" t="s">
        <v>99</v>
      </c>
      <c r="D24" s="23">
        <f>181+89-124.2</f>
        <v>145.80000000000001</v>
      </c>
      <c r="E24" s="16">
        <f>34967+6482</f>
        <v>41449</v>
      </c>
    </row>
    <row r="25" spans="1:5" x14ac:dyDescent="0.3">
      <c r="A25" s="22"/>
      <c r="B25" s="17" t="s">
        <v>3</v>
      </c>
      <c r="C25" s="15" t="s">
        <v>7</v>
      </c>
      <c r="D25" s="50">
        <f>28-17.6</f>
        <v>10.399999999999999</v>
      </c>
      <c r="E25" s="16"/>
    </row>
    <row r="26" spans="1:5" ht="18.600000000000001" x14ac:dyDescent="0.3">
      <c r="A26" s="22"/>
      <c r="B26" s="17" t="s">
        <v>24</v>
      </c>
      <c r="C26" s="15" t="s">
        <v>99</v>
      </c>
      <c r="D26" s="23">
        <f>512-85-140</f>
        <v>287</v>
      </c>
      <c r="E26" s="16">
        <f>81379-2391</f>
        <v>78988</v>
      </c>
    </row>
    <row r="27" spans="1:5" x14ac:dyDescent="0.3">
      <c r="A27" s="22"/>
      <c r="B27" s="17" t="s">
        <v>4</v>
      </c>
      <c r="C27" s="15" t="s">
        <v>7</v>
      </c>
      <c r="D27" s="50">
        <f>41-17.7</f>
        <v>23.3</v>
      </c>
      <c r="E27" s="16"/>
    </row>
    <row r="28" spans="1:5" ht="18.600000000000001" x14ac:dyDescent="0.3">
      <c r="A28" s="22"/>
      <c r="B28" s="17" t="s">
        <v>24</v>
      </c>
      <c r="C28" s="15" t="s">
        <v>99</v>
      </c>
      <c r="D28" s="50">
        <f>660-77-252.4</f>
        <v>330.6</v>
      </c>
      <c r="E28" s="16">
        <f>53997+7550</f>
        <v>61547</v>
      </c>
    </row>
    <row r="29" spans="1:5" x14ac:dyDescent="0.3">
      <c r="A29" s="22"/>
      <c r="B29" s="17" t="s">
        <v>5</v>
      </c>
      <c r="C29" s="15" t="s">
        <v>7</v>
      </c>
      <c r="D29" s="50">
        <f>67-41.3</f>
        <v>25.700000000000003</v>
      </c>
      <c r="E29" s="16"/>
    </row>
    <row r="30" spans="1:5" ht="18.600000000000001" x14ac:dyDescent="0.3">
      <c r="A30" s="22"/>
      <c r="B30" s="17" t="s">
        <v>25</v>
      </c>
      <c r="C30" s="15" t="s">
        <v>99</v>
      </c>
      <c r="D30" s="53">
        <f>1363+712-1610.4</f>
        <v>464.59999999999991</v>
      </c>
      <c r="E30" s="16">
        <f>49980-11850</f>
        <v>38130</v>
      </c>
    </row>
    <row r="31" spans="1:5" x14ac:dyDescent="0.3">
      <c r="A31" s="22"/>
      <c r="B31" s="17" t="s">
        <v>6</v>
      </c>
      <c r="C31" s="15" t="s">
        <v>7</v>
      </c>
      <c r="D31" s="50">
        <f>135-56.5</f>
        <v>78.5</v>
      </c>
      <c r="E31" s="16"/>
    </row>
    <row r="32" spans="1:5" ht="18.600000000000001" x14ac:dyDescent="0.3">
      <c r="A32" s="22"/>
      <c r="B32" s="17" t="s">
        <v>26</v>
      </c>
      <c r="C32" s="15" t="s">
        <v>99</v>
      </c>
      <c r="D32" s="53">
        <f>2383-906-160.3</f>
        <v>1316.7</v>
      </c>
      <c r="E32" s="16">
        <f>81407+17478</f>
        <v>98885</v>
      </c>
    </row>
    <row r="33" spans="1:5" x14ac:dyDescent="0.3">
      <c r="A33" s="22" t="s">
        <v>37</v>
      </c>
      <c r="B33" s="17" t="s">
        <v>96</v>
      </c>
      <c r="C33" s="15" t="s">
        <v>7</v>
      </c>
      <c r="D33" s="50">
        <f>62-29.1</f>
        <v>32.9</v>
      </c>
      <c r="E33" s="16"/>
    </row>
    <row r="34" spans="1:5" ht="18.600000000000001" x14ac:dyDescent="0.3">
      <c r="A34" s="22"/>
      <c r="B34" s="17" t="s">
        <v>24</v>
      </c>
      <c r="C34" s="15" t="s">
        <v>99</v>
      </c>
      <c r="D34" s="53">
        <f>11105-1163+20-4068.9</f>
        <v>5893.1</v>
      </c>
      <c r="E34" s="16">
        <f>575916-51955</f>
        <v>523961</v>
      </c>
    </row>
    <row r="35" spans="1:5" x14ac:dyDescent="0.3">
      <c r="A35" s="22"/>
      <c r="B35" s="17" t="s">
        <v>93</v>
      </c>
      <c r="C35" s="15" t="s">
        <v>7</v>
      </c>
      <c r="D35" s="50">
        <f>43-15.1</f>
        <v>27.9</v>
      </c>
      <c r="E35" s="16"/>
    </row>
    <row r="36" spans="1:5" ht="18.600000000000001" x14ac:dyDescent="0.3">
      <c r="A36" s="22"/>
      <c r="B36" s="17" t="s">
        <v>26</v>
      </c>
      <c r="C36" s="15" t="s">
        <v>99</v>
      </c>
      <c r="D36" s="10">
        <f>8244-463-2871</f>
        <v>4910</v>
      </c>
      <c r="E36" s="16">
        <f>440462+36613</f>
        <v>477075</v>
      </c>
    </row>
    <row r="37" spans="1:5" x14ac:dyDescent="0.3">
      <c r="A37" s="22"/>
      <c r="B37" s="17" t="s">
        <v>94</v>
      </c>
      <c r="C37" s="15" t="s">
        <v>7</v>
      </c>
      <c r="D37" s="50">
        <f>18-13.7</f>
        <v>4.3000000000000007</v>
      </c>
      <c r="E37" s="16"/>
    </row>
    <row r="38" spans="1:5" ht="18.600000000000001" x14ac:dyDescent="0.3">
      <c r="A38" s="22"/>
      <c r="B38" s="17" t="s">
        <v>25</v>
      </c>
      <c r="C38" s="15" t="s">
        <v>99</v>
      </c>
      <c r="D38" s="53">
        <f>2635-874-954.7</f>
        <v>806.3</v>
      </c>
      <c r="E38" s="16">
        <f>131783-88185</f>
        <v>43598</v>
      </c>
    </row>
    <row r="39" spans="1:5" x14ac:dyDescent="0.3">
      <c r="A39" s="22"/>
      <c r="B39" s="17" t="s">
        <v>8</v>
      </c>
      <c r="C39" s="15" t="s">
        <v>7</v>
      </c>
      <c r="D39" s="50">
        <f>1-0.3</f>
        <v>0.7</v>
      </c>
      <c r="E39" s="16"/>
    </row>
    <row r="40" spans="1:5" ht="18.600000000000001" x14ac:dyDescent="0.3">
      <c r="A40" s="22"/>
      <c r="B40" s="17" t="s">
        <v>25</v>
      </c>
      <c r="C40" s="15" t="s">
        <v>99</v>
      </c>
      <c r="D40" s="50">
        <f>25-5+102.8</f>
        <v>122.8</v>
      </c>
      <c r="E40" s="16">
        <f>3671-383</f>
        <v>3288</v>
      </c>
    </row>
    <row r="41" spans="1:5" x14ac:dyDescent="0.3">
      <c r="A41" s="22" t="s">
        <v>39</v>
      </c>
      <c r="B41" s="17" t="s">
        <v>33</v>
      </c>
      <c r="C41" s="15" t="s">
        <v>9</v>
      </c>
      <c r="D41" s="23">
        <f>20-11.5</f>
        <v>8.5</v>
      </c>
      <c r="E41" s="16">
        <f>59605-39349</f>
        <v>20256</v>
      </c>
    </row>
    <row r="42" spans="1:5" x14ac:dyDescent="0.3">
      <c r="A42" s="22" t="s">
        <v>40</v>
      </c>
      <c r="B42" s="17" t="s">
        <v>115</v>
      </c>
      <c r="C42" s="15" t="s">
        <v>116</v>
      </c>
      <c r="D42" s="23">
        <v>48</v>
      </c>
      <c r="E42" s="16">
        <v>2408</v>
      </c>
    </row>
    <row r="43" spans="1:5" ht="18.600000000000001" x14ac:dyDescent="0.3">
      <c r="A43" s="22" t="s">
        <v>117</v>
      </c>
      <c r="B43" s="17" t="s">
        <v>92</v>
      </c>
      <c r="C43" s="15" t="s">
        <v>99</v>
      </c>
      <c r="D43" s="53">
        <f>SUM(D44)</f>
        <v>1285.3</v>
      </c>
      <c r="E43" s="16">
        <f>SUM(E44)</f>
        <v>15382</v>
      </c>
    </row>
    <row r="44" spans="1:5" ht="18.600000000000001" x14ac:dyDescent="0.3">
      <c r="A44" s="22"/>
      <c r="B44" s="17" t="s">
        <v>97</v>
      </c>
      <c r="C44" s="15" t="s">
        <v>99</v>
      </c>
      <c r="D44" s="53">
        <f>2590-1304.7</f>
        <v>1285.3</v>
      </c>
      <c r="E44" s="16">
        <f>98702-83320</f>
        <v>15382</v>
      </c>
    </row>
    <row r="45" spans="1:5" x14ac:dyDescent="0.3">
      <c r="A45" s="22"/>
      <c r="B45" s="25" t="s">
        <v>122</v>
      </c>
      <c r="C45" s="26"/>
      <c r="D45" s="27"/>
      <c r="E45" s="19">
        <f>SUM(E19+E20+E22+E34+E41+E43+E42)</f>
        <v>894536</v>
      </c>
    </row>
    <row r="46" spans="1:5" x14ac:dyDescent="0.3">
      <c r="A46" s="60" t="s">
        <v>71</v>
      </c>
      <c r="B46" s="55"/>
      <c r="C46" s="55"/>
      <c r="D46" s="55"/>
      <c r="E46" s="56"/>
    </row>
    <row r="47" spans="1:5" ht="31.2" x14ac:dyDescent="0.3">
      <c r="A47" s="22" t="s">
        <v>49</v>
      </c>
      <c r="B47" s="14" t="s">
        <v>67</v>
      </c>
      <c r="C47" s="15" t="s">
        <v>7</v>
      </c>
      <c r="D47" s="51">
        <f>SUM(D48)</f>
        <v>103.4</v>
      </c>
      <c r="E47" s="52">
        <f>SUM(E48)</f>
        <v>86627</v>
      </c>
    </row>
    <row r="48" spans="1:5" x14ac:dyDescent="0.3">
      <c r="A48" s="22"/>
      <c r="B48" s="14" t="s">
        <v>21</v>
      </c>
      <c r="C48" s="15" t="s">
        <v>7</v>
      </c>
      <c r="D48" s="51">
        <f>130-26.6</f>
        <v>103.4</v>
      </c>
      <c r="E48" s="16">
        <f>245895-159268</f>
        <v>86627</v>
      </c>
    </row>
    <row r="49" spans="1:5" x14ac:dyDescent="0.3">
      <c r="A49" s="22" t="s">
        <v>72</v>
      </c>
      <c r="B49" s="14" t="s">
        <v>41</v>
      </c>
      <c r="C49" s="15" t="s">
        <v>7</v>
      </c>
      <c r="D49" s="23">
        <f>130-21.3</f>
        <v>108.7</v>
      </c>
      <c r="E49" s="16">
        <f>51297+34676</f>
        <v>85973</v>
      </c>
    </row>
    <row r="50" spans="1:5" x14ac:dyDescent="0.3">
      <c r="A50" s="22" t="s">
        <v>73</v>
      </c>
      <c r="B50" s="14" t="s">
        <v>42</v>
      </c>
      <c r="C50" s="15" t="s">
        <v>7</v>
      </c>
      <c r="D50" s="23">
        <f>50-43.4</f>
        <v>6.6000000000000014</v>
      </c>
      <c r="E50" s="16">
        <f>49399-40944</f>
        <v>8455</v>
      </c>
    </row>
    <row r="51" spans="1:5" ht="31.2" x14ac:dyDescent="0.3">
      <c r="A51" s="22" t="s">
        <v>74</v>
      </c>
      <c r="B51" s="14" t="s">
        <v>114</v>
      </c>
      <c r="C51" s="15" t="s">
        <v>7</v>
      </c>
      <c r="D51" s="10">
        <f>545-238</f>
        <v>307</v>
      </c>
      <c r="E51" s="16">
        <f>269232-17662</f>
        <v>251570</v>
      </c>
    </row>
    <row r="52" spans="1:5" x14ac:dyDescent="0.3">
      <c r="A52" s="22"/>
      <c r="B52" s="14" t="s">
        <v>22</v>
      </c>
      <c r="C52" s="15" t="s">
        <v>7</v>
      </c>
      <c r="D52" s="23">
        <f>87-48.3</f>
        <v>38.700000000000003</v>
      </c>
      <c r="E52" s="16">
        <f>136760-130096</f>
        <v>6664</v>
      </c>
    </row>
    <row r="53" spans="1:5" x14ac:dyDescent="0.3">
      <c r="A53" s="22"/>
      <c r="B53" s="14" t="s">
        <v>23</v>
      </c>
      <c r="C53" s="15" t="s">
        <v>7</v>
      </c>
      <c r="D53" s="53">
        <f>458-189.7</f>
        <v>268.3</v>
      </c>
      <c r="E53" s="16">
        <f>132472+112434</f>
        <v>244906</v>
      </c>
    </row>
    <row r="54" spans="1:5" ht="32.25" customHeight="1" x14ac:dyDescent="0.3">
      <c r="A54" s="22" t="s">
        <v>70</v>
      </c>
      <c r="B54" s="14" t="s">
        <v>100</v>
      </c>
      <c r="C54" s="15" t="s">
        <v>7</v>
      </c>
      <c r="D54" s="23"/>
      <c r="E54" s="16"/>
    </row>
    <row r="55" spans="1:5" x14ac:dyDescent="0.3">
      <c r="A55" s="22" t="s">
        <v>75</v>
      </c>
      <c r="B55" s="14" t="s">
        <v>68</v>
      </c>
      <c r="C55" s="15" t="s">
        <v>7</v>
      </c>
      <c r="D55" s="23">
        <v>26.4</v>
      </c>
      <c r="E55" s="16">
        <v>30486</v>
      </c>
    </row>
    <row r="56" spans="1:5" x14ac:dyDescent="0.3">
      <c r="A56" s="22"/>
      <c r="B56" s="14" t="s">
        <v>101</v>
      </c>
      <c r="C56" s="15" t="s">
        <v>7</v>
      </c>
      <c r="D56" s="23">
        <v>5.2</v>
      </c>
      <c r="E56" s="16">
        <v>61</v>
      </c>
    </row>
    <row r="57" spans="1:5" ht="15.75" customHeight="1" x14ac:dyDescent="0.3">
      <c r="A57" s="22"/>
      <c r="B57" s="14" t="s">
        <v>102</v>
      </c>
      <c r="C57" s="15" t="s">
        <v>7</v>
      </c>
      <c r="D57" s="23">
        <v>21.2</v>
      </c>
      <c r="E57" s="16">
        <v>30425</v>
      </c>
    </row>
    <row r="58" spans="1:5" x14ac:dyDescent="0.3">
      <c r="A58" s="22" t="s">
        <v>76</v>
      </c>
      <c r="B58" s="14" t="s">
        <v>47</v>
      </c>
      <c r="C58" s="15" t="s">
        <v>10</v>
      </c>
      <c r="D58" s="53">
        <f>270+90.3</f>
        <v>360.3</v>
      </c>
      <c r="E58" s="16">
        <f>28557+54619</f>
        <v>83176</v>
      </c>
    </row>
    <row r="59" spans="1:5" x14ac:dyDescent="0.3">
      <c r="A59" s="22" t="s">
        <v>77</v>
      </c>
      <c r="B59" s="14" t="s">
        <v>48</v>
      </c>
      <c r="C59" s="15" t="s">
        <v>7</v>
      </c>
      <c r="D59" s="23">
        <v>2</v>
      </c>
      <c r="E59" s="16">
        <v>2561</v>
      </c>
    </row>
    <row r="60" spans="1:5" ht="15.75" customHeight="1" x14ac:dyDescent="0.3">
      <c r="A60" s="22" t="s">
        <v>103</v>
      </c>
      <c r="B60" s="14" t="s">
        <v>104</v>
      </c>
      <c r="C60" s="15" t="s">
        <v>11</v>
      </c>
      <c r="D60" s="23"/>
      <c r="E60" s="16">
        <v>115099</v>
      </c>
    </row>
    <row r="61" spans="1:5" x14ac:dyDescent="0.3">
      <c r="A61" s="22"/>
      <c r="B61" s="14" t="s">
        <v>105</v>
      </c>
      <c r="C61" s="15" t="s">
        <v>11</v>
      </c>
      <c r="D61" s="23"/>
      <c r="E61" s="16"/>
    </row>
    <row r="62" spans="1:5" x14ac:dyDescent="0.3">
      <c r="A62" s="22" t="s">
        <v>106</v>
      </c>
      <c r="B62" s="14" t="s">
        <v>43</v>
      </c>
      <c r="C62" s="15" t="s">
        <v>7</v>
      </c>
      <c r="D62" s="23">
        <v>2</v>
      </c>
      <c r="E62" s="16">
        <v>20070</v>
      </c>
    </row>
    <row r="63" spans="1:5" x14ac:dyDescent="0.3">
      <c r="A63" s="22" t="s">
        <v>107</v>
      </c>
      <c r="B63" s="14" t="s">
        <v>44</v>
      </c>
      <c r="C63" s="15" t="s">
        <v>11</v>
      </c>
      <c r="D63" s="23"/>
      <c r="E63" s="16">
        <v>114755</v>
      </c>
    </row>
    <row r="64" spans="1:5" x14ac:dyDescent="0.3">
      <c r="A64" s="22" t="s">
        <v>108</v>
      </c>
      <c r="B64" s="14" t="s">
        <v>45</v>
      </c>
      <c r="C64" s="15" t="s">
        <v>11</v>
      </c>
      <c r="D64" s="23">
        <f>40-40</f>
        <v>0</v>
      </c>
      <c r="E64" s="16"/>
    </row>
    <row r="65" spans="1:6" x14ac:dyDescent="0.3">
      <c r="A65" s="22" t="s">
        <v>109</v>
      </c>
      <c r="B65" s="14" t="s">
        <v>65</v>
      </c>
      <c r="C65" s="15" t="s">
        <v>7</v>
      </c>
      <c r="D65" s="23"/>
      <c r="E65" s="16"/>
    </row>
    <row r="66" spans="1:6" x14ac:dyDescent="0.3">
      <c r="A66" s="22" t="s">
        <v>110</v>
      </c>
      <c r="B66" s="14" t="s">
        <v>46</v>
      </c>
      <c r="C66" s="15" t="s">
        <v>7</v>
      </c>
      <c r="D66" s="23"/>
      <c r="E66" s="16"/>
    </row>
    <row r="67" spans="1:6" ht="15.75" customHeight="1" x14ac:dyDescent="0.3">
      <c r="A67" s="22"/>
      <c r="B67" s="25" t="s">
        <v>128</v>
      </c>
      <c r="C67" s="28"/>
      <c r="D67" s="29"/>
      <c r="E67" s="19">
        <f>SUM(E47+E49+E50+E51+E54+E55+E58+E59+E60+E62+E63+E64+E65+E66)</f>
        <v>798772</v>
      </c>
    </row>
    <row r="68" spans="1:6" x14ac:dyDescent="0.3">
      <c r="A68" s="22"/>
      <c r="B68" s="55" t="s">
        <v>78</v>
      </c>
      <c r="C68" s="55"/>
      <c r="D68" s="55"/>
      <c r="E68" s="56"/>
    </row>
    <row r="69" spans="1:6" ht="16.5" customHeight="1" x14ac:dyDescent="0.3">
      <c r="A69" s="22" t="s">
        <v>51</v>
      </c>
      <c r="B69" s="17" t="s">
        <v>50</v>
      </c>
      <c r="C69" s="15" t="s">
        <v>12</v>
      </c>
      <c r="D69" s="23">
        <f>20-8</f>
        <v>12</v>
      </c>
      <c r="E69" s="30"/>
    </row>
    <row r="70" spans="1:6" s="2" customFormat="1" ht="15.75" customHeight="1" x14ac:dyDescent="0.3">
      <c r="A70" s="22"/>
      <c r="B70" s="18" t="s">
        <v>123</v>
      </c>
      <c r="C70" s="15"/>
      <c r="D70" s="23"/>
      <c r="E70" s="30"/>
      <c r="F70" s="1"/>
    </row>
    <row r="71" spans="1:6" s="2" customFormat="1" x14ac:dyDescent="0.3">
      <c r="A71" s="22"/>
      <c r="B71" s="55" t="s">
        <v>79</v>
      </c>
      <c r="C71" s="55"/>
      <c r="D71" s="55"/>
      <c r="E71" s="56"/>
      <c r="F71" s="1"/>
    </row>
    <row r="72" spans="1:6" s="2" customFormat="1" x14ac:dyDescent="0.3">
      <c r="A72" s="22" t="s">
        <v>59</v>
      </c>
      <c r="B72" s="14" t="s">
        <v>52</v>
      </c>
      <c r="C72" s="15" t="s">
        <v>9</v>
      </c>
      <c r="D72" s="23">
        <f>10-6.5</f>
        <v>3.5</v>
      </c>
      <c r="E72" s="16">
        <f>31202-19438</f>
        <v>11764</v>
      </c>
      <c r="F72" s="1"/>
    </row>
    <row r="73" spans="1:6" s="2" customFormat="1" x14ac:dyDescent="0.3">
      <c r="A73" s="22" t="s">
        <v>60</v>
      </c>
      <c r="B73" s="14" t="s">
        <v>53</v>
      </c>
      <c r="C73" s="15" t="s">
        <v>9</v>
      </c>
      <c r="D73" s="23">
        <f>200-34.3</f>
        <v>165.7</v>
      </c>
      <c r="E73" s="16">
        <f>5121-2036</f>
        <v>3085</v>
      </c>
      <c r="F73" s="1"/>
    </row>
    <row r="74" spans="1:6" s="2" customFormat="1" ht="16.5" customHeight="1" x14ac:dyDescent="0.3">
      <c r="A74" s="22" t="s">
        <v>61</v>
      </c>
      <c r="B74" s="14" t="s">
        <v>54</v>
      </c>
      <c r="C74" s="15" t="s">
        <v>13</v>
      </c>
      <c r="D74" s="10">
        <f>4160-752</f>
        <v>3408</v>
      </c>
      <c r="E74" s="16">
        <f>404233+241061</f>
        <v>645294</v>
      </c>
      <c r="F74" s="1"/>
    </row>
    <row r="75" spans="1:6" s="2" customFormat="1" ht="16.5" customHeight="1" x14ac:dyDescent="0.3">
      <c r="A75" s="22" t="s">
        <v>84</v>
      </c>
      <c r="B75" s="14" t="s">
        <v>55</v>
      </c>
      <c r="C75" s="15" t="s">
        <v>14</v>
      </c>
      <c r="D75" s="10"/>
      <c r="E75" s="16">
        <f>5480+8729</f>
        <v>14209</v>
      </c>
      <c r="F75" s="1"/>
    </row>
    <row r="76" spans="1:6" s="2" customFormat="1" x14ac:dyDescent="0.3">
      <c r="A76" s="22" t="s">
        <v>85</v>
      </c>
      <c r="B76" s="14" t="s">
        <v>56</v>
      </c>
      <c r="C76" s="15" t="s">
        <v>14</v>
      </c>
      <c r="D76" s="10"/>
      <c r="E76" s="16">
        <f>12500+2894</f>
        <v>15394</v>
      </c>
      <c r="F76" s="1"/>
    </row>
    <row r="77" spans="1:6" s="2" customFormat="1" x14ac:dyDescent="0.3">
      <c r="A77" s="22" t="s">
        <v>86</v>
      </c>
      <c r="B77" s="14" t="s">
        <v>57</v>
      </c>
      <c r="C77" s="15" t="s">
        <v>15</v>
      </c>
      <c r="D77" s="10"/>
      <c r="E77" s="16">
        <f>12500-7331</f>
        <v>5169</v>
      </c>
      <c r="F77" s="1"/>
    </row>
    <row r="78" spans="1:6" ht="30" customHeight="1" x14ac:dyDescent="0.3">
      <c r="A78" s="22" t="s">
        <v>87</v>
      </c>
      <c r="B78" s="14" t="s">
        <v>58</v>
      </c>
      <c r="C78" s="15" t="s">
        <v>15</v>
      </c>
      <c r="D78" s="10"/>
      <c r="E78" s="16">
        <f>10000-6070</f>
        <v>3930</v>
      </c>
      <c r="F78" s="2"/>
    </row>
    <row r="79" spans="1:6" s="13" customFormat="1" ht="16.5" customHeight="1" x14ac:dyDescent="0.3">
      <c r="A79" s="22"/>
      <c r="B79" s="18" t="s">
        <v>124</v>
      </c>
      <c r="C79" s="18"/>
      <c r="D79" s="20"/>
      <c r="E79" s="19">
        <f>SUM(E72:E78)</f>
        <v>698845</v>
      </c>
      <c r="F79" s="2"/>
    </row>
    <row r="80" spans="1:6" s="13" customFormat="1" x14ac:dyDescent="0.3">
      <c r="A80" s="22"/>
      <c r="B80" s="55" t="s">
        <v>80</v>
      </c>
      <c r="C80" s="55"/>
      <c r="D80" s="55"/>
      <c r="E80" s="56"/>
      <c r="F80" s="2"/>
    </row>
    <row r="81" spans="1:6" s="13" customFormat="1" x14ac:dyDescent="0.3">
      <c r="A81" s="22" t="s">
        <v>81</v>
      </c>
      <c r="B81" s="14" t="s">
        <v>62</v>
      </c>
      <c r="C81" s="15" t="s">
        <v>16</v>
      </c>
      <c r="D81" s="23">
        <f>4-1.6</f>
        <v>2.4</v>
      </c>
      <c r="E81" s="31">
        <f>14225-8167</f>
        <v>6058</v>
      </c>
      <c r="F81" s="2"/>
    </row>
    <row r="82" spans="1:6" s="13" customFormat="1" x14ac:dyDescent="0.3">
      <c r="A82" s="22" t="s">
        <v>82</v>
      </c>
      <c r="B82" s="14" t="s">
        <v>63</v>
      </c>
      <c r="C82" s="15" t="s">
        <v>16</v>
      </c>
      <c r="D82" s="23">
        <f>4-1.8</f>
        <v>2.2000000000000002</v>
      </c>
      <c r="E82" s="31">
        <v>333</v>
      </c>
      <c r="F82" s="2"/>
    </row>
    <row r="83" spans="1:6" s="13" customFormat="1" x14ac:dyDescent="0.3">
      <c r="A83" s="22" t="s">
        <v>83</v>
      </c>
      <c r="B83" s="14" t="s">
        <v>64</v>
      </c>
      <c r="C83" s="15" t="s">
        <v>10</v>
      </c>
      <c r="D83" s="23"/>
      <c r="E83" s="31"/>
      <c r="F83" s="2"/>
    </row>
    <row r="84" spans="1:6" s="13" customFormat="1" ht="15.75" customHeight="1" x14ac:dyDescent="0.3">
      <c r="A84" s="22"/>
      <c r="B84" s="18" t="s">
        <v>125</v>
      </c>
      <c r="C84" s="15"/>
      <c r="D84" s="23"/>
      <c r="E84" s="32">
        <f>SUM(E81:E83)</f>
        <v>6391</v>
      </c>
      <c r="F84" s="2"/>
    </row>
    <row r="85" spans="1:6" s="13" customFormat="1" ht="16.5" customHeight="1" x14ac:dyDescent="0.3">
      <c r="A85" s="22"/>
      <c r="B85" s="11" t="s">
        <v>17</v>
      </c>
      <c r="C85" s="11"/>
      <c r="D85" s="20"/>
      <c r="E85" s="32">
        <f>SUM(E45+E67+E70+E79+E84+E17)</f>
        <v>4967406</v>
      </c>
      <c r="F85" s="2"/>
    </row>
    <row r="86" spans="1:6" s="13" customFormat="1" ht="16.2" thickBot="1" x14ac:dyDescent="0.35">
      <c r="A86" s="33"/>
      <c r="B86" s="12" t="s">
        <v>18</v>
      </c>
      <c r="C86" s="34" t="s">
        <v>15</v>
      </c>
      <c r="D86" s="35"/>
      <c r="E86" s="36">
        <f>375417+1-14663</f>
        <v>360755</v>
      </c>
      <c r="F86" s="1"/>
    </row>
    <row r="87" spans="1:6" s="13" customFormat="1" ht="35.25" customHeight="1" thickBot="1" x14ac:dyDescent="0.35">
      <c r="A87" s="37"/>
      <c r="B87" s="38" t="s">
        <v>111</v>
      </c>
      <c r="C87" s="21"/>
      <c r="D87" s="39"/>
      <c r="E87" s="40">
        <f>SUM(E17+E45+E67+E70+E79+E84+E86)</f>
        <v>5328161</v>
      </c>
    </row>
    <row r="88" spans="1:6" s="13" customFormat="1" ht="35.25" customHeight="1" x14ac:dyDescent="0.3">
      <c r="A88" s="57" t="s">
        <v>98</v>
      </c>
      <c r="B88" s="58"/>
      <c r="C88" s="58"/>
      <c r="D88" s="58"/>
      <c r="E88" s="59"/>
    </row>
    <row r="89" spans="1:6" s="13" customFormat="1" x14ac:dyDescent="0.3">
      <c r="A89" s="60" t="s">
        <v>88</v>
      </c>
      <c r="B89" s="55"/>
      <c r="C89" s="55"/>
      <c r="D89" s="55"/>
      <c r="E89" s="56"/>
    </row>
    <row r="90" spans="1:6" s="13" customFormat="1" ht="31.2" x14ac:dyDescent="0.3">
      <c r="A90" s="22" t="s">
        <v>34</v>
      </c>
      <c r="B90" s="14" t="s">
        <v>89</v>
      </c>
      <c r="C90" s="15" t="s">
        <v>7</v>
      </c>
      <c r="D90" s="10">
        <v>14846</v>
      </c>
      <c r="E90" s="16">
        <v>2664272</v>
      </c>
    </row>
    <row r="91" spans="1:6" s="13" customFormat="1" x14ac:dyDescent="0.3">
      <c r="A91" s="22"/>
      <c r="B91" s="55" t="s">
        <v>69</v>
      </c>
      <c r="C91" s="55"/>
      <c r="D91" s="55"/>
      <c r="E91" s="56"/>
    </row>
    <row r="92" spans="1:6" s="13" customFormat="1" x14ac:dyDescent="0.3">
      <c r="A92" s="22" t="s">
        <v>36</v>
      </c>
      <c r="B92" s="17" t="s">
        <v>91</v>
      </c>
      <c r="C92" s="15" t="s">
        <v>7</v>
      </c>
      <c r="D92" s="23">
        <v>52</v>
      </c>
      <c r="E92" s="16">
        <v>21802</v>
      </c>
    </row>
    <row r="93" spans="1:6" s="13" customFormat="1" ht="31.2" x14ac:dyDescent="0.3">
      <c r="A93" s="22" t="s">
        <v>35</v>
      </c>
      <c r="B93" s="17" t="s">
        <v>32</v>
      </c>
      <c r="C93" s="15" t="s">
        <v>7</v>
      </c>
      <c r="D93" s="23">
        <v>280</v>
      </c>
      <c r="E93" s="16">
        <v>118048</v>
      </c>
    </row>
    <row r="94" spans="1:6" s="13" customFormat="1" x14ac:dyDescent="0.3">
      <c r="A94" s="22" t="s">
        <v>38</v>
      </c>
      <c r="B94" s="17" t="s">
        <v>66</v>
      </c>
      <c r="C94" s="15" t="s">
        <v>7</v>
      </c>
      <c r="D94" s="23">
        <f>D96+D98+D100+D102+D104</f>
        <v>220</v>
      </c>
      <c r="E94" s="16"/>
    </row>
    <row r="95" spans="1:6" s="13" customFormat="1" ht="18.600000000000001" x14ac:dyDescent="0.3">
      <c r="A95" s="22"/>
      <c r="B95" s="17" t="s">
        <v>24</v>
      </c>
      <c r="C95" s="15" t="s">
        <v>99</v>
      </c>
      <c r="D95" s="10">
        <v>3168</v>
      </c>
      <c r="E95" s="16">
        <f>E97+E99+E101++E103+E105</f>
        <v>506974</v>
      </c>
    </row>
    <row r="96" spans="1:6" s="13" customFormat="1" x14ac:dyDescent="0.3">
      <c r="A96" s="22"/>
      <c r="B96" s="17" t="s">
        <v>2</v>
      </c>
      <c r="C96" s="15" t="s">
        <v>7</v>
      </c>
      <c r="D96" s="23">
        <v>31</v>
      </c>
      <c r="E96" s="16"/>
    </row>
    <row r="97" spans="1:6" s="13" customFormat="1" ht="18.600000000000001" x14ac:dyDescent="0.3">
      <c r="A97" s="22"/>
      <c r="B97" s="17" t="s">
        <v>24</v>
      </c>
      <c r="C97" s="15" t="s">
        <v>99</v>
      </c>
      <c r="D97" s="23">
        <v>130</v>
      </c>
      <c r="E97" s="16">
        <v>64102</v>
      </c>
    </row>
    <row r="98" spans="1:6" s="13" customFormat="1" x14ac:dyDescent="0.3">
      <c r="A98" s="22"/>
      <c r="B98" s="17" t="s">
        <v>3</v>
      </c>
      <c r="C98" s="15" t="s">
        <v>7</v>
      </c>
      <c r="D98" s="23">
        <v>12</v>
      </c>
      <c r="E98" s="16"/>
    </row>
    <row r="99" spans="1:6" s="13" customFormat="1" ht="18.600000000000001" x14ac:dyDescent="0.3">
      <c r="A99" s="22"/>
      <c r="B99" s="17" t="s">
        <v>24</v>
      </c>
      <c r="C99" s="15" t="s">
        <v>99</v>
      </c>
      <c r="D99" s="23">
        <v>273</v>
      </c>
      <c r="E99" s="16">
        <v>92465</v>
      </c>
    </row>
    <row r="100" spans="1:6" s="13" customFormat="1" x14ac:dyDescent="0.3">
      <c r="A100" s="22"/>
      <c r="B100" s="17" t="s">
        <v>4</v>
      </c>
      <c r="C100" s="15" t="s">
        <v>7</v>
      </c>
      <c r="D100" s="23">
        <v>19</v>
      </c>
      <c r="E100" s="16"/>
    </row>
    <row r="101" spans="1:6" s="13" customFormat="1" ht="18.600000000000001" x14ac:dyDescent="0.3">
      <c r="A101" s="22"/>
      <c r="B101" s="17" t="s">
        <v>24</v>
      </c>
      <c r="C101" s="15" t="s">
        <v>99</v>
      </c>
      <c r="D101" s="23">
        <v>317</v>
      </c>
      <c r="E101" s="16">
        <v>87605</v>
      </c>
    </row>
    <row r="102" spans="1:6" s="13" customFormat="1" x14ac:dyDescent="0.3">
      <c r="A102" s="22"/>
      <c r="B102" s="17" t="s">
        <v>5</v>
      </c>
      <c r="C102" s="15" t="s">
        <v>7</v>
      </c>
      <c r="D102" s="23">
        <v>93</v>
      </c>
      <c r="E102" s="16"/>
    </row>
    <row r="103" spans="1:6" s="13" customFormat="1" ht="18.600000000000001" x14ac:dyDescent="0.3">
      <c r="A103" s="22"/>
      <c r="B103" s="17" t="s">
        <v>25</v>
      </c>
      <c r="C103" s="15" t="s">
        <v>99</v>
      </c>
      <c r="D103" s="10">
        <v>925</v>
      </c>
      <c r="E103" s="16">
        <v>184078</v>
      </c>
    </row>
    <row r="104" spans="1:6" s="13" customFormat="1" x14ac:dyDescent="0.3">
      <c r="A104" s="22"/>
      <c r="B104" s="17" t="s">
        <v>6</v>
      </c>
      <c r="C104" s="15" t="s">
        <v>7</v>
      </c>
      <c r="D104" s="23">
        <v>65</v>
      </c>
      <c r="E104" s="16"/>
    </row>
    <row r="105" spans="1:6" s="13" customFormat="1" ht="18.600000000000001" x14ac:dyDescent="0.3">
      <c r="A105" s="22"/>
      <c r="B105" s="17" t="s">
        <v>26</v>
      </c>
      <c r="C105" s="15" t="s">
        <v>99</v>
      </c>
      <c r="D105" s="10">
        <v>1523</v>
      </c>
      <c r="E105" s="16">
        <v>78724</v>
      </c>
    </row>
    <row r="106" spans="1:6" s="13" customFormat="1" x14ac:dyDescent="0.3">
      <c r="A106" s="22" t="s">
        <v>37</v>
      </c>
      <c r="B106" s="17" t="s">
        <v>96</v>
      </c>
      <c r="C106" s="15" t="s">
        <v>7</v>
      </c>
      <c r="D106" s="20">
        <f>D108+D110+D112</f>
        <v>41</v>
      </c>
      <c r="E106" s="19"/>
    </row>
    <row r="107" spans="1:6" s="13" customFormat="1" ht="18.600000000000001" x14ac:dyDescent="0.3">
      <c r="A107" s="22"/>
      <c r="B107" s="17" t="s">
        <v>24</v>
      </c>
      <c r="C107" s="15" t="s">
        <v>99</v>
      </c>
      <c r="D107" s="24">
        <f>6658-20</f>
        <v>6638</v>
      </c>
      <c r="E107" s="19">
        <f>E109+E111+E113</f>
        <v>670971</v>
      </c>
    </row>
    <row r="108" spans="1:6" x14ac:dyDescent="0.3">
      <c r="A108" s="22"/>
      <c r="B108" s="17" t="s">
        <v>93</v>
      </c>
      <c r="C108" s="15" t="s">
        <v>7</v>
      </c>
      <c r="D108" s="23">
        <v>27</v>
      </c>
      <c r="E108" s="16"/>
      <c r="F108" s="13"/>
    </row>
    <row r="109" spans="1:6" ht="18.600000000000001" x14ac:dyDescent="0.3">
      <c r="A109" s="22"/>
      <c r="B109" s="17" t="s">
        <v>26</v>
      </c>
      <c r="C109" s="15" t="s">
        <v>99</v>
      </c>
      <c r="D109" s="10">
        <v>5219</v>
      </c>
      <c r="E109" s="16">
        <v>546233</v>
      </c>
      <c r="F109" s="13"/>
    </row>
    <row r="110" spans="1:6" x14ac:dyDescent="0.3">
      <c r="A110" s="22"/>
      <c r="B110" s="17" t="s">
        <v>94</v>
      </c>
      <c r="C110" s="15" t="s">
        <v>7</v>
      </c>
      <c r="D110" s="23">
        <v>12</v>
      </c>
      <c r="E110" s="16"/>
      <c r="F110" s="13"/>
    </row>
    <row r="111" spans="1:6" ht="18.600000000000001" x14ac:dyDescent="0.3">
      <c r="A111" s="22"/>
      <c r="B111" s="17" t="s">
        <v>25</v>
      </c>
      <c r="C111" s="15" t="s">
        <v>99</v>
      </c>
      <c r="D111" s="10">
        <v>1239</v>
      </c>
      <c r="E111" s="16">
        <v>99043</v>
      </c>
      <c r="F111" s="13"/>
    </row>
    <row r="112" spans="1:6" x14ac:dyDescent="0.3">
      <c r="A112" s="22"/>
      <c r="B112" s="17" t="s">
        <v>8</v>
      </c>
      <c r="C112" s="15" t="s">
        <v>7</v>
      </c>
      <c r="D112" s="23">
        <v>2</v>
      </c>
      <c r="E112" s="16"/>
      <c r="F112" s="13"/>
    </row>
    <row r="113" spans="1:6" ht="18.600000000000001" x14ac:dyDescent="0.3">
      <c r="A113" s="22"/>
      <c r="B113" s="17" t="s">
        <v>25</v>
      </c>
      <c r="C113" s="15" t="s">
        <v>99</v>
      </c>
      <c r="D113" s="23">
        <v>180</v>
      </c>
      <c r="E113" s="16">
        <v>25695</v>
      </c>
      <c r="F113" s="13"/>
    </row>
    <row r="114" spans="1:6" x14ac:dyDescent="0.3">
      <c r="A114" s="22" t="s">
        <v>39</v>
      </c>
      <c r="B114" s="17" t="s">
        <v>33</v>
      </c>
      <c r="C114" s="15" t="s">
        <v>9</v>
      </c>
      <c r="D114" s="23">
        <v>20</v>
      </c>
      <c r="E114" s="16">
        <v>119605</v>
      </c>
      <c r="F114" s="13"/>
    </row>
    <row r="115" spans="1:6" ht="18.600000000000001" x14ac:dyDescent="0.3">
      <c r="A115" s="22" t="s">
        <v>40</v>
      </c>
      <c r="B115" s="17" t="s">
        <v>92</v>
      </c>
      <c r="C115" s="15" t="s">
        <v>99</v>
      </c>
      <c r="D115" s="10">
        <v>2410</v>
      </c>
      <c r="E115" s="16">
        <v>188367</v>
      </c>
      <c r="F115" s="13"/>
    </row>
    <row r="116" spans="1:6" ht="18.600000000000001" x14ac:dyDescent="0.3">
      <c r="A116" s="22"/>
      <c r="B116" s="17" t="s">
        <v>97</v>
      </c>
      <c r="C116" s="15" t="s">
        <v>99</v>
      </c>
      <c r="D116" s="10">
        <v>2410</v>
      </c>
      <c r="E116" s="16">
        <v>188367</v>
      </c>
    </row>
    <row r="117" spans="1:6" x14ac:dyDescent="0.3">
      <c r="A117" s="22"/>
      <c r="B117" s="25" t="s">
        <v>122</v>
      </c>
      <c r="C117" s="26"/>
      <c r="D117" s="27"/>
      <c r="E117" s="19">
        <f>SUM(E92+E93+E95+E107+E114+E115)</f>
        <v>1625767</v>
      </c>
    </row>
    <row r="118" spans="1:6" x14ac:dyDescent="0.3">
      <c r="A118" s="60" t="s">
        <v>71</v>
      </c>
      <c r="B118" s="55"/>
      <c r="C118" s="55"/>
      <c r="D118" s="55"/>
      <c r="E118" s="56"/>
    </row>
    <row r="119" spans="1:6" ht="31.2" x14ac:dyDescent="0.3">
      <c r="A119" s="22" t="s">
        <v>49</v>
      </c>
      <c r="B119" s="14" t="s">
        <v>67</v>
      </c>
      <c r="C119" s="15" t="s">
        <v>7</v>
      </c>
      <c r="D119" s="23"/>
      <c r="E119" s="16">
        <v>0</v>
      </c>
    </row>
    <row r="120" spans="1:6" x14ac:dyDescent="0.3">
      <c r="A120" s="22"/>
      <c r="B120" s="14" t="s">
        <v>21</v>
      </c>
      <c r="C120" s="15" t="s">
        <v>7</v>
      </c>
      <c r="D120" s="23"/>
      <c r="E120" s="16">
        <v>0</v>
      </c>
    </row>
    <row r="121" spans="1:6" x14ac:dyDescent="0.3">
      <c r="A121" s="22" t="s">
        <v>72</v>
      </c>
      <c r="B121" s="14" t="s">
        <v>41</v>
      </c>
      <c r="C121" s="15" t="s">
        <v>7</v>
      </c>
      <c r="D121" s="23"/>
      <c r="E121" s="16">
        <v>0</v>
      </c>
    </row>
    <row r="122" spans="1:6" s="13" customFormat="1" x14ac:dyDescent="0.3">
      <c r="A122" s="22" t="s">
        <v>73</v>
      </c>
      <c r="B122" s="14" t="s">
        <v>42</v>
      </c>
      <c r="C122" s="15" t="s">
        <v>7</v>
      </c>
      <c r="D122" s="23"/>
      <c r="E122" s="16">
        <v>0</v>
      </c>
      <c r="F122" s="1"/>
    </row>
    <row r="123" spans="1:6" s="13" customFormat="1" ht="31.2" x14ac:dyDescent="0.3">
      <c r="A123" s="22" t="s">
        <v>74</v>
      </c>
      <c r="B123" s="14" t="s">
        <v>95</v>
      </c>
      <c r="C123" s="15" t="s">
        <v>7</v>
      </c>
      <c r="D123" s="10">
        <v>955</v>
      </c>
      <c r="E123" s="16">
        <v>471773</v>
      </c>
      <c r="F123" s="1"/>
    </row>
    <row r="124" spans="1:6" s="13" customFormat="1" x14ac:dyDescent="0.3">
      <c r="A124" s="22"/>
      <c r="B124" s="14" t="s">
        <v>22</v>
      </c>
      <c r="C124" s="15" t="s">
        <v>7</v>
      </c>
      <c r="D124" s="23">
        <v>113</v>
      </c>
      <c r="E124" s="16">
        <v>228233</v>
      </c>
      <c r="F124" s="1"/>
    </row>
    <row r="125" spans="1:6" s="13" customFormat="1" x14ac:dyDescent="0.3">
      <c r="A125" s="22"/>
      <c r="B125" s="14" t="s">
        <v>23</v>
      </c>
      <c r="C125" s="15" t="s">
        <v>7</v>
      </c>
      <c r="D125" s="10">
        <v>842</v>
      </c>
      <c r="E125" s="16">
        <v>243540</v>
      </c>
      <c r="F125" s="1"/>
    </row>
    <row r="126" spans="1:6" s="13" customFormat="1" x14ac:dyDescent="0.3">
      <c r="A126" s="22" t="s">
        <v>70</v>
      </c>
      <c r="B126" s="14" t="s">
        <v>100</v>
      </c>
      <c r="C126" s="15" t="s">
        <v>7</v>
      </c>
      <c r="D126" s="23"/>
      <c r="E126" s="16"/>
      <c r="F126" s="1"/>
    </row>
    <row r="127" spans="1:6" s="13" customFormat="1" x14ac:dyDescent="0.3">
      <c r="A127" s="22" t="s">
        <v>75</v>
      </c>
      <c r="B127" s="14" t="s">
        <v>68</v>
      </c>
      <c r="C127" s="15" t="s">
        <v>7</v>
      </c>
      <c r="D127" s="23">
        <v>135</v>
      </c>
      <c r="E127" s="16">
        <v>108773</v>
      </c>
      <c r="F127" s="1"/>
    </row>
    <row r="128" spans="1:6" s="13" customFormat="1" ht="15.75" customHeight="1" x14ac:dyDescent="0.3">
      <c r="A128" s="22"/>
      <c r="B128" s="14" t="s">
        <v>101</v>
      </c>
      <c r="C128" s="15" t="s">
        <v>7</v>
      </c>
      <c r="D128" s="23">
        <v>5</v>
      </c>
      <c r="E128" s="16">
        <v>7395</v>
      </c>
      <c r="F128" s="1"/>
    </row>
    <row r="129" spans="1:6" s="13" customFormat="1" x14ac:dyDescent="0.3">
      <c r="A129" s="22"/>
      <c r="B129" s="14" t="s">
        <v>102</v>
      </c>
      <c r="C129" s="15" t="s">
        <v>7</v>
      </c>
      <c r="D129" s="23">
        <v>130</v>
      </c>
      <c r="E129" s="16">
        <v>101378</v>
      </c>
      <c r="F129" s="1"/>
    </row>
    <row r="130" spans="1:6" s="13" customFormat="1" ht="15.75" customHeight="1" x14ac:dyDescent="0.3">
      <c r="A130" s="22" t="s">
        <v>76</v>
      </c>
      <c r="B130" s="14" t="s">
        <v>47</v>
      </c>
      <c r="C130" s="15" t="s">
        <v>10</v>
      </c>
      <c r="D130" s="10">
        <v>2230</v>
      </c>
      <c r="E130" s="16">
        <v>235863</v>
      </c>
    </row>
    <row r="131" spans="1:6" s="13" customFormat="1" ht="15.75" customHeight="1" x14ac:dyDescent="0.3">
      <c r="A131" s="22" t="s">
        <v>77</v>
      </c>
      <c r="B131" s="14" t="s">
        <v>48</v>
      </c>
      <c r="C131" s="15" t="s">
        <v>7</v>
      </c>
      <c r="D131" s="23">
        <v>1</v>
      </c>
      <c r="E131" s="16"/>
    </row>
    <row r="132" spans="1:6" s="13" customFormat="1" x14ac:dyDescent="0.3">
      <c r="A132" s="22" t="s">
        <v>103</v>
      </c>
      <c r="B132" s="14" t="s">
        <v>104</v>
      </c>
      <c r="C132" s="15" t="s">
        <v>11</v>
      </c>
      <c r="D132" s="23">
        <v>800</v>
      </c>
      <c r="E132" s="16">
        <v>407708</v>
      </c>
    </row>
    <row r="133" spans="1:6" s="13" customFormat="1" x14ac:dyDescent="0.3">
      <c r="A133" s="22"/>
      <c r="B133" s="14" t="s">
        <v>105</v>
      </c>
      <c r="C133" s="15" t="s">
        <v>11</v>
      </c>
      <c r="D133" s="23">
        <v>15</v>
      </c>
      <c r="E133" s="16"/>
    </row>
    <row r="134" spans="1:6" ht="17.25" customHeight="1" x14ac:dyDescent="0.3">
      <c r="A134" s="22" t="s">
        <v>106</v>
      </c>
      <c r="B134" s="14" t="s">
        <v>43</v>
      </c>
      <c r="C134" s="15" t="s">
        <v>7</v>
      </c>
      <c r="D134" s="23"/>
      <c r="E134" s="16"/>
      <c r="F134" s="13"/>
    </row>
    <row r="135" spans="1:6" x14ac:dyDescent="0.3">
      <c r="A135" s="22" t="s">
        <v>107</v>
      </c>
      <c r="B135" s="14" t="s">
        <v>44</v>
      </c>
      <c r="C135" s="15" t="s">
        <v>11</v>
      </c>
      <c r="D135" s="23">
        <v>40</v>
      </c>
      <c r="E135" s="16"/>
      <c r="F135" s="13"/>
    </row>
    <row r="136" spans="1:6" ht="15.75" customHeight="1" x14ac:dyDescent="0.3">
      <c r="A136" s="22" t="s">
        <v>108</v>
      </c>
      <c r="B136" s="14" t="s">
        <v>45</v>
      </c>
      <c r="C136" s="15" t="s">
        <v>11</v>
      </c>
      <c r="D136" s="23"/>
      <c r="E136" s="16"/>
      <c r="F136" s="13"/>
    </row>
    <row r="137" spans="1:6" x14ac:dyDescent="0.3">
      <c r="A137" s="22" t="s">
        <v>109</v>
      </c>
      <c r="B137" s="14" t="s">
        <v>65</v>
      </c>
      <c r="C137" s="15" t="s">
        <v>7</v>
      </c>
      <c r="D137" s="23">
        <v>130</v>
      </c>
      <c r="E137" s="16"/>
      <c r="F137" s="13"/>
    </row>
    <row r="138" spans="1:6" x14ac:dyDescent="0.3">
      <c r="A138" s="22" t="s">
        <v>110</v>
      </c>
      <c r="B138" s="14" t="s">
        <v>46</v>
      </c>
      <c r="C138" s="15" t="s">
        <v>7</v>
      </c>
      <c r="D138" s="23">
        <v>70</v>
      </c>
      <c r="E138" s="16"/>
      <c r="F138" s="13"/>
    </row>
    <row r="139" spans="1:6" x14ac:dyDescent="0.3">
      <c r="A139" s="22"/>
      <c r="B139" s="25" t="s">
        <v>126</v>
      </c>
      <c r="C139" s="28"/>
      <c r="D139" s="29"/>
      <c r="E139" s="19">
        <f>SUM(E119+E121+E122+E123+E126+E127+E130+E131+E132+E134+E135+E136+E137+E138)</f>
        <v>1224117</v>
      </c>
      <c r="F139" s="13"/>
    </row>
    <row r="140" spans="1:6" x14ac:dyDescent="0.3">
      <c r="A140" s="22"/>
      <c r="B140" s="55" t="s">
        <v>78</v>
      </c>
      <c r="C140" s="55"/>
      <c r="D140" s="55"/>
      <c r="E140" s="56"/>
      <c r="F140" s="13"/>
    </row>
    <row r="141" spans="1:6" x14ac:dyDescent="0.3">
      <c r="A141" s="22" t="s">
        <v>51</v>
      </c>
      <c r="B141" s="17" t="s">
        <v>50</v>
      </c>
      <c r="C141" s="15" t="s">
        <v>12</v>
      </c>
      <c r="D141" s="23"/>
      <c r="E141" s="30"/>
      <c r="F141" s="13"/>
    </row>
    <row r="142" spans="1:6" x14ac:dyDescent="0.3">
      <c r="A142" s="22"/>
      <c r="B142" s="18" t="s">
        <v>123</v>
      </c>
      <c r="C142" s="15"/>
      <c r="D142" s="23"/>
      <c r="E142" s="30"/>
    </row>
    <row r="143" spans="1:6" ht="15.75" customHeight="1" x14ac:dyDescent="0.3">
      <c r="A143" s="22"/>
      <c r="B143" s="55" t="s">
        <v>79</v>
      </c>
      <c r="C143" s="55"/>
      <c r="D143" s="55"/>
      <c r="E143" s="56"/>
    </row>
    <row r="144" spans="1:6" x14ac:dyDescent="0.3">
      <c r="A144" s="22" t="s">
        <v>59</v>
      </c>
      <c r="B144" s="14" t="s">
        <v>52</v>
      </c>
      <c r="C144" s="15" t="s">
        <v>9</v>
      </c>
      <c r="D144" s="23">
        <v>10</v>
      </c>
      <c r="E144" s="16">
        <v>31201</v>
      </c>
    </row>
    <row r="145" spans="1:5" x14ac:dyDescent="0.3">
      <c r="A145" s="22" t="s">
        <v>60</v>
      </c>
      <c r="B145" s="14" t="s">
        <v>53</v>
      </c>
      <c r="C145" s="15" t="s">
        <v>9</v>
      </c>
      <c r="D145" s="23">
        <v>200</v>
      </c>
      <c r="E145" s="16">
        <v>5121</v>
      </c>
    </row>
    <row r="146" spans="1:5" x14ac:dyDescent="0.3">
      <c r="A146" s="22" t="s">
        <v>61</v>
      </c>
      <c r="B146" s="14" t="s">
        <v>54</v>
      </c>
      <c r="C146" s="15" t="s">
        <v>13</v>
      </c>
      <c r="D146" s="10">
        <v>2510</v>
      </c>
      <c r="E146" s="16">
        <v>243900</v>
      </c>
    </row>
    <row r="147" spans="1:5" x14ac:dyDescent="0.3">
      <c r="A147" s="22" t="s">
        <v>84</v>
      </c>
      <c r="B147" s="14" t="s">
        <v>55</v>
      </c>
      <c r="C147" s="15" t="s">
        <v>14</v>
      </c>
      <c r="D147" s="10"/>
      <c r="E147" s="16">
        <v>5520</v>
      </c>
    </row>
    <row r="148" spans="1:5" x14ac:dyDescent="0.3">
      <c r="A148" s="22" t="s">
        <v>85</v>
      </c>
      <c r="B148" s="14" t="s">
        <v>56</v>
      </c>
      <c r="C148" s="15" t="s">
        <v>14</v>
      </c>
      <c r="D148" s="10"/>
      <c r="E148" s="16">
        <v>12500</v>
      </c>
    </row>
    <row r="149" spans="1:5" x14ac:dyDescent="0.3">
      <c r="A149" s="22" t="s">
        <v>86</v>
      </c>
      <c r="B149" s="14" t="s">
        <v>113</v>
      </c>
      <c r="C149" s="15" t="s">
        <v>15</v>
      </c>
      <c r="D149" s="10"/>
      <c r="E149" s="16">
        <v>12500</v>
      </c>
    </row>
    <row r="150" spans="1:5" x14ac:dyDescent="0.3">
      <c r="A150" s="22" t="s">
        <v>87</v>
      </c>
      <c r="B150" s="14" t="s">
        <v>58</v>
      </c>
      <c r="C150" s="15" t="s">
        <v>15</v>
      </c>
      <c r="D150" s="10"/>
      <c r="E150" s="16"/>
    </row>
    <row r="151" spans="1:5" x14ac:dyDescent="0.3">
      <c r="A151" s="22"/>
      <c r="B151" s="18" t="s">
        <v>124</v>
      </c>
      <c r="C151" s="18"/>
      <c r="D151" s="20"/>
      <c r="E151" s="19">
        <f>SUM(E144:E150)</f>
        <v>310742</v>
      </c>
    </row>
    <row r="152" spans="1:5" x14ac:dyDescent="0.3">
      <c r="A152" s="22"/>
      <c r="B152" s="55" t="s">
        <v>80</v>
      </c>
      <c r="C152" s="55"/>
      <c r="D152" s="55"/>
      <c r="E152" s="56"/>
    </row>
    <row r="153" spans="1:5" x14ac:dyDescent="0.3">
      <c r="A153" s="22" t="s">
        <v>81</v>
      </c>
      <c r="B153" s="14" t="s">
        <v>62</v>
      </c>
      <c r="C153" s="15" t="s">
        <v>16</v>
      </c>
      <c r="D153" s="23"/>
      <c r="E153" s="31">
        <v>0</v>
      </c>
    </row>
    <row r="154" spans="1:5" x14ac:dyDescent="0.3">
      <c r="A154" s="22" t="s">
        <v>82</v>
      </c>
      <c r="B154" s="14" t="s">
        <v>63</v>
      </c>
      <c r="C154" s="15" t="s">
        <v>16</v>
      </c>
      <c r="D154" s="23"/>
      <c r="E154" s="31"/>
    </row>
    <row r="155" spans="1:5" x14ac:dyDescent="0.3">
      <c r="A155" s="22" t="s">
        <v>83</v>
      </c>
      <c r="B155" s="14" t="s">
        <v>64</v>
      </c>
      <c r="C155" s="15" t="s">
        <v>10</v>
      </c>
      <c r="D155" s="23"/>
      <c r="E155" s="31"/>
    </row>
    <row r="156" spans="1:5" x14ac:dyDescent="0.3">
      <c r="A156" s="22"/>
      <c r="B156" s="18" t="s">
        <v>125</v>
      </c>
      <c r="C156" s="15"/>
      <c r="D156" s="23"/>
      <c r="E156" s="32">
        <f>SUM(E153:E155)</f>
        <v>0</v>
      </c>
    </row>
    <row r="157" spans="1:5" x14ac:dyDescent="0.3">
      <c r="A157" s="22"/>
      <c r="B157" s="11" t="s">
        <v>17</v>
      </c>
      <c r="C157" s="11"/>
      <c r="D157" s="20"/>
      <c r="E157" s="32">
        <f>SUM(E117+E139+E142+E151+E156+E90)</f>
        <v>5824898</v>
      </c>
    </row>
    <row r="158" spans="1:5" ht="16.2" thickBot="1" x14ac:dyDescent="0.35">
      <c r="A158" s="33"/>
      <c r="B158" s="12" t="s">
        <v>18</v>
      </c>
      <c r="C158" s="34" t="s">
        <v>15</v>
      </c>
      <c r="D158" s="35"/>
      <c r="E158" s="36">
        <f>560294-1</f>
        <v>560293</v>
      </c>
    </row>
    <row r="159" spans="1:5" ht="16.2" thickBot="1" x14ac:dyDescent="0.35">
      <c r="A159" s="37"/>
      <c r="B159" s="38" t="s">
        <v>111</v>
      </c>
      <c r="C159" s="21"/>
      <c r="D159" s="39"/>
      <c r="E159" s="40">
        <f>SUM(E90+E117+E139+E142+E151+E156+E158)</f>
        <v>6385191</v>
      </c>
    </row>
    <row r="160" spans="1:5" ht="18" thickBot="1" x14ac:dyDescent="0.35">
      <c r="A160" s="37"/>
      <c r="B160" s="41" t="s">
        <v>17</v>
      </c>
      <c r="C160" s="42"/>
      <c r="D160" s="42"/>
      <c r="E160" s="43">
        <f>E87+E159</f>
        <v>11713352</v>
      </c>
    </row>
    <row r="162" spans="1:5" x14ac:dyDescent="0.3">
      <c r="A162" s="48"/>
      <c r="B162" s="13" t="s">
        <v>112</v>
      </c>
      <c r="C162" s="49"/>
      <c r="D162" s="49"/>
      <c r="E162" s="49"/>
    </row>
    <row r="163" spans="1:5" ht="105.6" customHeight="1" x14ac:dyDescent="0.3">
      <c r="A163" s="67" t="s">
        <v>127</v>
      </c>
      <c r="B163" s="67"/>
      <c r="C163" s="67"/>
      <c r="D163" s="67"/>
      <c r="E163" s="67"/>
    </row>
  </sheetData>
  <mergeCells count="19">
    <mergeCell ref="A163:E163"/>
    <mergeCell ref="A118:E118"/>
    <mergeCell ref="B140:E140"/>
    <mergeCell ref="B143:E143"/>
    <mergeCell ref="B152:E152"/>
    <mergeCell ref="D7:E7"/>
    <mergeCell ref="B8:E8"/>
    <mergeCell ref="B9:E9"/>
    <mergeCell ref="B18:E18"/>
    <mergeCell ref="B68:E68"/>
    <mergeCell ref="B11:E11"/>
    <mergeCell ref="A46:E46"/>
    <mergeCell ref="A16:E16"/>
    <mergeCell ref="A15:E15"/>
    <mergeCell ref="B71:E71"/>
    <mergeCell ref="B80:E80"/>
    <mergeCell ref="A88:E88"/>
    <mergeCell ref="A89:E89"/>
    <mergeCell ref="B91:E91"/>
  </mergeCells>
  <pageMargins left="0.94488188976377963" right="0.27559055118110237" top="0.78740157480314965" bottom="0.39370078740157483" header="0.31496062992125984" footer="0.31496062992125984"/>
  <pageSetup paperSize="9" scale="89" firstPageNumber="124" fitToHeight="7" orientation="portrait" useFirstPageNumber="1" r:id="rId1"/>
  <headerFooter>
    <oddHeader>&amp;C&amp;P</oddHeader>
  </headerFooter>
  <rowBreaks count="1" manualBreakCount="1">
    <brk id="8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2.29 (744)</vt:lpstr>
      <vt:lpstr>'Приложение № 2.29 (744)'!Заголовки_для_печати</vt:lpstr>
      <vt:lpstr>'Приложение № 2.29 (744)'!Область_печати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 Оксана Александровна</cp:lastModifiedBy>
  <cp:lastPrinted>2022-12-05T09:40:50Z</cp:lastPrinted>
  <dcterms:created xsi:type="dcterms:W3CDTF">2021-10-19T12:36:47Z</dcterms:created>
  <dcterms:modified xsi:type="dcterms:W3CDTF">2022-12-05T11:24:55Z</dcterms:modified>
</cp:coreProperties>
</file>