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-120" yWindow="-120" windowWidth="29040" windowHeight="15840"/>
  </bookViews>
  <sheets>
    <sheet name="Приложение №2.2 (744)" sheetId="1" r:id="rId1"/>
  </sheets>
  <definedNames>
    <definedName name="_xlnm.Print_Titles" localSheetId="0">'Приложение №2.2 (744)'!$13:$13</definedName>
    <definedName name="_xlnm.Print_Area" localSheetId="0">'Приложение №2.2 (744)'!$A$1:$C$307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5" i="1" l="1"/>
  <c r="C156" i="1" s="1"/>
  <c r="C301" i="1" l="1"/>
  <c r="C303" i="1" l="1"/>
  <c r="C298" i="1"/>
  <c r="C292" i="1"/>
  <c r="C280" i="1"/>
  <c r="C276" i="1"/>
  <c r="C245" i="1"/>
  <c r="C236" i="1"/>
  <c r="C228" i="1"/>
  <c r="C210" i="1"/>
  <c r="C209" i="1"/>
  <c r="C200" i="1"/>
  <c r="C199" i="1"/>
  <c r="C197" i="1"/>
  <c r="C184" i="1"/>
  <c r="C168" i="1"/>
  <c r="C164" i="1"/>
  <c r="C163" i="1"/>
  <c r="C160" i="1"/>
  <c r="C159" i="1"/>
  <c r="C123" i="1"/>
  <c r="C121" i="1"/>
  <c r="C61" i="1"/>
  <c r="C52" i="1"/>
  <c r="C40" i="1"/>
  <c r="C31" i="1"/>
  <c r="C305" i="1" l="1"/>
  <c r="C304" i="1"/>
  <c r="C289" i="1"/>
  <c r="C277" i="1"/>
  <c r="C223" i="1"/>
  <c r="C222" i="1"/>
  <c r="C217" i="1"/>
  <c r="C201" i="1"/>
  <c r="C187" i="1"/>
  <c r="C181" i="1"/>
  <c r="C180" i="1"/>
  <c r="C179" i="1"/>
  <c r="C178" i="1"/>
  <c r="C141" i="1"/>
  <c r="C135" i="1"/>
  <c r="C111" i="1"/>
  <c r="C142" i="1" l="1"/>
  <c r="C82" i="1"/>
  <c r="C83" i="1"/>
  <c r="C57" i="1"/>
  <c r="C55" i="1"/>
  <c r="C54" i="1"/>
  <c r="C53" i="1"/>
  <c r="C84" i="1" l="1"/>
  <c r="C62" i="1"/>
  <c r="C284" i="1" l="1"/>
  <c r="C268" i="1"/>
  <c r="C255" i="1"/>
  <c r="C252" i="1"/>
  <c r="C249" i="1"/>
  <c r="C244" i="1"/>
  <c r="C243" i="1"/>
  <c r="C231" i="1"/>
  <c r="C214" i="1"/>
  <c r="C211" i="1"/>
  <c r="C204" i="1"/>
  <c r="C278" i="1" l="1"/>
  <c r="C290" i="1"/>
  <c r="C196" i="1"/>
  <c r="C195" i="1"/>
  <c r="C192" i="1"/>
  <c r="C188" i="1"/>
  <c r="C171" i="1"/>
  <c r="C167" i="1"/>
  <c r="C162" i="1"/>
  <c r="C161" i="1"/>
  <c r="C139" i="1"/>
  <c r="C134" i="1"/>
  <c r="C104" i="1"/>
  <c r="C95" i="1"/>
  <c r="C93" i="1"/>
  <c r="C89" i="1"/>
  <c r="C87" i="1"/>
  <c r="C86" i="1"/>
  <c r="C71" i="1"/>
  <c r="C48" i="1"/>
  <c r="C47" i="1"/>
  <c r="C46" i="1"/>
  <c r="C43" i="1"/>
  <c r="C42" i="1"/>
  <c r="C41" i="1"/>
  <c r="C39" i="1"/>
  <c r="C29" i="1"/>
  <c r="C202" i="1" l="1"/>
  <c r="C136" i="1"/>
  <c r="C50" i="1"/>
  <c r="C107" i="1"/>
  <c r="C281" i="1"/>
  <c r="C64" i="1"/>
  <c r="C189" i="1"/>
  <c r="C143" i="1" l="1"/>
  <c r="C68" i="1"/>
  <c r="C291" i="1"/>
  <c r="C176" i="1"/>
  <c r="C130" i="1"/>
  <c r="C15" i="1"/>
  <c r="C21" i="1" l="1"/>
  <c r="C165" i="1" l="1"/>
  <c r="C207" i="1"/>
  <c r="C182" i="1"/>
  <c r="C232" i="1" l="1"/>
  <c r="C241" i="1"/>
  <c r="C127" i="1" l="1"/>
  <c r="C259" i="1"/>
  <c r="C118" i="1"/>
  <c r="C124" i="1"/>
  <c r="C256" i="1"/>
  <c r="C250" i="1"/>
  <c r="C246" i="1"/>
  <c r="C169" i="1"/>
  <c r="C44" i="1"/>
  <c r="C226" i="1"/>
  <c r="C218" i="1"/>
  <c r="C102" i="1"/>
  <c r="C212" i="1"/>
  <c r="C91" i="1"/>
  <c r="C79" i="1"/>
  <c r="C190" i="1"/>
  <c r="C185" i="1"/>
  <c r="C59" i="1" l="1"/>
  <c r="C193" i="1"/>
  <c r="C108" i="1" l="1"/>
  <c r="C237" i="1"/>
  <c r="C32" i="1" l="1"/>
  <c r="C274" i="1" l="1"/>
  <c r="C285" i="1" l="1"/>
  <c r="C269" i="1"/>
  <c r="C264" i="1"/>
  <c r="C253" i="1"/>
  <c r="C147" i="1"/>
  <c r="C115" i="1"/>
  <c r="C112" i="1"/>
  <c r="C260" i="1" l="1"/>
  <c r="C131" i="1"/>
  <c r="C35" i="1"/>
  <c r="C148" i="1"/>
  <c r="C229" i="1"/>
  <c r="C265" i="1"/>
  <c r="C270" i="1"/>
  <c r="C233" i="1" l="1"/>
  <c r="C286" i="1" s="1"/>
  <c r="C36" i="1"/>
  <c r="C149" i="1" l="1"/>
  <c r="C23" i="1" l="1"/>
  <c r="C299" i="1"/>
</calcChain>
</file>

<file path=xl/sharedStrings.xml><?xml version="1.0" encoding="utf-8"?>
<sst xmlns="http://schemas.openxmlformats.org/spreadsheetml/2006/main" count="453" uniqueCount="235">
  <si>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</si>
  <si>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</si>
  <si>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>Итого по подстатье 240 240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</si>
  <si>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</si>
  <si>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</si>
  <si>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</si>
  <si>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</si>
  <si>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</si>
  <si>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</si>
  <si>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</si>
  <si>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</si>
  <si>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</si>
  <si>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</si>
  <si>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</si>
  <si>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</si>
  <si>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</si>
  <si>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</si>
  <si>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</si>
  <si>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</si>
  <si>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</si>
  <si>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</si>
  <si>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</si>
  <si>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>Государственная администрация Рыбницкого района и г. Рыбницы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</si>
  <si>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</si>
  <si>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</si>
  <si>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</si>
  <si>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</si>
  <si>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</si>
  <si>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</si>
  <si>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</si>
  <si>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</si>
  <si>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</si>
  <si>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</si>
  <si>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</si>
  <si>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</si>
  <si>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</si>
  <si>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 xml:space="preserve">Создание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крепость", в том числе проектные работы </t>
  </si>
  <si>
    <t>Капитальный ремонт  Дома культуры с. Незавертайловка</t>
  </si>
  <si>
    <t>Восстановление парка Витгенштейна, г. Каменка, в том числе проектные работы</t>
  </si>
  <si>
    <t>Капитальный ремонт санитарных узлов ГУ "Республиканский центр матери и ребенка", расположенного по адресу: г. Тирасполь, ул. 1 Мая, 58,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</si>
  <si>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</si>
  <si>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</si>
  <si>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</si>
  <si>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 xml:space="preserve">Государственная служба исполнения наказаний Министерства юстиции Приднестровской Молдавской Республики </t>
  </si>
  <si>
    <t xml:space="preserve">Следственный комитет Приднестровской Молдавской Республики </t>
  </si>
  <si>
    <t>Секретно</t>
  </si>
  <si>
    <t xml:space="preserve">Государственная служба по спорту Приднестровской Молдавской Республики </t>
  </si>
  <si>
    <t>Капитальный ремонт СВА с. Парканы ГУ "Бендерский центр амбулаторно-поликлинической помощи", расположенного по адресу: с. Парканы, ул. Ленина, 83, в том числе проектные работы</t>
  </si>
  <si>
    <t>Реконструкция объекта "Кицканский плацдарм", в том числе проектные работы</t>
  </si>
  <si>
    <t>Отчисления от единого таможенного платежа в размере 29,92%</t>
  </si>
  <si>
    <t xml:space="preserve">"О республиканском бюджете на 2022 год" </t>
  </si>
  <si>
    <t>1.</t>
  </si>
  <si>
    <t>4.</t>
  </si>
  <si>
    <t>8.</t>
  </si>
  <si>
    <t>2.</t>
  </si>
  <si>
    <t>5.</t>
  </si>
  <si>
    <t>3.</t>
  </si>
  <si>
    <t>6.</t>
  </si>
  <si>
    <t>9.</t>
  </si>
  <si>
    <t>7.</t>
  </si>
  <si>
    <t>Капитальный ремонт Дома культуры с. Фрунзе</t>
  </si>
  <si>
    <t>Итого по модернизации пищевых блоков в образовательных учреждениях Приднестровской Молдавской Республики</t>
  </si>
  <si>
    <t>Приложение № 2.2</t>
  </si>
  <si>
    <t>Благоустройство сквера Авиаторов, г. Тирасполь, в том числе проектные работы</t>
  </si>
  <si>
    <t>Реконструкция летнего кинотеатра г. Слободзеи, в том числе проектные работы</t>
  </si>
  <si>
    <t>Строительство спортивного комплекса в г. Слободзее, в том числе проектные работы</t>
  </si>
  <si>
    <t>Благоустройство центрального парка культуры и отдыха г. Григориополя</t>
  </si>
  <si>
    <t>Установка мачты на территории административного здания, расположенного по адресу: г. Слободзея, ул. Фрунзе, 17</t>
  </si>
  <si>
    <t>Реконструкция гребной базы МОУ ДО "Григориопольская ДЮСШ", в том числе проектные работы</t>
  </si>
  <si>
    <t>Капитальный ремонт парка "Октябрьский" в г. Бендеры, в том числе проектные работы</t>
  </si>
  <si>
    <t>Капитальный ремонт МОУ "Григориопольская русско-молдавская общеобразовательная средняя школа с. Красная Горка", в том числе проектные работы</t>
  </si>
  <si>
    <t>Капитальный ремонт МДОУ "Детский сад "Мэрцишорий", с. Бутор</t>
  </si>
  <si>
    <t>Капитальный ремонт зданий в ГУП ОК"Днестровские зори"</t>
  </si>
  <si>
    <t>Капитальный ремонт Дома официальных приемов (литера Ц), расположенного по адресу: г. Тирасполь, ул. Мира, 50</t>
  </si>
  <si>
    <t>Приобретение бамперных машин и аккумуляторов для детского аттракциона "Электромобили" для городского парка им. Кирова в г. Рыбнице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</si>
  <si>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</si>
  <si>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</si>
  <si>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</si>
  <si>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</si>
  <si>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</si>
  <si>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</si>
  <si>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</si>
  <si>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</si>
  <si>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</si>
  <si>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</si>
  <si>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</si>
  <si>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</si>
  <si>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</si>
  <si>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</si>
  <si>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ОСТАТКИ по состоянию на 01.01.2022 г. ВСЕГО, в том числе:</t>
  </si>
  <si>
    <t>Отчисления от единого таможенного платежа</t>
  </si>
  <si>
    <t>Отчисления от единого социального налога</t>
  </si>
  <si>
    <t>Прочие поступления</t>
  </si>
  <si>
    <t>Реконструкция стадиона, расположенного на прилегающей территории к МОУ "ТСШГК № 18"</t>
  </si>
  <si>
    <t>Реконструкция центральной части г. Слободзеи (парк молодоженов), в том числе проектные работы (кредиторская задолженность за 2021 год)</t>
  </si>
  <si>
    <t>Министерство финансов Приднестровской Молдавской Республики</t>
  </si>
  <si>
    <t>Строительство баскетбольного поля на территории  МОУ "Григориопольская ОСШ им. Стоева с лицейскими классами № 2", корпус 3, в том числе проектные работы</t>
  </si>
  <si>
    <t>Капитальный ремонт МОУ "БСОШ №17", мкр "Северный",  г. Бендеры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</si>
  <si>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                                                на 2022 год</t>
  </si>
  <si>
    <t>Создание Государственного историко-краеведческого музея (в составе Екатерининского парка в городе Тирасполе) (1 этап), в том числе проектные работы</t>
  </si>
  <si>
    <t>Строительство детского аттракциона "Электромобили" на территории городского парка им. Кирова в г. Рыбнице</t>
  </si>
  <si>
    <t>Завершение строительства здания МОУ "Рыбницкая русская средняя образовательная школа № 6 с лицейскими классами", расположенного по адресу:                                             г. Рыбница, ул. Кирова, 134, в том числе проектные работы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</si>
  <si>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</si>
  <si>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Строительство очистных сооружений для МДОУ "Детский сад "Березонька",                                                   с. Парканы, в том числе проектные работы</t>
  </si>
  <si>
    <t xml:space="preserve"> Капитальный ремонт Мемориального музея Бендерской трагедии, ул. Советская, в том числе проектные работы</t>
  </si>
  <si>
    <t>Капитальный ремонт спорткомплекса МОУ ДО "Григориопольская ДЮСШ",                                                   г. Григориополь</t>
  </si>
  <si>
    <t>Капитальный ремонт здания № 6, казарма, военный городок № 17, г. Бендеры</t>
  </si>
  <si>
    <t>Капитальный ремонт административного  здания, расположенного по адресу:                                                   г. Тирасполь, ул. Манойлова, 42</t>
  </si>
  <si>
    <t>Государственная служба управления документацией и архивами                                                            Приднестровской Молдавской Республики</t>
  </si>
  <si>
    <t>Погашение кредиторской задолженности по состоянию на 1 января 2022 года (подстатья 110360)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</si>
  <si>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(подстатья 110360)</t>
  </si>
  <si>
    <t>Погашение кредиторской задолженности по состоянию на 1 января 2022 года (подстатья 111020)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</si>
  <si>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(подстатья 111020)</t>
  </si>
  <si>
    <t>Погашение кредиторской задолженности по состоянию на 1 января 2022 года (статья 240120)</t>
  </si>
  <si>
    <t>Полное исполнение договорных обязательств 2021 года, образовавшихся в рамках реализации мероприятий Программы развития материально-технической базы Фонда капитальных вложений за 2021 год (статья 240120)</t>
  </si>
  <si>
    <t>Приобретение 2 (двух) единиц транспортных средств</t>
  </si>
  <si>
    <t>Благоустройство (мощение плиткой) МДОУ «Звездочка», Григориопольский район, с. Красная Горка</t>
  </si>
  <si>
    <t>Благоустройство (мощение плиткой)  МОУ "Ержовская средняя общеобразовательная школа"</t>
  </si>
  <si>
    <t>Строительство централизованного водоснабжения 3-4 района с. Красненькое Рыбницкого района</t>
  </si>
  <si>
    <t>Приобретение офисной мебели и кондиционеров для административного  здания, расположенного по адресу: г. Тирасполь, ул. Манойлова, 42</t>
  </si>
  <si>
    <t>ВСЕГО расходов по Фонду капитальных вложений Приднестровской Молдавской Республики</t>
  </si>
  <si>
    <t>Благоустройство (мощение плиткой) территории МОУ «Бендерский детский сад № 43», г. Бендеры, ул. 40 лет Победы, 41</t>
  </si>
  <si>
    <t xml:space="preserve">Благоустройство (мощение плиткой) территории МОУ «Бендерский детский сад № 7», г. Бендеры, ул. Коммунистическая, 54 </t>
  </si>
  <si>
    <t>Благоустройство (мощение плиткой) территории МОУ «Бендерский детский сад № 35», г. Бендеры, ул. Ленинградская, 40</t>
  </si>
  <si>
    <t>Благоустройство (мощение плиткой) территории МДОУ "Рыбницкий центр развития ребенка № 3"</t>
  </si>
  <si>
    <t>Благоустройство (мощение плиткой) территории МДОУ "Рыбницкий детский сад № 18 комбинированного вида"</t>
  </si>
  <si>
    <t>Благоустройство (мощение плиткой) территории МДОУ "Рыбницкий детский сад № 17 комбинированного вида"</t>
  </si>
  <si>
    <t>Благоустройство (мощение плиткой) территории МОУ "Рыбницкая прогимназия № 1"</t>
  </si>
  <si>
    <t>Благоустройство (мощение плиткой) территории МДОУ "Рыбницкий детский сад № 15 комбинированного вида"</t>
  </si>
  <si>
    <t>Благоустройство (мощение плиткой) территории МДОУ № 3 "Теремок", расположенного по адресу г. Днестровск, ул. Терпиловского, 2а</t>
  </si>
  <si>
    <t>Капитальный ремонт здания № 3, казарма, военный городок № 17, г. Бендеры</t>
  </si>
  <si>
    <t>"О внесении изменений и дополнений</t>
  </si>
  <si>
    <t>"О республиканском бюджете на 2022 год"</t>
  </si>
  <si>
    <t>к Закону Приднестровской Молдавской Республики</t>
  </si>
  <si>
    <t>в Закон Приднестровской Молдавской Республики</t>
  </si>
  <si>
    <t>Приобретение оборудования и мебели для ГОУ ДО "Республиканская спортивная детско-юношеская школа олимпийского резерва футбола", расположенного по адресу: с. Чобручи, ул. С.Лазо, 32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</si>
  <si>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расположенного по адресу: г. Рыбница, ул. Грибоедова, 3, в том числе проектные работы</t>
  </si>
  <si>
    <t>Строительство крытой подъездной эстакады ГУ "Каменская центральная районная больница", расположенного по адресу: г. Каменка, ул. Кирова, 300б, в том числе проектные работы</t>
  </si>
  <si>
    <t>Строительство пристройки к зданию корпуса ГУ "Тираспольский психоневрологический дом-интернат", расположенного по адресу: г. Тирасполь, ул. Гвардейская, 9, в том числе проектные работы</t>
  </si>
  <si>
    <t>Строительство здания в ГУ "Бендерский психоневрологический дом-интернат", расположенного по адресу: г. Бендеры, ул. Пионерская, 15, в том чиле проектные работы</t>
  </si>
  <si>
    <t>Асфальтирование (мощение плиткой) дворовой территории МОУ "ТСШ № 5" (перед главным входом в образовательное учреждение), расположенного по адресу: г. Тирасполь, ул. Краснодонская, 62</t>
  </si>
  <si>
    <t>Строительство демонстрационного вольера для декоративных птиц на территории Екатерининского парка в городе Тирасполе</t>
  </si>
  <si>
    <t>Строительство здания раздевалки сельского стадиона, расположенного по адресу: с. Чобручи, ул. С. Лазо, д. 32 (кредиторская задолженность за 2021 год)</t>
  </si>
  <si>
    <t>Благоустройство (мощение плиткой) территории МОУ "Ближнехуторская СОШ", расположенного по адресу: с. Ближний Хутор, ул. Октябрьская, 125</t>
  </si>
  <si>
    <t>Благоустройство (мощение плиткой) территории МДОУ "Детский сад "Теремок", расположенного по адресу: с. Чобручи, ул. Школьная, 15</t>
  </si>
  <si>
    <t xml:space="preserve">Благоустройство (мощение плиткой) территории МОУ «Детский сад   комбинированного вида № 13 «Радуга», расположенного по адресу: г. Дубоссары, ул. Петровского, 7 </t>
  </si>
  <si>
    <t xml:space="preserve">Создание парка энергетиков, г. Дубоссары, в том числе проектные работы </t>
  </si>
  <si>
    <t>Строительство мини-футбольного поля в городе Рыбнице, ул. Юбилейная, 33а</t>
  </si>
  <si>
    <t>Благоустройство (мощение плиткой) территории МОУ "Окницкая ООШ – детский сад", расположенного по адресу: с. Окница, ул. Шевченко, 70</t>
  </si>
  <si>
    <t>Благоустройство (мощение плиткой) территории МОУ "Подоймская ОСШ – детский сад", расположенного по адресу: с. Подойма, ул. Ленина, 94</t>
  </si>
  <si>
    <t>Реконструкция  Учреждения исполнения наказаний № 2, расположенного по адресу: г. Тирасполь, Гребеницкий проезд, 18</t>
  </si>
  <si>
    <t>Реконструкция Учреждения исполнения наказаний № 3, расположенного по адресу: г. Тирасполь, ул. Лазо, 7</t>
  </si>
  <si>
    <t>Реконструкция "Тюрьма-1", Григориопольский район, расположенного по адресу: с. Глиное, ул. Микояна, 62</t>
  </si>
  <si>
    <t>Разработка и экспертиза проектно-сметной документации по строительству зданий и сооружений (в том числе кредиторская задолженность за 2021 год в сумме     36 661 руб.)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</si>
  <si>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расположенного по адресу: г. Рыбница, ул. Грибоедова, 3, в том числе проектные работы</t>
  </si>
  <si>
    <t>Капитальные вложения в строительство коммунальных объектов (240250)</t>
  </si>
  <si>
    <t>Капитальный ремонт помещений скорой медицинской помощи, приемного отделения ГУ "Каменская центральная районная больница", расположенного по адресу: г. Каменка, ул. Кирова, 300б, в том числе проектные работы</t>
  </si>
  <si>
    <t>Капитальный ремонт  ГОУ "Бендерская специальная (коррекционная) общеобразовательная школа-интернат III, IV, VII видов", расположенного по адресу: г. Бендеры, ул. 12 Октября, 81в</t>
  </si>
  <si>
    <t>Капитальный ремонт ГУ "Республиканский специализированный дом ребенка", расположенного по адресу: г. Тирасполь, ул. 1 Мая, 26</t>
  </si>
  <si>
    <t>Капитальный ремонт комплекса строений учебного корпуса ГОУ СПО "Дубоссарский индустриальный техникум", расположенного по адресу: г. Дубоссары, ул. Энергетиков, 7, в том числе проектные работы</t>
  </si>
  <si>
    <t>Капитальный ремонт ГОУ СПО "Бендерский торгово-технологический техникум", расположенного по адресу: г.Бендеры, ул.Тимирязева, 5, в том числе проектные работы</t>
  </si>
  <si>
    <t>Капитальный ремонт ГОУ СПО "Промышленно-строительный техникум", расположенного по адресу: г.Тирасполь, ул. Христо Ботева, 24, в том числе проектные работы</t>
  </si>
  <si>
    <t>Капитальный ремонт  ГОУ СПО " Тираспольский аграрно-технический колледж                                                   им. М. Фрунзе", расположенного по адресу: г. Тирасполь, пгт. Новотираспольский, ул. Советская, 14, в том числе проектные работы</t>
  </si>
  <si>
    <t xml:space="preserve"> Капитальный ремонт МОУ "БСОШ №5", расположенного по адресу:  г. Бендеры, ул. Пушкина, 10</t>
  </si>
  <si>
    <t xml:space="preserve"> Капитальный ремонт МДОУ "Бендерский детский сад № 47",  расположенного по адресу: г. Бендеры, ул. Школьная, 6</t>
  </si>
  <si>
    <t>Капитальный ремонт МОУ "Бендерский детский сад № 26", расположенного по адресу: мкр "Северный", г. Бендеры, в том числе проектные работы</t>
  </si>
  <si>
    <t>Капитальный ремонт МОУ "Парканская ООШ №3 им. А. Ф. Романенко", расположенного по адресу: с. Парканы, ул. Романенко, 27а</t>
  </si>
  <si>
    <t>Капитальный ремонт МОУ "Слободзейский ТЛК им. П. К. Спельник", расположенного по адресу: г. Слободзея, ул. Ленина, 156</t>
  </si>
  <si>
    <t>Капитальный ремонт  МОУ "Детский сад общеразвивающего вида № 12 "Стелуца", расположенного по адресу: г. Дубоссары, ул. Шевцовой, 5</t>
  </si>
  <si>
    <t>Капитальный ремонт спортивного центра для людей с ограниченными возможностями, расположенного по адресу: г. Дубоссары, ул. Ленина, 112</t>
  </si>
  <si>
    <t>Капитальный ремонт летней эстрадной площадки в городском парке им. Кирова в г. Рыбнице</t>
  </si>
  <si>
    <t xml:space="preserve">Капитальный ремонт МОУ "Рыбницкая русская средняя общеобразовательная школа № 10 с гимназическими классами", расположенного по адресу: г. Рыбница, ул. Вальченко, 15, в том числе благоустройство территории </t>
  </si>
  <si>
    <t>Капитальный ремонт пищеблока МДОУ "Центр развития ребенка", расположенного по адресу: г. Каменка, ул. Садовая, 3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</si>
  <si>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</si>
  <si>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кровли здания СВПЧ-9 МВД ПМР, расположенного по адресу: г. Григориополь, мкр Делакэу, ул. Б. Главана, 3</t>
  </si>
  <si>
    <t xml:space="preserve">Капитальный ремонт административного здания Министерства юстиции, расположенного по адресу: г. Тирасполь,  ул. Ленина, 46 </t>
  </si>
  <si>
    <t>Приобретение оборудования для тренажерного зала МУ "Спорткомплекс "Юбилейный", расположенного по адресу: г. Рыбница, ул. Юбилейная, 33а</t>
  </si>
  <si>
    <r>
      <t xml:space="preserve">Государственная администрация г. Бендеры
</t>
    </r>
    <r>
      <rPr>
        <sz val="12"/>
        <rFont val="Times New Roman"/>
        <family val="1"/>
        <charset val="204"/>
      </rPr>
      <t>(приобретение непроизводственного оборудования и предметов длительного пользования для государственных учреждений (240120))</t>
    </r>
  </si>
  <si>
    <t>Полное исполнение договорных обязательств 2020 года по содержанию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эксертизы жизнеспособности), образовавшихся в рамках реализации мероприятий Программы развития материально-технической базы Фонда капитальных вложений за 2021 год  (подстатья 110350)</t>
  </si>
  <si>
    <t>Реконструкция акушерско-гинекологического стационара ГУ "Бендерский центр матери и ребенка", расположенного по адресу: г. Бендеры, ул.  Протягайловская, 6, в том числе проектные работы</t>
  </si>
  <si>
    <t>Реконструкция поликлиники ГУ "Григориопольская центральная районная больница", расположенного по адресу: г. Григориополь, ул. Дзержинского, 34, в том числе проектные работы и благоустройство</t>
  </si>
  <si>
    <t>Благоустройство территории, прилегающей к филиалу поликлиники № 3, расположенного по адресу: г. Тирасполь, ул. Зелинского, 3/1</t>
  </si>
  <si>
    <t>Реконструкция здания Управления Следственного комитета г. Дубоссары и Дубоссарского района, расположенного по адресу: г. Дубоссары, ул. Дзержинского, 4а</t>
  </si>
  <si>
    <t>Реконструкция административного здания налоговой инспекции, расположенного по адресу: г. Бендеры, ул. Московская, 17</t>
  </si>
  <si>
    <t xml:space="preserve">Капитальный ремонт Дома культуры, расположенного по адресу: Каменский район, с. Подойма, ул. Ленина, 92 (в том числе кредиторская задолженность за 2021 год в сумме 69 665 руб.) </t>
  </si>
  <si>
    <t>Капитальный ремонт (монтаж театральных кресел, театральной гарнитуры, оборудования и др.) Дома культуры, расположенного по адресу: с. Катериновка, Каменский район (кредиторская задолженность за 2020 год)</t>
  </si>
  <si>
    <t>Капитальный ремонт здания прокуратуры г. Бендеры, расположенного по адресу: г. Бендеры, ул. Пушкина, 71</t>
  </si>
  <si>
    <t>Приложение № 3</t>
  </si>
  <si>
    <t>Строительство новой трассы водоснабжения к ГОУ СПО «Училище олимпийского резерва»</t>
  </si>
  <si>
    <t>Капитальный ремонт школьного стадиона МОУ "Краснянская СОШ",  расположенного по адресу: пос. Красное, ул. Школьная, 1</t>
  </si>
  <si>
    <t>Увеличение финансирования расходов по Фонду государственного резерва Приднестровской Молдавской Республики на формирование и пополнение государственного материального резерва</t>
  </si>
  <si>
    <t>Приобретение оборудования для МОУ "Рыбницкая русская средняя общеобразовательная школа № 10 с гимназическими классами", расположенного по адресу: г. Рыбница, ул. Вальченко, 15</t>
  </si>
  <si>
    <t>Увеличение финансирования расходов Центральной избирательной комиссии Приднестровской Молдавской Республики на финансирование капитального ремонта и приобретение оборудования и предметов длительного пользования</t>
  </si>
  <si>
    <t xml:space="preserve">Капитальный ремонт МОУ"Катериновская  ОСШ  им. А. С. Пушкина", расположенного по адресу: с. Катериновка, ул. Приходского, 16 </t>
  </si>
  <si>
    <t>Капитальный ремонт ГУ "Дубоссарская центральная районная больница", расположенная по адресу: г.Дубоссары, ул. Фрунзе, 46</t>
  </si>
  <si>
    <t>Итого по подстатье 240310</t>
  </si>
  <si>
    <t>Капитальный ремонт жилого фонда (240310)</t>
  </si>
  <si>
    <t>Строительство нового хирургического корпуса ГУ "Республиканская клиническая больница", расположенного по адресу: г. Тирасполь, ул. Мира, 33, в том числе проектные работы</t>
  </si>
  <si>
    <t>Строительство нового здания для ГУ "Республиканский реабилитационный центр для детей-инвалидов" в городе Бендеры на территории с. Гиска,                                                 ул. Студенческая, в том числе проектные работы</t>
  </si>
  <si>
    <t>Реконструкция стадиона МОУ "ТСШ №  5" (1 этап), расположенного по адресу:                                           г. Тирасполь, ул. Краснодонская, 62, в том числе проектные работы</t>
  </si>
  <si>
    <t>Благоустройство (мощение плиткой) территории МОУ "Первомайская                                                      СОШ № 1", расположенного по адресу: п. Первомайск, ул. Садовая, 4</t>
  </si>
  <si>
    <t>Благоустройство (мощение плиткой) территории МОУ "Слободзейская                                                      СОШ № 1", расположенного по адресу: г. Слободзея, ул. Ленина, 80</t>
  </si>
  <si>
    <t xml:space="preserve">Благоустройство (мощение плиткой) территории МОУ "Детский сад   комбинированного вида № 13 "Радуга", расположенного по адресу: г. Дубоссары, ул. Петровского, 7 </t>
  </si>
  <si>
    <t>Реконструкция картодрома, расположенного по адресу: г. Григориополь,                                                     ул. Васканова, в том числе проектные работы</t>
  </si>
  <si>
    <t>Реконструкция Учреждения исполнения наказаний № 1, Григориопольский район,  расположенного по адресу: с. Глиное, ул. Микояна, 60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</si>
  <si>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г. Тирасполь, ул. Текстильщиков, 36</t>
  </si>
  <si>
    <t>Реконструкция котельной МУ "Центр дневного пребывания для детей с ограниченными возможностями жизнедеятельности", расположенного по адресу: с. Чобручи, ул. Гагарина, 1</t>
  </si>
  <si>
    <t>Капитальный ремонт СВА, Коротное, ГУЗ "Днестровская городская больница", расположенного по адресу: с. Коротное, ул. Фрунзе, 5б, в том числе проектные работы и благоустройство территории</t>
  </si>
  <si>
    <t>Капитальный ремонт главного корпуса ГОУ "Днестровский техникум энергетики и компьютерных технологий", расположенного по адресу: г. Днестровск,                                          ул. Строителей, 38</t>
  </si>
  <si>
    <t>Капитальный ремонт МДОУ №5 "Золушка", расположенного по адресу:                             г. Тирасполь, ул. Сакриера, 61</t>
  </si>
  <si>
    <t>Капитальный ремонт МДОУ №37 "Ивушка", расположенного по адресу:                          г. Тирасполь, ул. Комсомольская, 1/1, в том числе благоустройство территории</t>
  </si>
  <si>
    <t>Капитальный ремонт МСКОУ № 44, расположенного по адресу: г. Тирасполь,                                             ул. Советская, 126а, в том числе благоустройство территории</t>
  </si>
  <si>
    <t>Капитальный ремонт МСКОУ № 2, расположенного по адресу: г. Тирасполь,                                               пер. Труда, 2а, в том числе благоустройство территории</t>
  </si>
  <si>
    <t>Капитальный ремонт МОУ "Терновская РМСОШ", расположенного по адресу:                                            с. Терновка, ул. Ленина, 52а</t>
  </si>
  <si>
    <t>Капитальный ремонт МДОУ "Детский сад "Лучик", расположенного по адресу:                                       г. Слободзея, ул. Солнечная, 31</t>
  </si>
  <si>
    <t>Капитальный ремонт МОУ "Детский сад общеразвивающего вида № 5 "Ласточка",  расположенного по адресу: г. Дубосары, мкр Коржево,                                         ул. Маяковского, 10</t>
  </si>
  <si>
    <t>Капитальный ремонт спортивной площадки на территории МОУ "Рыбницкая  средняя общеобразовательная школа – интернат", расположенного по адресу:                                          г. Рыбница, ул. Маяковского, 41</t>
  </si>
  <si>
    <t xml:space="preserve">Капитальный ремонт МУДО ДЮСШ, расположенного по адресу: г. Рыбница,                                             ул. Горького, 1 </t>
  </si>
  <si>
    <t>Капитальный ремонт МОУ "Рашковская ОСШ – детский сад им.                               Ф. И. Жарчинского", расположенного по адресу: с. Рашков, ул. Ленина, 130</t>
  </si>
  <si>
    <t>Капитальный ремонт административного здания УГАИ, г. Бендеры,                                                          ул. Тимирязева, 2а, в том числе проектные работы (переходящий)</t>
  </si>
  <si>
    <t>Капитальный ремонт поликлиники МГБ ПМР, расположенной по адресу:                                                      г. Тирасполь, ул. Мира, 27</t>
  </si>
  <si>
    <t>Капитальный ремонт здания, расположенного по адресу: г. Тирасполь,                                                        ул. Свердлова, 57</t>
  </si>
  <si>
    <t>Министерство сельского хозяйства и природных ресурсов                                                                 Приднестровской Молдавской Республики</t>
  </si>
  <si>
    <t>Разработка и экспертиза проектно-сметной документации по капитальному ремонту зданий и сооружений (в том числе кредиторская задолженность                                            за 2021 год в сумме 23 784 руб.)</t>
  </si>
  <si>
    <t>Приобретение оборудования и мебели для оснащения  административного здания университета (корпус № 1А) ГОУ "Приднестровский государственный университет им. Т. Г. Шевченко", расположенного по адресу: г. Тирасполь,                                                                      ул. 25 Октября, 107</t>
  </si>
  <si>
    <t>Приобретение мебели, оборудования, оргтехники, оборудования и аксессуаров для экспозиций, выставочных экспонатов для оснащения мемориального музея Бендерской трагедии по ул. Советской</t>
  </si>
  <si>
    <t>Модернизация пищевых блоков в образовательных учреждениях                                                       Приднестровской Молдавской Республики</t>
  </si>
  <si>
    <t>Направление средств на финансирование социально защищенных статей расходов в связи с введением чрезвычайного экономического положения                                            в 2022 году</t>
  </si>
  <si>
    <t>Увеличение финансирования Государственной программы исполнения наказов избирателей на сумму не освоенных в 2021 году средств за счет остатков средств на счетах республиканского бюджета, сложившихся по состоянию на 1 января 2022 года</t>
  </si>
  <si>
    <t>Увеличение финансирования расходов на частичное погашение внутреннего государственного долга, по целевому беспроцентному займу, полученному                                             в 2016 году</t>
  </si>
  <si>
    <t>Увеличение финансирования расходов Министерства внутренних дел Приднестровской Молдавской Республики, связанных с развитием системы экстренного оповещения при чрезвычайных ситуациях в рамках системы "Безопасный город"</t>
  </si>
  <si>
    <t>Капитальный ремонт городского стадиона, расположенного по адресу:                          г. Днестровск, ул. Строителей, в том числе проектные работы</t>
  </si>
  <si>
    <t>Проведение комплекса работ по полной реконструкции внутридомовых сетей электроснабжения с разделением индивидуальных приборов учета абонентов, с разработкой новой проектно-технической документации, электрических испытаний, ремонт кровли здания общежития, расположенного по адресу:                                             г. Тирасполь, пр. Магистральный, 12, блок Б</t>
  </si>
  <si>
    <t xml:space="preserve">Капитальный ремонт корпуса "А" расположенного по адресу:  г. Тирасполь,                                                 ул. 25 Октября, 107 и корпуса "Б" расположенного по адресу:  г. Тирасполь,                                           ул. 25 Октября, 128, ГОУ "Приднестровский государственный университет                                                                       им. Т. Г. Шевченко", в том числе проектные работы
</t>
  </si>
  <si>
    <t>Капитальный ремонт зданий УБЭПиК и УУР, расположенных по адресу:                                                     г. Тирасполь, ул. К. Либкнехта, 167, в том числе проектные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</si>
</sst>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wrapText="1"/>
    </xf>
    <xf numFmtId="3" fontId="8" fillId="3" borderId="0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justify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306"/>
  <sheetViews>
    <sheetView tabSelected="1" view="pageBreakPreview" zoomScale="75" zoomScaleNormal="90" zoomScaleSheetLayoutView="75" workbookViewId="0">
      <pane xSplit="3" ySplit="13" topLeftCell="D235" activePane="bottomRight" state="frozenSplit"/>
      <selection pane="topRight" activeCell="C1" sqref="C1"/>
      <selection pane="bottomLeft" activeCell="A8" sqref="A8"/>
      <selection pane="bottomRight" activeCell="B243" sqref="B243"/>
    </sheetView>
  </sheetViews>
  <sheetFormatPr defaultColWidth="8.6640625" defaultRowHeight="15.6" x14ac:dyDescent="0.3"/>
  <cols>
    <col min="1" max="1" width="4.109375" style="1" bestFit="1" customWidth="1"/>
    <col min="2" max="2" width="75.5546875" style="1" customWidth="1"/>
    <col min="3" max="3" width="14.77734375" style="2" customWidth="1"/>
    <col min="4" max="4" width="12.44140625" style="1" bestFit="1" customWidth="1"/>
    <col min="5" max="16384" width="8.6640625" style="1"/>
  </cols>
  <sheetData>
    <row r="1" spans="1:7" x14ac:dyDescent="0.3">
      <c r="A1" s="37"/>
      <c r="B1" s="38"/>
      <c r="C1" s="39" t="s">
        <v>187</v>
      </c>
      <c r="E1" s="36"/>
      <c r="F1" s="36"/>
      <c r="G1" s="36"/>
    </row>
    <row r="2" spans="1:7" x14ac:dyDescent="0.3">
      <c r="A2" s="37"/>
      <c r="B2" s="38"/>
      <c r="C2" s="39" t="s">
        <v>133</v>
      </c>
      <c r="E2" s="36"/>
      <c r="F2" s="36"/>
      <c r="G2" s="36"/>
    </row>
    <row r="3" spans="1:7" x14ac:dyDescent="0.3">
      <c r="A3" s="37"/>
      <c r="B3" s="38"/>
      <c r="C3" s="39" t="s">
        <v>131</v>
      </c>
      <c r="E3" s="36"/>
      <c r="F3" s="36"/>
      <c r="G3" s="36"/>
    </row>
    <row r="4" spans="1:7" x14ac:dyDescent="0.3">
      <c r="A4" s="37"/>
      <c r="B4" s="38"/>
      <c r="C4" s="39" t="s">
        <v>134</v>
      </c>
      <c r="E4" s="36"/>
      <c r="F4" s="36"/>
      <c r="G4" s="36"/>
    </row>
    <row r="5" spans="1:7" x14ac:dyDescent="0.3">
      <c r="A5" s="37"/>
      <c r="B5" s="38"/>
      <c r="C5" s="39" t="s">
        <v>132</v>
      </c>
      <c r="E5" s="36"/>
      <c r="F5" s="36"/>
      <c r="G5" s="36"/>
    </row>
    <row r="6" spans="1:7" x14ac:dyDescent="0.3">
      <c r="A6" s="37"/>
      <c r="B6" s="37"/>
      <c r="C6" s="4"/>
    </row>
    <row r="7" spans="1:7" x14ac:dyDescent="0.3">
      <c r="A7" s="2"/>
      <c r="B7" s="63" t="s">
        <v>62</v>
      </c>
      <c r="C7" s="63"/>
      <c r="D7" s="3"/>
    </row>
    <row r="8" spans="1:7" x14ac:dyDescent="0.3">
      <c r="A8" s="2"/>
      <c r="B8" s="63" t="s">
        <v>133</v>
      </c>
      <c r="C8" s="63"/>
      <c r="D8" s="3"/>
    </row>
    <row r="9" spans="1:7" x14ac:dyDescent="0.3">
      <c r="A9" s="4"/>
      <c r="B9" s="70" t="s">
        <v>50</v>
      </c>
      <c r="C9" s="70"/>
      <c r="D9" s="5"/>
    </row>
    <row r="10" spans="1:7" x14ac:dyDescent="0.3">
      <c r="A10" s="4"/>
      <c r="B10" s="4"/>
      <c r="C10" s="4"/>
    </row>
    <row r="11" spans="1:7" ht="49.5" customHeight="1" x14ac:dyDescent="0.3">
      <c r="A11" s="68" t="s">
        <v>98</v>
      </c>
      <c r="B11" s="68"/>
      <c r="C11" s="68"/>
    </row>
    <row r="12" spans="1:7" ht="16.2" thickBot="1" x14ac:dyDescent="0.35">
      <c r="A12" s="69"/>
      <c r="B12" s="69"/>
      <c r="C12" s="69"/>
    </row>
    <row r="13" spans="1:7" ht="47.4" thickBot="1" x14ac:dyDescent="0.35">
      <c r="A13" s="24" t="s">
        <v>12</v>
      </c>
      <c r="B13" s="25" t="s">
        <v>13</v>
      </c>
      <c r="C13" s="26" t="s">
        <v>21</v>
      </c>
    </row>
    <row r="14" spans="1:7" ht="2.25" customHeight="1" x14ac:dyDescent="0.3">
      <c r="A14" s="28"/>
      <c r="B14" s="29"/>
      <c r="C14" s="30"/>
    </row>
    <row r="15" spans="1:7" ht="15.75" customHeight="1" x14ac:dyDescent="0.3">
      <c r="A15" s="64" t="s">
        <v>89</v>
      </c>
      <c r="B15" s="65"/>
      <c r="C15" s="23">
        <f>SUM(C16:C18)</f>
        <v>84054539</v>
      </c>
      <c r="D15" s="9"/>
    </row>
    <row r="16" spans="1:7" s="10" customFormat="1" x14ac:dyDescent="0.3">
      <c r="A16" s="32" t="s">
        <v>51</v>
      </c>
      <c r="B16" s="6" t="s">
        <v>90</v>
      </c>
      <c r="C16" s="7">
        <v>73326605</v>
      </c>
    </row>
    <row r="17" spans="1:4" s="10" customFormat="1" x14ac:dyDescent="0.3">
      <c r="A17" s="32" t="s">
        <v>54</v>
      </c>
      <c r="B17" s="6" t="s">
        <v>91</v>
      </c>
      <c r="C17" s="7">
        <v>10347405</v>
      </c>
    </row>
    <row r="18" spans="1:4" s="10" customFormat="1" x14ac:dyDescent="0.3">
      <c r="A18" s="32" t="s">
        <v>56</v>
      </c>
      <c r="B18" s="6" t="s">
        <v>92</v>
      </c>
      <c r="C18" s="7">
        <v>380529</v>
      </c>
    </row>
    <row r="19" spans="1:4" ht="4.8" customHeight="1" x14ac:dyDescent="0.3">
      <c r="A19" s="31"/>
      <c r="B19" s="12"/>
      <c r="C19" s="8"/>
    </row>
    <row r="20" spans="1:4" ht="15.75" customHeight="1" x14ac:dyDescent="0.3">
      <c r="A20" s="64" t="s">
        <v>27</v>
      </c>
      <c r="B20" s="65"/>
      <c r="C20" s="23">
        <v>261416702</v>
      </c>
      <c r="D20" s="9"/>
    </row>
    <row r="21" spans="1:4" x14ac:dyDescent="0.3">
      <c r="A21" s="32" t="s">
        <v>51</v>
      </c>
      <c r="B21" s="6" t="s">
        <v>49</v>
      </c>
      <c r="C21" s="7">
        <f>$C$20</f>
        <v>261416702</v>
      </c>
    </row>
    <row r="22" spans="1:4" ht="7.8" customHeight="1" x14ac:dyDescent="0.3">
      <c r="A22" s="51"/>
      <c r="B22" s="52"/>
      <c r="C22" s="53"/>
    </row>
    <row r="23" spans="1:4" ht="16.5" customHeight="1" x14ac:dyDescent="0.3">
      <c r="A23" s="66" t="s">
        <v>28</v>
      </c>
      <c r="B23" s="67"/>
      <c r="C23" s="23">
        <f>SUM(C149+C286+C290+C291+C301)</f>
        <v>237556417</v>
      </c>
    </row>
    <row r="24" spans="1:4" ht="15.75" customHeight="1" x14ac:dyDescent="0.3">
      <c r="A24" s="60" t="s">
        <v>14</v>
      </c>
      <c r="B24" s="61"/>
      <c r="C24" s="62"/>
    </row>
    <row r="25" spans="1:4" s="10" customFormat="1" ht="32.25" customHeight="1" x14ac:dyDescent="0.3">
      <c r="A25" s="54" t="s">
        <v>75</v>
      </c>
      <c r="B25" s="55"/>
      <c r="C25" s="56"/>
    </row>
    <row r="26" spans="1:4" s="10" customFormat="1" ht="15.75" customHeight="1" x14ac:dyDescent="0.3">
      <c r="A26" s="51" t="s">
        <v>41</v>
      </c>
      <c r="B26" s="52"/>
      <c r="C26" s="53"/>
    </row>
    <row r="27" spans="1:4" s="10" customFormat="1" x14ac:dyDescent="0.3">
      <c r="A27" s="32" t="s">
        <v>51</v>
      </c>
      <c r="B27" s="6" t="s">
        <v>45</v>
      </c>
      <c r="C27" s="11">
        <v>90505</v>
      </c>
    </row>
    <row r="28" spans="1:4" s="10" customFormat="1" x14ac:dyDescent="0.3">
      <c r="A28" s="32" t="s">
        <v>54</v>
      </c>
      <c r="B28" s="6" t="s">
        <v>115</v>
      </c>
      <c r="C28" s="11">
        <v>288000</v>
      </c>
    </row>
    <row r="29" spans="1:4" s="10" customFormat="1" ht="15.75" customHeight="1" x14ac:dyDescent="0.3">
      <c r="A29" s="31"/>
      <c r="B29" s="12" t="s">
        <v>15</v>
      </c>
      <c r="C29" s="8">
        <f>SUM(C27:C28)</f>
        <v>378505</v>
      </c>
    </row>
    <row r="30" spans="1:4" s="10" customFormat="1" ht="15.75" customHeight="1" x14ac:dyDescent="0.3">
      <c r="A30" s="48" t="s">
        <v>46</v>
      </c>
      <c r="B30" s="49"/>
      <c r="C30" s="50"/>
    </row>
    <row r="31" spans="1:4" s="10" customFormat="1" ht="46.8" x14ac:dyDescent="0.3">
      <c r="A31" s="32" t="s">
        <v>51</v>
      </c>
      <c r="B31" s="13" t="s">
        <v>135</v>
      </c>
      <c r="C31" s="11">
        <f>800000-300000-159</f>
        <v>499841</v>
      </c>
    </row>
    <row r="32" spans="1:4" s="10" customFormat="1" ht="15.75" customHeight="1" x14ac:dyDescent="0.3">
      <c r="A32" s="31"/>
      <c r="B32" s="12" t="s">
        <v>15</v>
      </c>
      <c r="C32" s="8">
        <f>SUM(C31)</f>
        <v>499841</v>
      </c>
    </row>
    <row r="33" spans="1:3" s="10" customFormat="1" ht="15.75" customHeight="1" x14ac:dyDescent="0.3">
      <c r="A33" s="51" t="s">
        <v>22</v>
      </c>
      <c r="B33" s="52"/>
      <c r="C33" s="53"/>
    </row>
    <row r="34" spans="1:3" s="10" customFormat="1" ht="46.8" x14ac:dyDescent="0.3">
      <c r="A34" s="32" t="s">
        <v>51</v>
      </c>
      <c r="B34" s="6" t="s">
        <v>74</v>
      </c>
      <c r="C34" s="11">
        <v>550000</v>
      </c>
    </row>
    <row r="35" spans="1:3" s="10" customFormat="1" x14ac:dyDescent="0.3">
      <c r="A35" s="32"/>
      <c r="B35" s="12" t="s">
        <v>15</v>
      </c>
      <c r="C35" s="8">
        <f>C34</f>
        <v>550000</v>
      </c>
    </row>
    <row r="36" spans="1:3" s="10" customFormat="1" x14ac:dyDescent="0.3">
      <c r="A36" s="32"/>
      <c r="B36" s="12" t="s">
        <v>77</v>
      </c>
      <c r="C36" s="8">
        <f>C35+C32+C29</f>
        <v>1428346</v>
      </c>
    </row>
    <row r="37" spans="1:3" s="10" customFormat="1" ht="36" customHeight="1" x14ac:dyDescent="0.3">
      <c r="A37" s="54" t="s">
        <v>76</v>
      </c>
      <c r="B37" s="55"/>
      <c r="C37" s="56"/>
    </row>
    <row r="38" spans="1:3" s="10" customFormat="1" ht="15.75" customHeight="1" x14ac:dyDescent="0.3">
      <c r="A38" s="51" t="s">
        <v>20</v>
      </c>
      <c r="B38" s="52"/>
      <c r="C38" s="53"/>
    </row>
    <row r="39" spans="1:3" s="10" customFormat="1" ht="46.8" x14ac:dyDescent="0.3">
      <c r="A39" s="32" t="s">
        <v>51</v>
      </c>
      <c r="B39" s="6" t="s">
        <v>179</v>
      </c>
      <c r="C39" s="11">
        <f>5000000+327760</f>
        <v>5327760</v>
      </c>
    </row>
    <row r="40" spans="1:3" s="10" customFormat="1" ht="46.8" x14ac:dyDescent="0.3">
      <c r="A40" s="32" t="s">
        <v>54</v>
      </c>
      <c r="B40" s="6" t="s">
        <v>180</v>
      </c>
      <c r="C40" s="11">
        <f>7194461-3994461-14255</f>
        <v>3185745</v>
      </c>
    </row>
    <row r="41" spans="1:3" s="10" customFormat="1" ht="62.4" x14ac:dyDescent="0.3">
      <c r="A41" s="32" t="s">
        <v>56</v>
      </c>
      <c r="B41" s="6" t="s">
        <v>136</v>
      </c>
      <c r="C41" s="11">
        <f>3920000-3794429</f>
        <v>125571</v>
      </c>
    </row>
    <row r="42" spans="1:3" s="10" customFormat="1" ht="46.8" x14ac:dyDescent="0.3">
      <c r="A42" s="32" t="s">
        <v>52</v>
      </c>
      <c r="B42" s="6" t="s">
        <v>137</v>
      </c>
      <c r="C42" s="11">
        <f>500000-475465</f>
        <v>24535</v>
      </c>
    </row>
    <row r="43" spans="1:3" s="10" customFormat="1" ht="46.8" x14ac:dyDescent="0.3">
      <c r="A43" s="32" t="s">
        <v>55</v>
      </c>
      <c r="B43" s="6" t="s">
        <v>197</v>
      </c>
      <c r="C43" s="11">
        <f>0+1233653</f>
        <v>1233653</v>
      </c>
    </row>
    <row r="44" spans="1:3" s="10" customFormat="1" x14ac:dyDescent="0.3">
      <c r="A44" s="32"/>
      <c r="B44" s="12" t="s">
        <v>15</v>
      </c>
      <c r="C44" s="8">
        <f>SUM(C39:C43)</f>
        <v>9897264</v>
      </c>
    </row>
    <row r="45" spans="1:3" s="10" customFormat="1" ht="15.75" customHeight="1" x14ac:dyDescent="0.3">
      <c r="A45" s="51" t="s">
        <v>29</v>
      </c>
      <c r="B45" s="52"/>
      <c r="C45" s="53"/>
    </row>
    <row r="46" spans="1:3" s="10" customFormat="1" ht="31.2" x14ac:dyDescent="0.3">
      <c r="A46" s="32" t="s">
        <v>51</v>
      </c>
      <c r="B46" s="6" t="s">
        <v>40</v>
      </c>
      <c r="C46" s="11">
        <f>296613+1165220-1165220</f>
        <v>296613</v>
      </c>
    </row>
    <row r="47" spans="1:3" s="10" customFormat="1" ht="46.8" x14ac:dyDescent="0.3">
      <c r="A47" s="32" t="s">
        <v>54</v>
      </c>
      <c r="B47" s="6" t="s">
        <v>138</v>
      </c>
      <c r="C47" s="7">
        <f>194526+25908</f>
        <v>220434</v>
      </c>
    </row>
    <row r="48" spans="1:3" s="10" customFormat="1" ht="46.8" x14ac:dyDescent="0.3">
      <c r="A48" s="32" t="s">
        <v>56</v>
      </c>
      <c r="B48" s="6" t="s">
        <v>139</v>
      </c>
      <c r="C48" s="7">
        <f>185562+25908</f>
        <v>211470</v>
      </c>
    </row>
    <row r="49" spans="1:3" s="10" customFormat="1" ht="46.8" x14ac:dyDescent="0.3">
      <c r="A49" s="40" t="s">
        <v>52</v>
      </c>
      <c r="B49" s="6" t="s">
        <v>198</v>
      </c>
      <c r="C49" s="7">
        <v>301443</v>
      </c>
    </row>
    <row r="50" spans="1:3" s="10" customFormat="1" ht="15.75" customHeight="1" x14ac:dyDescent="0.3">
      <c r="A50" s="32"/>
      <c r="B50" s="12" t="s">
        <v>15</v>
      </c>
      <c r="C50" s="8">
        <f>SUM(C46:C49)</f>
        <v>1029960</v>
      </c>
    </row>
    <row r="51" spans="1:3" s="10" customFormat="1" ht="15.75" customHeight="1" x14ac:dyDescent="0.3">
      <c r="A51" s="51" t="s">
        <v>7</v>
      </c>
      <c r="B51" s="52"/>
      <c r="C51" s="53"/>
    </row>
    <row r="52" spans="1:3" s="10" customFormat="1" ht="46.8" x14ac:dyDescent="0.3">
      <c r="A52" s="32" t="s">
        <v>51</v>
      </c>
      <c r="B52" s="6" t="s">
        <v>99</v>
      </c>
      <c r="C52" s="11">
        <f>5910500-216056+11567267-54634</f>
        <v>17207077</v>
      </c>
    </row>
    <row r="53" spans="1:3" s="10" customFormat="1" ht="46.8" x14ac:dyDescent="0.3">
      <c r="A53" s="32" t="s">
        <v>54</v>
      </c>
      <c r="B53" s="6" t="s">
        <v>199</v>
      </c>
      <c r="C53" s="11">
        <f>3000000-18506</f>
        <v>2981494</v>
      </c>
    </row>
    <row r="54" spans="1:3" s="10" customFormat="1" ht="31.2" x14ac:dyDescent="0.3">
      <c r="A54" s="32" t="s">
        <v>56</v>
      </c>
      <c r="B54" s="6" t="s">
        <v>63</v>
      </c>
      <c r="C54" s="11">
        <f>1400000+2200000+279370</f>
        <v>3879370</v>
      </c>
    </row>
    <row r="55" spans="1:3" s="10" customFormat="1" ht="46.8" x14ac:dyDescent="0.3">
      <c r="A55" s="32" t="s">
        <v>52</v>
      </c>
      <c r="B55" s="6" t="s">
        <v>140</v>
      </c>
      <c r="C55" s="14">
        <f>1000000-5854</f>
        <v>994146</v>
      </c>
    </row>
    <row r="56" spans="1:3" s="10" customFormat="1" ht="31.2" x14ac:dyDescent="0.3">
      <c r="A56" s="32" t="s">
        <v>55</v>
      </c>
      <c r="B56" s="6" t="s">
        <v>93</v>
      </c>
      <c r="C56" s="14">
        <v>490023</v>
      </c>
    </row>
    <row r="57" spans="1:3" s="10" customFormat="1" ht="31.2" x14ac:dyDescent="0.3">
      <c r="A57" s="32" t="s">
        <v>57</v>
      </c>
      <c r="B57" s="6" t="s">
        <v>181</v>
      </c>
      <c r="C57" s="14">
        <f>0+285395-6256</f>
        <v>279139</v>
      </c>
    </row>
    <row r="58" spans="1:3" s="10" customFormat="1" ht="39" customHeight="1" x14ac:dyDescent="0.3">
      <c r="A58" s="32" t="s">
        <v>59</v>
      </c>
      <c r="B58" s="6" t="s">
        <v>141</v>
      </c>
      <c r="C58" s="14">
        <v>554618</v>
      </c>
    </row>
    <row r="59" spans="1:3" s="10" customFormat="1" ht="15.75" customHeight="1" x14ac:dyDescent="0.3">
      <c r="A59" s="32"/>
      <c r="B59" s="12" t="s">
        <v>15</v>
      </c>
      <c r="C59" s="8">
        <f>SUM(C52:C58)</f>
        <v>26385867</v>
      </c>
    </row>
    <row r="60" spans="1:3" s="10" customFormat="1" ht="15.75" customHeight="1" x14ac:dyDescent="0.3">
      <c r="A60" s="51" t="s">
        <v>35</v>
      </c>
      <c r="B60" s="52"/>
      <c r="C60" s="53"/>
    </row>
    <row r="61" spans="1:3" s="10" customFormat="1" ht="31.2" x14ac:dyDescent="0.3">
      <c r="A61" s="34" t="s">
        <v>51</v>
      </c>
      <c r="B61" s="6" t="s">
        <v>129</v>
      </c>
      <c r="C61" s="14">
        <f>500000-98</f>
        <v>499902</v>
      </c>
    </row>
    <row r="62" spans="1:3" s="10" customFormat="1" x14ac:dyDescent="0.3">
      <c r="A62" s="34"/>
      <c r="B62" s="12" t="s">
        <v>15</v>
      </c>
      <c r="C62" s="8">
        <f>SUM(C61)</f>
        <v>499902</v>
      </c>
    </row>
    <row r="63" spans="1:3" s="10" customFormat="1" ht="15.75" customHeight="1" x14ac:dyDescent="0.3">
      <c r="A63" s="51" t="s">
        <v>16</v>
      </c>
      <c r="B63" s="52"/>
      <c r="C63" s="53"/>
    </row>
    <row r="64" spans="1:3" s="10" customFormat="1" ht="62.4" x14ac:dyDescent="0.3">
      <c r="A64" s="32" t="s">
        <v>51</v>
      </c>
      <c r="B64" s="6" t="s">
        <v>36</v>
      </c>
      <c r="C64" s="7">
        <f>2500000+4000000</f>
        <v>6500000</v>
      </c>
    </row>
    <row r="65" spans="1:3" s="10" customFormat="1" ht="31.2" x14ac:dyDescent="0.3">
      <c r="A65" s="32" t="s">
        <v>54</v>
      </c>
      <c r="B65" s="6" t="s">
        <v>121</v>
      </c>
      <c r="C65" s="7">
        <v>805000</v>
      </c>
    </row>
    <row r="66" spans="1:3" s="10" customFormat="1" ht="31.2" x14ac:dyDescent="0.3">
      <c r="A66" s="32" t="s">
        <v>56</v>
      </c>
      <c r="B66" s="6" t="s">
        <v>122</v>
      </c>
      <c r="C66" s="7">
        <v>400000</v>
      </c>
    </row>
    <row r="67" spans="1:3" s="10" customFormat="1" ht="31.2" x14ac:dyDescent="0.3">
      <c r="A67" s="32" t="s">
        <v>52</v>
      </c>
      <c r="B67" s="6" t="s">
        <v>123</v>
      </c>
      <c r="C67" s="7">
        <v>595000</v>
      </c>
    </row>
    <row r="68" spans="1:3" s="10" customFormat="1" x14ac:dyDescent="0.3">
      <c r="A68" s="32"/>
      <c r="B68" s="12" t="s">
        <v>15</v>
      </c>
      <c r="C68" s="8">
        <f>SUM(C64:C67)</f>
        <v>8300000</v>
      </c>
    </row>
    <row r="69" spans="1:3" s="10" customFormat="1" ht="15.75" customHeight="1" x14ac:dyDescent="0.3">
      <c r="A69" s="51" t="s">
        <v>17</v>
      </c>
      <c r="B69" s="52"/>
      <c r="C69" s="53"/>
    </row>
    <row r="70" spans="1:3" s="10" customFormat="1" ht="31.2" x14ac:dyDescent="0.3">
      <c r="A70" s="32" t="s">
        <v>51</v>
      </c>
      <c r="B70" s="15" t="s">
        <v>64</v>
      </c>
      <c r="C70" s="7">
        <v>2490551</v>
      </c>
    </row>
    <row r="71" spans="1:3" s="10" customFormat="1" ht="31.2" x14ac:dyDescent="0.3">
      <c r="A71" s="32" t="s">
        <v>54</v>
      </c>
      <c r="B71" s="15" t="s">
        <v>65</v>
      </c>
      <c r="C71" s="7">
        <f>250000-37177</f>
        <v>212823</v>
      </c>
    </row>
    <row r="72" spans="1:3" s="10" customFormat="1" ht="31.2" x14ac:dyDescent="0.3">
      <c r="A72" s="32" t="s">
        <v>56</v>
      </c>
      <c r="B72" s="13" t="s">
        <v>48</v>
      </c>
      <c r="C72" s="11">
        <v>2000000</v>
      </c>
    </row>
    <row r="73" spans="1:3" s="10" customFormat="1" ht="39" customHeight="1" x14ac:dyDescent="0.3">
      <c r="A73" s="32" t="s">
        <v>52</v>
      </c>
      <c r="B73" s="13" t="s">
        <v>142</v>
      </c>
      <c r="C73" s="11">
        <v>1501</v>
      </c>
    </row>
    <row r="74" spans="1:3" s="10" customFormat="1" ht="31.2" x14ac:dyDescent="0.3">
      <c r="A74" s="32" t="s">
        <v>55</v>
      </c>
      <c r="B74" s="13" t="s">
        <v>94</v>
      </c>
      <c r="C74" s="11">
        <v>3670</v>
      </c>
    </row>
    <row r="75" spans="1:3" s="10" customFormat="1" ht="31.2" x14ac:dyDescent="0.3">
      <c r="A75" s="32" t="s">
        <v>57</v>
      </c>
      <c r="B75" s="13" t="s">
        <v>143</v>
      </c>
      <c r="C75" s="11">
        <v>202000</v>
      </c>
    </row>
    <row r="76" spans="1:3" s="10" customFormat="1" ht="31.2" x14ac:dyDescent="0.3">
      <c r="A76" s="32" t="s">
        <v>59</v>
      </c>
      <c r="B76" s="13" t="s">
        <v>200</v>
      </c>
      <c r="C76" s="11">
        <v>270000</v>
      </c>
    </row>
    <row r="77" spans="1:3" s="10" customFormat="1" ht="31.2" x14ac:dyDescent="0.3">
      <c r="A77" s="32" t="s">
        <v>53</v>
      </c>
      <c r="B77" s="13" t="s">
        <v>201</v>
      </c>
      <c r="C77" s="11">
        <v>393000</v>
      </c>
    </row>
    <row r="78" spans="1:3" s="10" customFormat="1" ht="31.2" x14ac:dyDescent="0.3">
      <c r="A78" s="32" t="s">
        <v>58</v>
      </c>
      <c r="B78" s="13" t="s">
        <v>144</v>
      </c>
      <c r="C78" s="11">
        <v>135000</v>
      </c>
    </row>
    <row r="79" spans="1:3" s="10" customFormat="1" x14ac:dyDescent="0.3">
      <c r="A79" s="32"/>
      <c r="B79" s="12" t="s">
        <v>15</v>
      </c>
      <c r="C79" s="8">
        <f>SUM(C70:C78)</f>
        <v>5708545</v>
      </c>
    </row>
    <row r="80" spans="1:3" s="10" customFormat="1" ht="15.75" customHeight="1" x14ac:dyDescent="0.3">
      <c r="A80" s="51" t="s">
        <v>19</v>
      </c>
      <c r="B80" s="52"/>
      <c r="C80" s="53"/>
    </row>
    <row r="81" spans="1:3" s="10" customFormat="1" x14ac:dyDescent="0.3">
      <c r="A81" s="32" t="s">
        <v>51</v>
      </c>
      <c r="B81" s="6" t="s">
        <v>146</v>
      </c>
      <c r="C81" s="14">
        <v>3822227</v>
      </c>
    </row>
    <row r="82" spans="1:3" s="10" customFormat="1" ht="54.75" customHeight="1" x14ac:dyDescent="0.3">
      <c r="A82" s="32" t="s">
        <v>54</v>
      </c>
      <c r="B82" s="6" t="s">
        <v>145</v>
      </c>
      <c r="C82" s="14">
        <f>1200000-272650</f>
        <v>927350</v>
      </c>
    </row>
    <row r="83" spans="1:3" s="10" customFormat="1" ht="46.8" x14ac:dyDescent="0.3">
      <c r="A83" s="40" t="s">
        <v>56</v>
      </c>
      <c r="B83" s="6" t="s">
        <v>202</v>
      </c>
      <c r="C83" s="14">
        <f>0+272650</f>
        <v>272650</v>
      </c>
    </row>
    <row r="84" spans="1:3" s="10" customFormat="1" x14ac:dyDescent="0.3">
      <c r="A84" s="32"/>
      <c r="B84" s="12" t="s">
        <v>15</v>
      </c>
      <c r="C84" s="8">
        <f>SUM(C81:C83)</f>
        <v>5022227</v>
      </c>
    </row>
    <row r="85" spans="1:3" s="10" customFormat="1" ht="15.75" customHeight="1" x14ac:dyDescent="0.3">
      <c r="A85" s="51" t="s">
        <v>4</v>
      </c>
      <c r="B85" s="52"/>
      <c r="C85" s="53"/>
    </row>
    <row r="86" spans="1:3" s="10" customFormat="1" ht="31.2" x14ac:dyDescent="0.3">
      <c r="A86" s="32" t="s">
        <v>51</v>
      </c>
      <c r="B86" s="6" t="s">
        <v>68</v>
      </c>
      <c r="C86" s="11">
        <f>1159127-1026475</f>
        <v>132652</v>
      </c>
    </row>
    <row r="87" spans="1:3" s="10" customFormat="1" x14ac:dyDescent="0.3">
      <c r="A87" s="32" t="s">
        <v>54</v>
      </c>
      <c r="B87" s="6" t="s">
        <v>66</v>
      </c>
      <c r="C87" s="7">
        <f>600000-63754</f>
        <v>536246</v>
      </c>
    </row>
    <row r="88" spans="1:3" s="10" customFormat="1" ht="31.2" x14ac:dyDescent="0.3">
      <c r="A88" s="32" t="s">
        <v>56</v>
      </c>
      <c r="B88" s="6" t="s">
        <v>203</v>
      </c>
      <c r="C88" s="7">
        <v>1550000</v>
      </c>
    </row>
    <row r="89" spans="1:3" s="10" customFormat="1" ht="46.8" x14ac:dyDescent="0.3">
      <c r="A89" s="32" t="s">
        <v>52</v>
      </c>
      <c r="B89" s="6" t="s">
        <v>96</v>
      </c>
      <c r="C89" s="7">
        <f>793700-1860</f>
        <v>791840</v>
      </c>
    </row>
    <row r="90" spans="1:3" s="10" customFormat="1" ht="31.2" x14ac:dyDescent="0.3">
      <c r="A90" s="32" t="s">
        <v>55</v>
      </c>
      <c r="B90" s="6" t="s">
        <v>116</v>
      </c>
      <c r="C90" s="7">
        <v>1000000</v>
      </c>
    </row>
    <row r="91" spans="1:3" s="10" customFormat="1" x14ac:dyDescent="0.3">
      <c r="A91" s="32"/>
      <c r="B91" s="12" t="s">
        <v>15</v>
      </c>
      <c r="C91" s="8">
        <f>SUM(C86:C90)</f>
        <v>4010738</v>
      </c>
    </row>
    <row r="92" spans="1:3" s="10" customFormat="1" ht="15.75" customHeight="1" x14ac:dyDescent="0.3">
      <c r="A92" s="51" t="s">
        <v>0</v>
      </c>
      <c r="B92" s="52"/>
      <c r="C92" s="53"/>
    </row>
    <row r="93" spans="1:3" s="10" customFormat="1" ht="31.2" x14ac:dyDescent="0.3">
      <c r="A93" s="32" t="s">
        <v>51</v>
      </c>
      <c r="B93" s="6" t="s">
        <v>100</v>
      </c>
      <c r="C93" s="11">
        <f>700000+706386</f>
        <v>1406386</v>
      </c>
    </row>
    <row r="94" spans="1:3" s="10" customFormat="1" ht="62.4" x14ac:dyDescent="0.3">
      <c r="A94" s="32" t="s">
        <v>54</v>
      </c>
      <c r="B94" s="6" t="s">
        <v>101</v>
      </c>
      <c r="C94" s="11">
        <v>254612</v>
      </c>
    </row>
    <row r="95" spans="1:3" s="10" customFormat="1" ht="31.2" x14ac:dyDescent="0.3">
      <c r="A95" s="32" t="s">
        <v>56</v>
      </c>
      <c r="B95" s="6" t="s">
        <v>147</v>
      </c>
      <c r="C95" s="11">
        <f>711392+1061681</f>
        <v>1773073</v>
      </c>
    </row>
    <row r="96" spans="1:3" s="10" customFormat="1" ht="31.2" x14ac:dyDescent="0.3">
      <c r="A96" s="32" t="s">
        <v>52</v>
      </c>
      <c r="B96" s="6" t="s">
        <v>126</v>
      </c>
      <c r="C96" s="11">
        <v>246700</v>
      </c>
    </row>
    <row r="97" spans="1:195" s="10" customFormat="1" ht="31.2" x14ac:dyDescent="0.3">
      <c r="A97" s="32" t="s">
        <v>55</v>
      </c>
      <c r="B97" s="6" t="s">
        <v>125</v>
      </c>
      <c r="C97" s="11">
        <v>170100</v>
      </c>
    </row>
    <row r="98" spans="1:195" s="10" customFormat="1" ht="31.2" x14ac:dyDescent="0.3">
      <c r="A98" s="32" t="s">
        <v>57</v>
      </c>
      <c r="B98" s="6" t="s">
        <v>124</v>
      </c>
      <c r="C98" s="11">
        <v>247320</v>
      </c>
    </row>
    <row r="99" spans="1:195" s="10" customFormat="1" ht="36" customHeight="1" x14ac:dyDescent="0.3">
      <c r="A99" s="32" t="s">
        <v>59</v>
      </c>
      <c r="B99" s="6" t="s">
        <v>117</v>
      </c>
      <c r="C99" s="11">
        <v>140400</v>
      </c>
    </row>
    <row r="100" spans="1:195" s="10" customFormat="1" ht="31.2" x14ac:dyDescent="0.3">
      <c r="A100" s="32" t="s">
        <v>53</v>
      </c>
      <c r="B100" s="6" t="s">
        <v>127</v>
      </c>
      <c r="C100" s="11">
        <v>243000</v>
      </c>
    </row>
    <row r="101" spans="1:195" s="10" customFormat="1" ht="31.2" x14ac:dyDescent="0.3">
      <c r="A101" s="32" t="s">
        <v>58</v>
      </c>
      <c r="B101" s="6" t="s">
        <v>128</v>
      </c>
      <c r="C101" s="11">
        <v>209480</v>
      </c>
    </row>
    <row r="102" spans="1:195" s="10" customFormat="1" x14ac:dyDescent="0.3">
      <c r="A102" s="32"/>
      <c r="B102" s="12" t="s">
        <v>15</v>
      </c>
      <c r="C102" s="8">
        <f>SUM(C93:C101)</f>
        <v>4691071</v>
      </c>
    </row>
    <row r="103" spans="1:195" s="10" customFormat="1" ht="15.75" customHeight="1" x14ac:dyDescent="0.3">
      <c r="A103" s="51" t="s">
        <v>18</v>
      </c>
      <c r="B103" s="52"/>
      <c r="C103" s="53"/>
    </row>
    <row r="104" spans="1:195" s="10" customFormat="1" ht="31.2" x14ac:dyDescent="0.3">
      <c r="A104" s="32" t="s">
        <v>51</v>
      </c>
      <c r="B104" s="6" t="s">
        <v>38</v>
      </c>
      <c r="C104" s="7">
        <f>6584850-5868840</f>
        <v>716010</v>
      </c>
    </row>
    <row r="105" spans="1:195" s="10" customFormat="1" ht="38.25" customHeight="1" x14ac:dyDescent="0.3">
      <c r="A105" s="32" t="s">
        <v>54</v>
      </c>
      <c r="B105" s="6" t="s">
        <v>149</v>
      </c>
      <c r="C105" s="7">
        <v>600000</v>
      </c>
    </row>
    <row r="106" spans="1:195" s="10" customFormat="1" ht="31.2" x14ac:dyDescent="0.3">
      <c r="A106" s="32" t="s">
        <v>56</v>
      </c>
      <c r="B106" s="6" t="s">
        <v>148</v>
      </c>
      <c r="C106" s="7">
        <v>400000</v>
      </c>
    </row>
    <row r="107" spans="1:195" s="10" customFormat="1" x14ac:dyDescent="0.3">
      <c r="A107" s="32"/>
      <c r="B107" s="12" t="s">
        <v>15</v>
      </c>
      <c r="C107" s="8">
        <f>SUM(C104:C106)</f>
        <v>1716010</v>
      </c>
    </row>
    <row r="108" spans="1:195" s="10" customFormat="1" ht="15.75" customHeight="1" x14ac:dyDescent="0.3">
      <c r="A108" s="32"/>
      <c r="B108" s="12" t="s">
        <v>78</v>
      </c>
      <c r="C108" s="8">
        <f>C107+C102+C91+C84+C79+C68+C59+C50+C44+C62</f>
        <v>67261584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</row>
    <row r="109" spans="1:195" s="10" customFormat="1" ht="15.75" customHeight="1" x14ac:dyDescent="0.3">
      <c r="A109" s="54" t="s">
        <v>79</v>
      </c>
      <c r="B109" s="55"/>
      <c r="C109" s="56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</row>
    <row r="110" spans="1:195" s="10" customFormat="1" ht="15.75" customHeight="1" x14ac:dyDescent="0.3">
      <c r="A110" s="51" t="s">
        <v>1</v>
      </c>
      <c r="B110" s="52"/>
      <c r="C110" s="53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</row>
    <row r="111" spans="1:195" s="10" customFormat="1" ht="35.25" customHeight="1" x14ac:dyDescent="0.3">
      <c r="A111" s="32" t="s">
        <v>51</v>
      </c>
      <c r="B111" s="6" t="s">
        <v>102</v>
      </c>
      <c r="C111" s="11">
        <f>6000000+6484541</f>
        <v>12484541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</row>
    <row r="112" spans="1:195" s="10" customFormat="1" x14ac:dyDescent="0.3">
      <c r="A112" s="32"/>
      <c r="B112" s="12" t="s">
        <v>15</v>
      </c>
      <c r="C112" s="8">
        <f>SUM(C111:C111)</f>
        <v>12484541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</row>
    <row r="113" spans="1:195" s="10" customFormat="1" ht="15.75" customHeight="1" x14ac:dyDescent="0.3">
      <c r="A113" s="51" t="s">
        <v>42</v>
      </c>
      <c r="B113" s="52"/>
      <c r="C113" s="53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</row>
    <row r="114" spans="1:195" s="10" customFormat="1" ht="32.25" customHeight="1" x14ac:dyDescent="0.3">
      <c r="A114" s="32" t="s">
        <v>51</v>
      </c>
      <c r="B114" s="6" t="s">
        <v>67</v>
      </c>
      <c r="C114" s="11">
        <v>112091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</row>
    <row r="115" spans="1:195" s="10" customFormat="1" x14ac:dyDescent="0.3">
      <c r="A115" s="16"/>
      <c r="B115" s="12" t="s">
        <v>15</v>
      </c>
      <c r="C115" s="8">
        <f>SUM(C114)</f>
        <v>112091</v>
      </c>
    </row>
    <row r="116" spans="1:195" s="10" customFormat="1" ht="15.75" customHeight="1" x14ac:dyDescent="0.3">
      <c r="A116" s="48" t="s">
        <v>44</v>
      </c>
      <c r="B116" s="49"/>
      <c r="C116" s="50"/>
    </row>
    <row r="117" spans="1:195" s="10" customFormat="1" ht="51.75" customHeight="1" x14ac:dyDescent="0.3">
      <c r="A117" s="32" t="s">
        <v>51</v>
      </c>
      <c r="B117" s="6" t="s">
        <v>182</v>
      </c>
      <c r="C117" s="11">
        <v>915000</v>
      </c>
    </row>
    <row r="118" spans="1:195" s="10" customFormat="1" x14ac:dyDescent="0.3">
      <c r="A118" s="16"/>
      <c r="B118" s="12" t="s">
        <v>15</v>
      </c>
      <c r="C118" s="8">
        <f>SUM(C117)</f>
        <v>915000</v>
      </c>
    </row>
    <row r="119" spans="1:195" s="10" customFormat="1" ht="15.75" customHeight="1" x14ac:dyDescent="0.3">
      <c r="A119" s="51" t="s">
        <v>43</v>
      </c>
      <c r="B119" s="52"/>
      <c r="C119" s="53"/>
    </row>
    <row r="120" spans="1:195" s="10" customFormat="1" ht="31.5" customHeight="1" x14ac:dyDescent="0.3">
      <c r="A120" s="32" t="s">
        <v>51</v>
      </c>
      <c r="B120" s="6" t="s">
        <v>204</v>
      </c>
      <c r="C120" s="14">
        <v>2600000</v>
      </c>
    </row>
    <row r="121" spans="1:195" s="10" customFormat="1" ht="31.2" x14ac:dyDescent="0.3">
      <c r="A121" s="32" t="s">
        <v>54</v>
      </c>
      <c r="B121" s="6" t="s">
        <v>150</v>
      </c>
      <c r="C121" s="14">
        <f>3010000-24</f>
        <v>3009976</v>
      </c>
    </row>
    <row r="122" spans="1:195" s="10" customFormat="1" ht="37.5" customHeight="1" x14ac:dyDescent="0.3">
      <c r="A122" s="32" t="s">
        <v>56</v>
      </c>
      <c r="B122" s="6" t="s">
        <v>151</v>
      </c>
      <c r="C122" s="14">
        <v>1405000</v>
      </c>
    </row>
    <row r="123" spans="1:195" s="10" customFormat="1" ht="38.25" customHeight="1" x14ac:dyDescent="0.3">
      <c r="A123" s="32" t="s">
        <v>52</v>
      </c>
      <c r="B123" s="6" t="s">
        <v>152</v>
      </c>
      <c r="C123" s="14">
        <f>693113-26</f>
        <v>693087</v>
      </c>
    </row>
    <row r="124" spans="1:195" s="10" customFormat="1" x14ac:dyDescent="0.3">
      <c r="A124" s="16"/>
      <c r="B124" s="12" t="s">
        <v>15</v>
      </c>
      <c r="C124" s="8">
        <f>SUM(C120:C123)</f>
        <v>7708063</v>
      </c>
    </row>
    <row r="125" spans="1:195" s="10" customFormat="1" ht="15.75" customHeight="1" x14ac:dyDescent="0.3">
      <c r="A125" s="51" t="s">
        <v>108</v>
      </c>
      <c r="B125" s="52"/>
      <c r="C125" s="53"/>
    </row>
    <row r="126" spans="1:195" s="10" customFormat="1" ht="46.8" x14ac:dyDescent="0.3">
      <c r="A126" s="32" t="s">
        <v>51</v>
      </c>
      <c r="B126" s="6" t="s">
        <v>205</v>
      </c>
      <c r="C126" s="11">
        <v>3000000</v>
      </c>
    </row>
    <row r="127" spans="1:195" s="10" customFormat="1" x14ac:dyDescent="0.3">
      <c r="A127" s="16"/>
      <c r="B127" s="12" t="s">
        <v>15</v>
      </c>
      <c r="C127" s="8">
        <f>SUM(C126)</f>
        <v>3000000</v>
      </c>
    </row>
    <row r="128" spans="1:195" s="10" customFormat="1" ht="15.75" customHeight="1" x14ac:dyDescent="0.3">
      <c r="A128" s="51" t="s">
        <v>95</v>
      </c>
      <c r="B128" s="52"/>
      <c r="C128" s="53"/>
    </row>
    <row r="129" spans="1:4" s="10" customFormat="1" ht="31.2" x14ac:dyDescent="0.3">
      <c r="A129" s="32" t="s">
        <v>51</v>
      </c>
      <c r="B129" s="6" t="s">
        <v>183</v>
      </c>
      <c r="C129" s="11">
        <v>1788500</v>
      </c>
    </row>
    <row r="130" spans="1:4" s="10" customFormat="1" x14ac:dyDescent="0.3">
      <c r="A130" s="16"/>
      <c r="B130" s="12" t="s">
        <v>15</v>
      </c>
      <c r="C130" s="8">
        <f>SUM(C129)</f>
        <v>1788500</v>
      </c>
    </row>
    <row r="131" spans="1:4" s="10" customFormat="1" ht="15.75" customHeight="1" x14ac:dyDescent="0.3">
      <c r="A131" s="32"/>
      <c r="B131" s="12" t="s">
        <v>2</v>
      </c>
      <c r="C131" s="8">
        <f>C127+C124+C118+C115+C112+C130</f>
        <v>26008195</v>
      </c>
    </row>
    <row r="132" spans="1:4" s="10" customFormat="1" ht="15.75" customHeight="1" x14ac:dyDescent="0.3">
      <c r="A132" s="54" t="s">
        <v>155</v>
      </c>
      <c r="B132" s="55"/>
      <c r="C132" s="56"/>
    </row>
    <row r="133" spans="1:4" s="10" customFormat="1" ht="15.75" customHeight="1" x14ac:dyDescent="0.3">
      <c r="A133" s="51" t="s">
        <v>17</v>
      </c>
      <c r="B133" s="52"/>
      <c r="C133" s="53"/>
    </row>
    <row r="134" spans="1:4" s="10" customFormat="1" ht="46.8" x14ac:dyDescent="0.3">
      <c r="A134" s="32" t="s">
        <v>51</v>
      </c>
      <c r="B134" s="13" t="s">
        <v>103</v>
      </c>
      <c r="C134" s="14">
        <f>300000+125497</f>
        <v>425497</v>
      </c>
    </row>
    <row r="135" spans="1:4" s="10" customFormat="1" ht="46.8" x14ac:dyDescent="0.3">
      <c r="A135" s="40" t="s">
        <v>54</v>
      </c>
      <c r="B135" s="13" t="s">
        <v>206</v>
      </c>
      <c r="C135" s="14">
        <f>0+1000000</f>
        <v>1000000</v>
      </c>
    </row>
    <row r="136" spans="1:4" s="10" customFormat="1" ht="15.75" customHeight="1" x14ac:dyDescent="0.3">
      <c r="A136" s="32"/>
      <c r="B136" s="12" t="s">
        <v>15</v>
      </c>
      <c r="C136" s="17">
        <f>SUM(C134:C135)</f>
        <v>1425497</v>
      </c>
    </row>
    <row r="137" spans="1:4" s="10" customFormat="1" ht="15.75" customHeight="1" x14ac:dyDescent="0.3">
      <c r="A137" s="51" t="s">
        <v>22</v>
      </c>
      <c r="B137" s="52"/>
      <c r="C137" s="53"/>
    </row>
    <row r="138" spans="1:4" s="10" customFormat="1" ht="31.2" x14ac:dyDescent="0.3">
      <c r="A138" s="32" t="s">
        <v>51</v>
      </c>
      <c r="B138" s="13" t="s">
        <v>118</v>
      </c>
      <c r="C138" s="14">
        <v>1500000</v>
      </c>
    </row>
    <row r="139" spans="1:4" s="10" customFormat="1" x14ac:dyDescent="0.3">
      <c r="A139" s="32"/>
      <c r="B139" s="12" t="s">
        <v>15</v>
      </c>
      <c r="C139" s="17">
        <f>SUM(C138)</f>
        <v>1500000</v>
      </c>
      <c r="D139" s="18"/>
    </row>
    <row r="140" spans="1:4" s="10" customFormat="1" ht="15.75" customHeight="1" x14ac:dyDescent="0.3">
      <c r="A140" s="51" t="s">
        <v>46</v>
      </c>
      <c r="B140" s="52"/>
      <c r="C140" s="53"/>
      <c r="D140" s="18"/>
    </row>
    <row r="141" spans="1:4" s="10" customFormat="1" ht="31.2" x14ac:dyDescent="0.3">
      <c r="A141" s="40" t="s">
        <v>51</v>
      </c>
      <c r="B141" s="13" t="s">
        <v>188</v>
      </c>
      <c r="C141" s="14">
        <f>0+215500</f>
        <v>215500</v>
      </c>
      <c r="D141" s="18"/>
    </row>
    <row r="142" spans="1:4" s="10" customFormat="1" ht="15.75" customHeight="1" x14ac:dyDescent="0.3">
      <c r="A142" s="40"/>
      <c r="B142" s="12" t="s">
        <v>15</v>
      </c>
      <c r="C142" s="17">
        <f>SUM(C141)</f>
        <v>215500</v>
      </c>
      <c r="D142" s="18"/>
    </row>
    <row r="143" spans="1:4" s="10" customFormat="1" ht="15.75" customHeight="1" x14ac:dyDescent="0.3">
      <c r="A143" s="32"/>
      <c r="B143" s="12" t="s">
        <v>80</v>
      </c>
      <c r="C143" s="8">
        <f>C136+C139+C142</f>
        <v>3140997</v>
      </c>
      <c r="D143" s="18"/>
    </row>
    <row r="144" spans="1:4" s="10" customFormat="1" ht="15.75" customHeight="1" x14ac:dyDescent="0.3">
      <c r="A144" s="54" t="s">
        <v>82</v>
      </c>
      <c r="B144" s="55"/>
      <c r="C144" s="56"/>
      <c r="D144" s="18"/>
    </row>
    <row r="145" spans="1:4" s="10" customFormat="1" ht="15.75" customHeight="1" x14ac:dyDescent="0.3">
      <c r="A145" s="51" t="s">
        <v>24</v>
      </c>
      <c r="B145" s="52"/>
      <c r="C145" s="53"/>
      <c r="D145" s="18"/>
    </row>
    <row r="146" spans="1:4" s="10" customFormat="1" ht="46.8" x14ac:dyDescent="0.3">
      <c r="A146" s="32" t="s">
        <v>51</v>
      </c>
      <c r="B146" s="6" t="s">
        <v>153</v>
      </c>
      <c r="C146" s="7">
        <v>136661</v>
      </c>
      <c r="D146" s="18"/>
    </row>
    <row r="147" spans="1:4" s="10" customFormat="1" x14ac:dyDescent="0.3">
      <c r="A147" s="32"/>
      <c r="B147" s="12" t="s">
        <v>15</v>
      </c>
      <c r="C147" s="8">
        <f>SUM(C146)</f>
        <v>136661</v>
      </c>
      <c r="D147" s="18"/>
    </row>
    <row r="148" spans="1:4" s="10" customFormat="1" x14ac:dyDescent="0.3">
      <c r="A148" s="32"/>
      <c r="B148" s="12" t="s">
        <v>81</v>
      </c>
      <c r="C148" s="8">
        <f>SUM(C147)</f>
        <v>136661</v>
      </c>
      <c r="D148" s="18"/>
    </row>
    <row r="149" spans="1:4" s="10" customFormat="1" x14ac:dyDescent="0.3">
      <c r="A149" s="32"/>
      <c r="B149" s="12" t="s">
        <v>5</v>
      </c>
      <c r="C149" s="8">
        <f>C148+C143+C131+C108+C36</f>
        <v>97975783</v>
      </c>
      <c r="D149" s="18"/>
    </row>
    <row r="150" spans="1:4" s="10" customFormat="1" ht="6" customHeight="1" x14ac:dyDescent="0.3">
      <c r="A150" s="57"/>
      <c r="B150" s="58"/>
      <c r="C150" s="59"/>
    </row>
    <row r="151" spans="1:4" s="10" customFormat="1" ht="15.75" customHeight="1" x14ac:dyDescent="0.3">
      <c r="A151" s="60" t="s">
        <v>30</v>
      </c>
      <c r="B151" s="61"/>
      <c r="C151" s="62"/>
    </row>
    <row r="152" spans="1:4" s="10" customFormat="1" ht="15.75" customHeight="1" x14ac:dyDescent="0.3">
      <c r="A152" s="54" t="s">
        <v>196</v>
      </c>
      <c r="B152" s="55"/>
      <c r="C152" s="56"/>
    </row>
    <row r="153" spans="1:4" s="10" customFormat="1" ht="15.75" customHeight="1" x14ac:dyDescent="0.3">
      <c r="A153" s="51" t="s">
        <v>7</v>
      </c>
      <c r="B153" s="52"/>
      <c r="C153" s="53"/>
    </row>
    <row r="154" spans="1:4" s="10" customFormat="1" ht="90.75" customHeight="1" x14ac:dyDescent="0.3">
      <c r="A154" s="47" t="s">
        <v>51</v>
      </c>
      <c r="B154" s="6" t="s">
        <v>232</v>
      </c>
      <c r="C154" s="7">
        <v>1000000</v>
      </c>
    </row>
    <row r="155" spans="1:4" s="10" customFormat="1" ht="15.75" customHeight="1" x14ac:dyDescent="0.3">
      <c r="A155" s="47"/>
      <c r="B155" s="12" t="s">
        <v>15</v>
      </c>
      <c r="C155" s="8">
        <f>SUM(C154)</f>
        <v>1000000</v>
      </c>
    </row>
    <row r="156" spans="1:4" s="10" customFormat="1" ht="15.75" customHeight="1" x14ac:dyDescent="0.3">
      <c r="A156" s="47"/>
      <c r="B156" s="12" t="s">
        <v>195</v>
      </c>
      <c r="C156" s="8">
        <f>SUM(C155)</f>
        <v>1000000</v>
      </c>
    </row>
    <row r="157" spans="1:4" s="10" customFormat="1" ht="15.75" customHeight="1" x14ac:dyDescent="0.3">
      <c r="A157" s="54" t="s">
        <v>83</v>
      </c>
      <c r="B157" s="55"/>
      <c r="C157" s="56"/>
    </row>
    <row r="158" spans="1:4" s="10" customFormat="1" ht="15.75" customHeight="1" x14ac:dyDescent="0.3">
      <c r="A158" s="51" t="s">
        <v>20</v>
      </c>
      <c r="B158" s="52"/>
      <c r="C158" s="53"/>
    </row>
    <row r="159" spans="1:4" s="10" customFormat="1" ht="46.8" x14ac:dyDescent="0.3">
      <c r="A159" s="32" t="s">
        <v>51</v>
      </c>
      <c r="B159" s="13" t="s">
        <v>39</v>
      </c>
      <c r="C159" s="11">
        <f>1951663-1162</f>
        <v>1950501</v>
      </c>
    </row>
    <row r="160" spans="1:4" s="10" customFormat="1" ht="46.8" x14ac:dyDescent="0.3">
      <c r="A160" s="32" t="s">
        <v>54</v>
      </c>
      <c r="B160" s="6" t="s">
        <v>207</v>
      </c>
      <c r="C160" s="11">
        <f>2040000-1937262-569</f>
        <v>102169</v>
      </c>
    </row>
    <row r="161" spans="1:3" s="10" customFormat="1" ht="46.8" x14ac:dyDescent="0.3">
      <c r="A161" s="32" t="s">
        <v>56</v>
      </c>
      <c r="B161" s="6" t="s">
        <v>47</v>
      </c>
      <c r="C161" s="11">
        <f>4000000-3857930</f>
        <v>142070</v>
      </c>
    </row>
    <row r="162" spans="1:3" s="10" customFormat="1" ht="62.4" x14ac:dyDescent="0.3">
      <c r="A162" s="32" t="s">
        <v>52</v>
      </c>
      <c r="B162" s="6" t="s">
        <v>154</v>
      </c>
      <c r="C162" s="11">
        <f>1650000-1633651</f>
        <v>16349</v>
      </c>
    </row>
    <row r="163" spans="1:3" s="10" customFormat="1" ht="62.4" x14ac:dyDescent="0.3">
      <c r="A163" s="45" t="s">
        <v>55</v>
      </c>
      <c r="B163" s="6" t="s">
        <v>156</v>
      </c>
      <c r="C163" s="11">
        <f>2000999-1879127</f>
        <v>121872</v>
      </c>
    </row>
    <row r="164" spans="1:3" s="10" customFormat="1" ht="31.2" x14ac:dyDescent="0.3">
      <c r="A164" s="32" t="s">
        <v>57</v>
      </c>
      <c r="B164" s="6" t="s">
        <v>194</v>
      </c>
      <c r="C164" s="11">
        <f>0+2398731</f>
        <v>2398731</v>
      </c>
    </row>
    <row r="165" spans="1:3" s="10" customFormat="1" ht="15.75" customHeight="1" x14ac:dyDescent="0.3">
      <c r="A165" s="32"/>
      <c r="B165" s="12" t="s">
        <v>15</v>
      </c>
      <c r="C165" s="8">
        <f>SUM(C159:C164)</f>
        <v>4731692</v>
      </c>
    </row>
    <row r="166" spans="1:3" s="10" customFormat="1" ht="15.75" customHeight="1" x14ac:dyDescent="0.3">
      <c r="A166" s="51" t="s">
        <v>6</v>
      </c>
      <c r="B166" s="52"/>
      <c r="C166" s="53"/>
    </row>
    <row r="167" spans="1:3" s="10" customFormat="1" ht="46.8" x14ac:dyDescent="0.3">
      <c r="A167" s="32" t="s">
        <v>51</v>
      </c>
      <c r="B167" s="6" t="s">
        <v>157</v>
      </c>
      <c r="C167" s="11">
        <f>308473-35173</f>
        <v>273300</v>
      </c>
    </row>
    <row r="168" spans="1:3" s="10" customFormat="1" ht="31.2" x14ac:dyDescent="0.3">
      <c r="A168" s="32" t="s">
        <v>54</v>
      </c>
      <c r="B168" s="6" t="s">
        <v>158</v>
      </c>
      <c r="C168" s="11">
        <f>2956422-51816-301443-31643</f>
        <v>2571520</v>
      </c>
    </row>
    <row r="169" spans="1:3" s="10" customFormat="1" ht="15.75" customHeight="1" x14ac:dyDescent="0.3">
      <c r="A169" s="32"/>
      <c r="B169" s="12" t="s">
        <v>15</v>
      </c>
      <c r="C169" s="8">
        <f>SUM(C167:C168)</f>
        <v>2844820</v>
      </c>
    </row>
    <row r="170" spans="1:3" s="10" customFormat="1" ht="15.75" customHeight="1" x14ac:dyDescent="0.3">
      <c r="A170" s="51" t="s">
        <v>32</v>
      </c>
      <c r="B170" s="52"/>
      <c r="C170" s="53"/>
    </row>
    <row r="171" spans="1:3" s="10" customFormat="1" ht="46.8" x14ac:dyDescent="0.3">
      <c r="A171" s="32" t="s">
        <v>51</v>
      </c>
      <c r="B171" s="6" t="s">
        <v>159</v>
      </c>
      <c r="C171" s="11">
        <f>2116018+598803</f>
        <v>2714821</v>
      </c>
    </row>
    <row r="172" spans="1:3" s="10" customFormat="1" ht="46.8" x14ac:dyDescent="0.3">
      <c r="A172" s="32" t="s">
        <v>54</v>
      </c>
      <c r="B172" s="6" t="s">
        <v>160</v>
      </c>
      <c r="C172" s="11">
        <v>471015</v>
      </c>
    </row>
    <row r="173" spans="1:3" s="10" customFormat="1" ht="46.8" x14ac:dyDescent="0.3">
      <c r="A173" s="32" t="s">
        <v>56</v>
      </c>
      <c r="B173" s="6" t="s">
        <v>161</v>
      </c>
      <c r="C173" s="11">
        <v>707576</v>
      </c>
    </row>
    <row r="174" spans="1:3" s="10" customFormat="1" ht="62.4" x14ac:dyDescent="0.3">
      <c r="A174" s="32" t="s">
        <v>52</v>
      </c>
      <c r="B174" s="6" t="s">
        <v>162</v>
      </c>
      <c r="C174" s="7">
        <v>450000</v>
      </c>
    </row>
    <row r="175" spans="1:3" s="10" customFormat="1" ht="46.8" x14ac:dyDescent="0.3">
      <c r="A175" s="32" t="s">
        <v>55</v>
      </c>
      <c r="B175" s="6" t="s">
        <v>208</v>
      </c>
      <c r="C175" s="7">
        <v>779755</v>
      </c>
    </row>
    <row r="176" spans="1:3" s="10" customFormat="1" ht="15.75" customHeight="1" x14ac:dyDescent="0.3">
      <c r="A176" s="32"/>
      <c r="B176" s="12" t="s">
        <v>15</v>
      </c>
      <c r="C176" s="8">
        <f>SUM(C171:C175)</f>
        <v>5123167</v>
      </c>
    </row>
    <row r="177" spans="1:3" s="10" customFormat="1" ht="15.75" customHeight="1" x14ac:dyDescent="0.3">
      <c r="A177" s="51" t="s">
        <v>7</v>
      </c>
      <c r="B177" s="52"/>
      <c r="C177" s="53"/>
    </row>
    <row r="178" spans="1:3" s="10" customFormat="1" ht="31.2" x14ac:dyDescent="0.3">
      <c r="A178" s="32" t="s">
        <v>51</v>
      </c>
      <c r="B178" s="6" t="s">
        <v>209</v>
      </c>
      <c r="C178" s="11">
        <f>2000000-4336+662118</f>
        <v>2657782</v>
      </c>
    </row>
    <row r="179" spans="1:3" s="10" customFormat="1" ht="46.8" x14ac:dyDescent="0.3">
      <c r="A179" s="32" t="s">
        <v>54</v>
      </c>
      <c r="B179" s="6" t="s">
        <v>210</v>
      </c>
      <c r="C179" s="11">
        <f>3000000+3807159-53626</f>
        <v>6753533</v>
      </c>
    </row>
    <row r="180" spans="1:3" s="10" customFormat="1" ht="40.799999999999997" customHeight="1" x14ac:dyDescent="0.3">
      <c r="A180" s="32" t="s">
        <v>56</v>
      </c>
      <c r="B180" s="6" t="s">
        <v>211</v>
      </c>
      <c r="C180" s="11">
        <f>3500000+1004255-74651</f>
        <v>4429604</v>
      </c>
    </row>
    <row r="181" spans="1:3" s="10" customFormat="1" ht="46.8" x14ac:dyDescent="0.3">
      <c r="A181" s="32" t="s">
        <v>52</v>
      </c>
      <c r="B181" s="6" t="s">
        <v>212</v>
      </c>
      <c r="C181" s="11">
        <f>3000000+639004-75282</f>
        <v>3563722</v>
      </c>
    </row>
    <row r="182" spans="1:3" s="10" customFormat="1" ht="15.75" customHeight="1" x14ac:dyDescent="0.3">
      <c r="A182" s="32"/>
      <c r="B182" s="12" t="s">
        <v>15</v>
      </c>
      <c r="C182" s="8">
        <f>SUM(C178:C181)</f>
        <v>17404641</v>
      </c>
    </row>
    <row r="183" spans="1:3" s="10" customFormat="1" ht="15.75" customHeight="1" x14ac:dyDescent="0.3">
      <c r="A183" s="51" t="s">
        <v>35</v>
      </c>
      <c r="B183" s="52"/>
      <c r="C183" s="53"/>
    </row>
    <row r="184" spans="1:3" s="10" customFormat="1" ht="31.2" x14ac:dyDescent="0.3">
      <c r="A184" s="32">
        <v>1</v>
      </c>
      <c r="B184" s="6" t="s">
        <v>231</v>
      </c>
      <c r="C184" s="14">
        <f>3000000-297</f>
        <v>2999703</v>
      </c>
    </row>
    <row r="185" spans="1:3" s="10" customFormat="1" ht="15.75" customHeight="1" x14ac:dyDescent="0.3">
      <c r="A185" s="32"/>
      <c r="B185" s="12" t="s">
        <v>15</v>
      </c>
      <c r="C185" s="8">
        <f>SUM(C184)</f>
        <v>2999703</v>
      </c>
    </row>
    <row r="186" spans="1:3" s="10" customFormat="1" ht="15.75" customHeight="1" x14ac:dyDescent="0.3">
      <c r="A186" s="51" t="s">
        <v>16</v>
      </c>
      <c r="B186" s="52"/>
      <c r="C186" s="53"/>
    </row>
    <row r="187" spans="1:3" s="10" customFormat="1" ht="31.5" customHeight="1" x14ac:dyDescent="0.3">
      <c r="A187" s="32" t="s">
        <v>51</v>
      </c>
      <c r="B187" s="6" t="s">
        <v>69</v>
      </c>
      <c r="C187" s="11">
        <f>10000000-5900000+2000000</f>
        <v>6100000</v>
      </c>
    </row>
    <row r="188" spans="1:3" s="10" customFormat="1" ht="31.2" x14ac:dyDescent="0.3">
      <c r="A188" s="32" t="s">
        <v>54</v>
      </c>
      <c r="B188" s="6" t="s">
        <v>163</v>
      </c>
      <c r="C188" s="11">
        <f>1230833-31256</f>
        <v>1199577</v>
      </c>
    </row>
    <row r="189" spans="1:3" s="10" customFormat="1" ht="31.2" x14ac:dyDescent="0.3">
      <c r="A189" s="32" t="s">
        <v>56</v>
      </c>
      <c r="B189" s="6" t="s">
        <v>104</v>
      </c>
      <c r="C189" s="11">
        <f>1490000+1642000</f>
        <v>3132000</v>
      </c>
    </row>
    <row r="190" spans="1:3" s="10" customFormat="1" ht="31.2" x14ac:dyDescent="0.3">
      <c r="A190" s="32" t="s">
        <v>52</v>
      </c>
      <c r="B190" s="6" t="s">
        <v>164</v>
      </c>
      <c r="C190" s="11">
        <f>462662+1700000</f>
        <v>2162662</v>
      </c>
    </row>
    <row r="191" spans="1:3" s="10" customFormat="1" x14ac:dyDescent="0.3">
      <c r="A191" s="32" t="s">
        <v>55</v>
      </c>
      <c r="B191" s="6" t="s">
        <v>97</v>
      </c>
      <c r="C191" s="11">
        <v>3534883</v>
      </c>
    </row>
    <row r="192" spans="1:3" s="10" customFormat="1" ht="46.8" x14ac:dyDescent="0.3">
      <c r="A192" s="32" t="s">
        <v>57</v>
      </c>
      <c r="B192" s="6" t="s">
        <v>165</v>
      </c>
      <c r="C192" s="11">
        <f>3442139+300000</f>
        <v>3742139</v>
      </c>
    </row>
    <row r="193" spans="1:3" s="10" customFormat="1" ht="15.75" customHeight="1" x14ac:dyDescent="0.3">
      <c r="A193" s="32"/>
      <c r="B193" s="12" t="s">
        <v>15</v>
      </c>
      <c r="C193" s="8">
        <f>SUM(C187:C192)</f>
        <v>19871261</v>
      </c>
    </row>
    <row r="194" spans="1:3" s="10" customFormat="1" ht="15.75" customHeight="1" x14ac:dyDescent="0.3">
      <c r="A194" s="51" t="s">
        <v>8</v>
      </c>
      <c r="B194" s="52"/>
      <c r="C194" s="53"/>
    </row>
    <row r="195" spans="1:3" s="10" customFormat="1" x14ac:dyDescent="0.3">
      <c r="A195" s="32" t="s">
        <v>51</v>
      </c>
      <c r="B195" s="13" t="s">
        <v>37</v>
      </c>
      <c r="C195" s="11">
        <f>847181-1181</f>
        <v>846000</v>
      </c>
    </row>
    <row r="196" spans="1:3" s="10" customFormat="1" ht="31.2" x14ac:dyDescent="0.3">
      <c r="A196" s="32" t="s">
        <v>54</v>
      </c>
      <c r="B196" s="13" t="s">
        <v>166</v>
      </c>
      <c r="C196" s="11">
        <f>1100000+200000</f>
        <v>1300000</v>
      </c>
    </row>
    <row r="197" spans="1:3" s="10" customFormat="1" x14ac:dyDescent="0.3">
      <c r="A197" s="32" t="s">
        <v>56</v>
      </c>
      <c r="B197" s="13" t="s">
        <v>60</v>
      </c>
      <c r="C197" s="11">
        <f>1312268-20012-930</f>
        <v>1291326</v>
      </c>
    </row>
    <row r="198" spans="1:3" s="10" customFormat="1" ht="31.2" x14ac:dyDescent="0.3">
      <c r="A198" s="32" t="s">
        <v>52</v>
      </c>
      <c r="B198" s="13" t="s">
        <v>167</v>
      </c>
      <c r="C198" s="11">
        <v>1978070</v>
      </c>
    </row>
    <row r="199" spans="1:3" s="10" customFormat="1" ht="31.2" x14ac:dyDescent="0.3">
      <c r="A199" s="32" t="s">
        <v>55</v>
      </c>
      <c r="B199" s="13" t="s">
        <v>213</v>
      </c>
      <c r="C199" s="11">
        <f>741472+300000+275758-2740</f>
        <v>1314490</v>
      </c>
    </row>
    <row r="200" spans="1:3" s="10" customFormat="1" ht="31.2" x14ac:dyDescent="0.3">
      <c r="A200" s="32" t="s">
        <v>57</v>
      </c>
      <c r="B200" s="13" t="s">
        <v>214</v>
      </c>
      <c r="C200" s="11">
        <f>865220-305</f>
        <v>864915</v>
      </c>
    </row>
    <row r="201" spans="1:3" s="10" customFormat="1" ht="31.2" x14ac:dyDescent="0.3">
      <c r="A201" s="40" t="s">
        <v>59</v>
      </c>
      <c r="B201" s="13" t="s">
        <v>189</v>
      </c>
      <c r="C201" s="11">
        <f>0+630458</f>
        <v>630458</v>
      </c>
    </row>
    <row r="202" spans="1:3" s="10" customFormat="1" ht="15.75" customHeight="1" x14ac:dyDescent="0.3">
      <c r="A202" s="32"/>
      <c r="B202" s="12" t="s">
        <v>15</v>
      </c>
      <c r="C202" s="8">
        <f>SUM(C195:C201)</f>
        <v>8225259</v>
      </c>
    </row>
    <row r="203" spans="1:3" s="10" customFormat="1" ht="15.75" customHeight="1" x14ac:dyDescent="0.3">
      <c r="A203" s="51" t="s">
        <v>19</v>
      </c>
      <c r="B203" s="52"/>
      <c r="C203" s="53"/>
    </row>
    <row r="204" spans="1:3" s="10" customFormat="1" ht="31.2" x14ac:dyDescent="0.3">
      <c r="A204" s="19" t="s">
        <v>51</v>
      </c>
      <c r="B204" s="6" t="s">
        <v>168</v>
      </c>
      <c r="C204" s="11">
        <f>6312373</f>
        <v>6312373</v>
      </c>
    </row>
    <row r="205" spans="1:3" s="10" customFormat="1" ht="46.8" x14ac:dyDescent="0.3">
      <c r="A205" s="19" t="s">
        <v>54</v>
      </c>
      <c r="B205" s="6" t="s">
        <v>215</v>
      </c>
      <c r="C205" s="14">
        <v>1300000</v>
      </c>
    </row>
    <row r="206" spans="1:3" s="10" customFormat="1" ht="31.2" x14ac:dyDescent="0.3">
      <c r="A206" s="19" t="s">
        <v>56</v>
      </c>
      <c r="B206" s="6" t="s">
        <v>169</v>
      </c>
      <c r="C206" s="14">
        <v>400000</v>
      </c>
    </row>
    <row r="207" spans="1:3" s="10" customFormat="1" ht="15.75" customHeight="1" x14ac:dyDescent="0.3">
      <c r="A207" s="32"/>
      <c r="B207" s="12" t="s">
        <v>15</v>
      </c>
      <c r="C207" s="8">
        <f>SUM(C204:C206)</f>
        <v>8012373</v>
      </c>
    </row>
    <row r="208" spans="1:3" s="10" customFormat="1" ht="15.75" customHeight="1" x14ac:dyDescent="0.3">
      <c r="A208" s="51" t="s">
        <v>4</v>
      </c>
      <c r="B208" s="52"/>
      <c r="C208" s="53"/>
    </row>
    <row r="209" spans="1:3" s="10" customFormat="1" ht="31.2" x14ac:dyDescent="0.3">
      <c r="A209" s="32" t="s">
        <v>51</v>
      </c>
      <c r="B209" s="6" t="s">
        <v>105</v>
      </c>
      <c r="C209" s="7">
        <f>1000000-100</f>
        <v>999900</v>
      </c>
    </row>
    <row r="210" spans="1:3" s="10" customFormat="1" ht="46.8" x14ac:dyDescent="0.3">
      <c r="A210" s="32" t="s">
        <v>54</v>
      </c>
      <c r="B210" s="6" t="s">
        <v>70</v>
      </c>
      <c r="C210" s="7">
        <f>1000000+355335-100</f>
        <v>1355235</v>
      </c>
    </row>
    <row r="211" spans="1:3" s="10" customFormat="1" x14ac:dyDescent="0.3">
      <c r="A211" s="32" t="s">
        <v>56</v>
      </c>
      <c r="B211" s="6" t="s">
        <v>71</v>
      </c>
      <c r="C211" s="7">
        <f>1900000-17442</f>
        <v>1882558</v>
      </c>
    </row>
    <row r="212" spans="1:3" s="10" customFormat="1" ht="15.75" customHeight="1" x14ac:dyDescent="0.3">
      <c r="A212" s="32"/>
      <c r="B212" s="12" t="s">
        <v>15</v>
      </c>
      <c r="C212" s="8">
        <f>SUM(C209:C211)</f>
        <v>4237693</v>
      </c>
    </row>
    <row r="213" spans="1:3" s="10" customFormat="1" ht="15.75" customHeight="1" x14ac:dyDescent="0.3">
      <c r="A213" s="51" t="s">
        <v>9</v>
      </c>
      <c r="B213" s="52"/>
      <c r="C213" s="53"/>
    </row>
    <row r="214" spans="1:3" s="10" customFormat="1" ht="31.2" x14ac:dyDescent="0.3">
      <c r="A214" s="32" t="s">
        <v>51</v>
      </c>
      <c r="B214" s="6" t="s">
        <v>170</v>
      </c>
      <c r="C214" s="11">
        <f>475102+486734</f>
        <v>961836</v>
      </c>
    </row>
    <row r="215" spans="1:3" s="10" customFormat="1" ht="62.4" x14ac:dyDescent="0.3">
      <c r="A215" s="32" t="s">
        <v>54</v>
      </c>
      <c r="B215" s="6" t="s">
        <v>216</v>
      </c>
      <c r="C215" s="11">
        <v>312225</v>
      </c>
    </row>
    <row r="216" spans="1:3" s="10" customFormat="1" ht="31.2" x14ac:dyDescent="0.3">
      <c r="A216" s="32" t="s">
        <v>56</v>
      </c>
      <c r="B216" s="6" t="s">
        <v>217</v>
      </c>
      <c r="C216" s="11">
        <v>713582</v>
      </c>
    </row>
    <row r="217" spans="1:3" s="10" customFormat="1" ht="49.2" customHeight="1" x14ac:dyDescent="0.3">
      <c r="A217" s="32" t="s">
        <v>52</v>
      </c>
      <c r="B217" s="6" t="s">
        <v>171</v>
      </c>
      <c r="C217" s="11">
        <f>243000-157028</f>
        <v>85972</v>
      </c>
    </row>
    <row r="218" spans="1:3" s="10" customFormat="1" ht="15.75" customHeight="1" x14ac:dyDescent="0.3">
      <c r="A218" s="32"/>
      <c r="B218" s="12" t="s">
        <v>15</v>
      </c>
      <c r="C218" s="8">
        <f>SUM(C214:C217)</f>
        <v>2073615</v>
      </c>
    </row>
    <row r="219" spans="1:3" s="10" customFormat="1" ht="15.75" customHeight="1" x14ac:dyDescent="0.3">
      <c r="A219" s="51" t="s">
        <v>10</v>
      </c>
      <c r="B219" s="52"/>
      <c r="C219" s="53"/>
    </row>
    <row r="220" spans="1:3" s="10" customFormat="1" ht="31.2" x14ac:dyDescent="0.3">
      <c r="A220" s="32" t="s">
        <v>51</v>
      </c>
      <c r="B220" s="13" t="s">
        <v>173</v>
      </c>
      <c r="C220" s="7">
        <v>931535</v>
      </c>
    </row>
    <row r="221" spans="1:3" s="10" customFormat="1" ht="30.75" customHeight="1" x14ac:dyDescent="0.3">
      <c r="A221" s="32" t="s">
        <v>54</v>
      </c>
      <c r="B221" s="13" t="s">
        <v>193</v>
      </c>
      <c r="C221" s="7">
        <v>2344096</v>
      </c>
    </row>
    <row r="222" spans="1:3" s="10" customFormat="1" ht="31.2" x14ac:dyDescent="0.3">
      <c r="A222" s="32" t="s">
        <v>56</v>
      </c>
      <c r="B222" s="13" t="s">
        <v>218</v>
      </c>
      <c r="C222" s="7">
        <f>314584+26531+154875</f>
        <v>495990</v>
      </c>
    </row>
    <row r="223" spans="1:3" s="10" customFormat="1" ht="31.2" x14ac:dyDescent="0.3">
      <c r="A223" s="32" t="s">
        <v>52</v>
      </c>
      <c r="B223" s="6" t="s">
        <v>172</v>
      </c>
      <c r="C223" s="11">
        <f>161546+8455+90000</f>
        <v>260001</v>
      </c>
    </row>
    <row r="224" spans="1:3" s="10" customFormat="1" ht="50.4" customHeight="1" x14ac:dyDescent="0.3">
      <c r="A224" s="32" t="s">
        <v>55</v>
      </c>
      <c r="B224" s="13" t="s">
        <v>184</v>
      </c>
      <c r="C224" s="7">
        <v>200606</v>
      </c>
    </row>
    <row r="225" spans="1:3" s="10" customFormat="1" ht="46.8" x14ac:dyDescent="0.3">
      <c r="A225" s="32" t="s">
        <v>57</v>
      </c>
      <c r="B225" s="6" t="s">
        <v>185</v>
      </c>
      <c r="C225" s="11">
        <v>60061</v>
      </c>
    </row>
    <row r="226" spans="1:3" s="10" customFormat="1" ht="15.75" customHeight="1" x14ac:dyDescent="0.3">
      <c r="A226" s="32"/>
      <c r="B226" s="12" t="s">
        <v>15</v>
      </c>
      <c r="C226" s="8">
        <f>SUM(C220:C225)</f>
        <v>4292289</v>
      </c>
    </row>
    <row r="227" spans="1:3" s="10" customFormat="1" ht="15.75" customHeight="1" x14ac:dyDescent="0.3">
      <c r="A227" s="51" t="s">
        <v>31</v>
      </c>
      <c r="B227" s="52"/>
      <c r="C227" s="53"/>
    </row>
    <row r="228" spans="1:3" s="10" customFormat="1" ht="59.4" customHeight="1" x14ac:dyDescent="0.3">
      <c r="A228" s="32" t="s">
        <v>51</v>
      </c>
      <c r="B228" s="75" t="s">
        <v>233</v>
      </c>
      <c r="C228" s="11">
        <f>8000000-1791053-200000+3243981-296613+2078495+2000000-14007</f>
        <v>13020803</v>
      </c>
    </row>
    <row r="229" spans="1:3" s="10" customFormat="1" ht="15.75" customHeight="1" x14ac:dyDescent="0.3">
      <c r="A229" s="32"/>
      <c r="B229" s="12" t="s">
        <v>15</v>
      </c>
      <c r="C229" s="8">
        <f>SUM(C228)</f>
        <v>13020803</v>
      </c>
    </row>
    <row r="230" spans="1:3" s="10" customFormat="1" ht="15.75" customHeight="1" x14ac:dyDescent="0.3">
      <c r="A230" s="51" t="s">
        <v>3</v>
      </c>
      <c r="B230" s="52"/>
      <c r="C230" s="53"/>
    </row>
    <row r="231" spans="1:3" s="10" customFormat="1" x14ac:dyDescent="0.3">
      <c r="A231" s="32" t="s">
        <v>51</v>
      </c>
      <c r="B231" s="6" t="s">
        <v>72</v>
      </c>
      <c r="C231" s="11">
        <f>2802743+1907148</f>
        <v>4709891</v>
      </c>
    </row>
    <row r="232" spans="1:3" s="10" customFormat="1" x14ac:dyDescent="0.3">
      <c r="A232" s="32"/>
      <c r="B232" s="12" t="s">
        <v>15</v>
      </c>
      <c r="C232" s="8">
        <f>SUM(C231)</f>
        <v>4709891</v>
      </c>
    </row>
    <row r="233" spans="1:3" s="10" customFormat="1" ht="15.75" customHeight="1" x14ac:dyDescent="0.3">
      <c r="A233" s="32"/>
      <c r="B233" s="12" t="s">
        <v>84</v>
      </c>
      <c r="C233" s="8">
        <f>C232+C229+C226+C218+C212+C207+C202+C193+C185+C182+C176+C169+C165</f>
        <v>97547207</v>
      </c>
    </row>
    <row r="234" spans="1:3" s="10" customFormat="1" ht="15.75" customHeight="1" x14ac:dyDescent="0.3">
      <c r="A234" s="54" t="s">
        <v>85</v>
      </c>
      <c r="B234" s="55"/>
      <c r="C234" s="56"/>
    </row>
    <row r="235" spans="1:3" s="10" customFormat="1" ht="15.75" customHeight="1" x14ac:dyDescent="0.3">
      <c r="A235" s="51" t="s">
        <v>34</v>
      </c>
      <c r="B235" s="52"/>
      <c r="C235" s="53"/>
    </row>
    <row r="236" spans="1:3" s="10" customFormat="1" ht="31.2" x14ac:dyDescent="0.3">
      <c r="A236" s="32" t="s">
        <v>51</v>
      </c>
      <c r="B236" s="6" t="s">
        <v>73</v>
      </c>
      <c r="C236" s="11">
        <f>125500+141620-142123</f>
        <v>124997</v>
      </c>
    </row>
    <row r="237" spans="1:3" s="10" customFormat="1" ht="15.75" customHeight="1" x14ac:dyDescent="0.3">
      <c r="A237" s="31"/>
      <c r="B237" s="12" t="s">
        <v>15</v>
      </c>
      <c r="C237" s="8">
        <f>SUM(C236:C236)</f>
        <v>124997</v>
      </c>
    </row>
    <row r="238" spans="1:3" s="10" customFormat="1" ht="15.75" customHeight="1" x14ac:dyDescent="0.3">
      <c r="A238" s="51" t="s">
        <v>3</v>
      </c>
      <c r="B238" s="52"/>
      <c r="C238" s="53"/>
    </row>
    <row r="239" spans="1:3" s="10" customFormat="1" ht="31.2" x14ac:dyDescent="0.3">
      <c r="A239" s="32" t="s">
        <v>51</v>
      </c>
      <c r="B239" s="6" t="s">
        <v>130</v>
      </c>
      <c r="C239" s="11">
        <v>2269604</v>
      </c>
    </row>
    <row r="240" spans="1:3" s="10" customFormat="1" ht="31.2" x14ac:dyDescent="0.3">
      <c r="A240" s="32" t="s">
        <v>54</v>
      </c>
      <c r="B240" s="6" t="s">
        <v>106</v>
      </c>
      <c r="C240" s="11">
        <v>2230000</v>
      </c>
    </row>
    <row r="241" spans="1:4" s="10" customFormat="1" ht="15.75" customHeight="1" x14ac:dyDescent="0.3">
      <c r="A241" s="16"/>
      <c r="B241" s="12" t="s">
        <v>15</v>
      </c>
      <c r="C241" s="8">
        <f>SUM(C239:C240)</f>
        <v>4499604</v>
      </c>
    </row>
    <row r="242" spans="1:4" s="10" customFormat="1" ht="15.75" customHeight="1" x14ac:dyDescent="0.3">
      <c r="A242" s="51" t="s">
        <v>25</v>
      </c>
      <c r="B242" s="52"/>
      <c r="C242" s="53"/>
    </row>
    <row r="243" spans="1:4" s="10" customFormat="1" ht="39.75" customHeight="1" x14ac:dyDescent="0.3">
      <c r="A243" s="32" t="s">
        <v>51</v>
      </c>
      <c r="B243" s="15" t="s">
        <v>234</v>
      </c>
      <c r="C243" s="11">
        <f>410026-4495</f>
        <v>405531</v>
      </c>
    </row>
    <row r="244" spans="1:4" s="10" customFormat="1" ht="31.2" x14ac:dyDescent="0.3">
      <c r="A244" s="32" t="s">
        <v>54</v>
      </c>
      <c r="B244" s="6" t="s">
        <v>219</v>
      </c>
      <c r="C244" s="11">
        <f>1270085-6160</f>
        <v>1263925</v>
      </c>
    </row>
    <row r="245" spans="1:4" s="10" customFormat="1" ht="31.2" x14ac:dyDescent="0.3">
      <c r="A245" s="32" t="s">
        <v>56</v>
      </c>
      <c r="B245" s="15" t="s">
        <v>174</v>
      </c>
      <c r="C245" s="11">
        <f>368852-2994</f>
        <v>365858</v>
      </c>
    </row>
    <row r="246" spans="1:4" s="10" customFormat="1" ht="15.75" customHeight="1" x14ac:dyDescent="0.3">
      <c r="A246" s="32"/>
      <c r="B246" s="12" t="s">
        <v>15</v>
      </c>
      <c r="C246" s="8">
        <f>SUM(C243:C245)</f>
        <v>2035314</v>
      </c>
    </row>
    <row r="247" spans="1:4" s="10" customFormat="1" ht="15.75" customHeight="1" x14ac:dyDescent="0.3">
      <c r="A247" s="51" t="s">
        <v>42</v>
      </c>
      <c r="B247" s="52"/>
      <c r="C247" s="53"/>
    </row>
    <row r="248" spans="1:4" s="10" customFormat="1" ht="31.2" x14ac:dyDescent="0.3">
      <c r="A248" s="32" t="s">
        <v>51</v>
      </c>
      <c r="B248" s="6" t="s">
        <v>220</v>
      </c>
      <c r="C248" s="11">
        <v>929012</v>
      </c>
    </row>
    <row r="249" spans="1:4" s="10" customFormat="1" ht="36.6" customHeight="1" x14ac:dyDescent="0.3">
      <c r="A249" s="32" t="s">
        <v>54</v>
      </c>
      <c r="B249" s="6" t="s">
        <v>107</v>
      </c>
      <c r="C249" s="11">
        <f>746000+966287</f>
        <v>1712287</v>
      </c>
    </row>
    <row r="250" spans="1:4" s="10" customFormat="1" ht="15.75" customHeight="1" x14ac:dyDescent="0.3">
      <c r="A250" s="32"/>
      <c r="B250" s="12" t="s">
        <v>15</v>
      </c>
      <c r="C250" s="8">
        <f>SUM(C248:C249)</f>
        <v>2641299</v>
      </c>
    </row>
    <row r="251" spans="1:4" s="10" customFormat="1" ht="15.75" customHeight="1" x14ac:dyDescent="0.3">
      <c r="A251" s="51" t="s">
        <v>23</v>
      </c>
      <c r="B251" s="52"/>
      <c r="C251" s="53"/>
    </row>
    <row r="252" spans="1:4" s="10" customFormat="1" ht="31.2" x14ac:dyDescent="0.3">
      <c r="A252" s="32" t="s">
        <v>51</v>
      </c>
      <c r="B252" s="6" t="s">
        <v>186</v>
      </c>
      <c r="C252" s="11">
        <f>1480506+147584</f>
        <v>1628090</v>
      </c>
    </row>
    <row r="253" spans="1:4" s="10" customFormat="1" ht="15.75" customHeight="1" x14ac:dyDescent="0.3">
      <c r="A253" s="16"/>
      <c r="B253" s="12" t="s">
        <v>15</v>
      </c>
      <c r="C253" s="8">
        <f>SUM(C252)</f>
        <v>1628090</v>
      </c>
    </row>
    <row r="254" spans="1:4" s="10" customFormat="1" ht="15.75" customHeight="1" x14ac:dyDescent="0.3">
      <c r="A254" s="51" t="s">
        <v>26</v>
      </c>
      <c r="B254" s="52"/>
      <c r="C254" s="53"/>
    </row>
    <row r="255" spans="1:4" s="10" customFormat="1" ht="31.2" x14ac:dyDescent="0.3">
      <c r="A255" s="32" t="s">
        <v>51</v>
      </c>
      <c r="B255" s="6" t="s">
        <v>175</v>
      </c>
      <c r="C255" s="11">
        <f>682482-385308</f>
        <v>297174</v>
      </c>
    </row>
    <row r="256" spans="1:4" s="10" customFormat="1" ht="15.75" customHeight="1" x14ac:dyDescent="0.3">
      <c r="A256" s="16"/>
      <c r="B256" s="12" t="s">
        <v>15</v>
      </c>
      <c r="C256" s="8">
        <f>SUM(C255:C255)</f>
        <v>297174</v>
      </c>
      <c r="D256" s="20"/>
    </row>
    <row r="257" spans="1:195" s="10" customFormat="1" ht="15.75" customHeight="1" x14ac:dyDescent="0.3">
      <c r="A257" s="51" t="s">
        <v>24</v>
      </c>
      <c r="B257" s="52"/>
      <c r="C257" s="53"/>
    </row>
    <row r="258" spans="1:195" s="10" customFormat="1" ht="31.2" x14ac:dyDescent="0.3">
      <c r="A258" s="32" t="s">
        <v>51</v>
      </c>
      <c r="B258" s="6" t="s">
        <v>221</v>
      </c>
      <c r="C258" s="11">
        <v>500000</v>
      </c>
    </row>
    <row r="259" spans="1:195" s="10" customFormat="1" ht="15.75" customHeight="1" x14ac:dyDescent="0.3">
      <c r="A259" s="16"/>
      <c r="B259" s="12" t="s">
        <v>15</v>
      </c>
      <c r="C259" s="8">
        <f>SUM(C258)</f>
        <v>500000</v>
      </c>
    </row>
    <row r="260" spans="1:195" s="10" customFormat="1" ht="15.75" customHeight="1" x14ac:dyDescent="0.3">
      <c r="A260" s="32"/>
      <c r="B260" s="12" t="s">
        <v>86</v>
      </c>
      <c r="C260" s="8">
        <f>C259+C256+C253+C250+C246+C241+C237</f>
        <v>11726478</v>
      </c>
    </row>
    <row r="261" spans="1:195" s="10" customFormat="1" ht="15.75" customHeight="1" x14ac:dyDescent="0.3">
      <c r="A261" s="54" t="s">
        <v>87</v>
      </c>
      <c r="B261" s="55"/>
      <c r="C261" s="56"/>
    </row>
    <row r="262" spans="1:195" s="10" customFormat="1" ht="40.5" customHeight="1" x14ac:dyDescent="0.3">
      <c r="A262" s="48" t="s">
        <v>222</v>
      </c>
      <c r="B262" s="49"/>
      <c r="C262" s="50"/>
    </row>
    <row r="263" spans="1:195" s="10" customFormat="1" ht="31.2" x14ac:dyDescent="0.3">
      <c r="A263" s="32" t="s">
        <v>51</v>
      </c>
      <c r="B263" s="6" t="s">
        <v>33</v>
      </c>
      <c r="C263" s="7">
        <v>2000000</v>
      </c>
    </row>
    <row r="264" spans="1:195" s="10" customFormat="1" x14ac:dyDescent="0.3">
      <c r="A264" s="32"/>
      <c r="B264" s="12" t="s">
        <v>15</v>
      </c>
      <c r="C264" s="8">
        <f>SUM(C263)</f>
        <v>2000000</v>
      </c>
    </row>
    <row r="265" spans="1:195" s="10" customFormat="1" ht="15.75" customHeight="1" x14ac:dyDescent="0.3">
      <c r="A265" s="32"/>
      <c r="B265" s="12" t="s">
        <v>88</v>
      </c>
      <c r="C265" s="8">
        <f>SUM(C264)</f>
        <v>2000000</v>
      </c>
    </row>
    <row r="266" spans="1:195" s="10" customFormat="1" ht="15.75" customHeight="1" x14ac:dyDescent="0.3">
      <c r="A266" s="54" t="s">
        <v>82</v>
      </c>
      <c r="B266" s="55"/>
      <c r="C266" s="56"/>
    </row>
    <row r="267" spans="1:195" s="10" customFormat="1" ht="15.75" customHeight="1" x14ac:dyDescent="0.3">
      <c r="A267" s="51" t="s">
        <v>24</v>
      </c>
      <c r="B267" s="52"/>
      <c r="C267" s="53"/>
    </row>
    <row r="268" spans="1:195" s="10" customFormat="1" ht="46.8" x14ac:dyDescent="0.3">
      <c r="A268" s="32" t="s">
        <v>51</v>
      </c>
      <c r="B268" s="6" t="s">
        <v>223</v>
      </c>
      <c r="C268" s="7">
        <f>173784-150000</f>
        <v>23784</v>
      </c>
      <c r="D268" s="18"/>
    </row>
    <row r="269" spans="1:195" s="10" customFormat="1" x14ac:dyDescent="0.3">
      <c r="A269" s="32"/>
      <c r="B269" s="12" t="s">
        <v>15</v>
      </c>
      <c r="C269" s="8">
        <f>SUM(C268)</f>
        <v>23784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  <c r="DK269" s="18"/>
      <c r="DL269" s="18"/>
      <c r="DM269" s="18"/>
      <c r="DN269" s="18"/>
      <c r="DO269" s="18"/>
      <c r="DP269" s="18"/>
      <c r="DQ269" s="18"/>
      <c r="DR269" s="18"/>
      <c r="DS269" s="18"/>
      <c r="DT269" s="18"/>
      <c r="DU269" s="18"/>
      <c r="DV269" s="18"/>
      <c r="DW269" s="18"/>
      <c r="DX269" s="18"/>
      <c r="DY269" s="18"/>
      <c r="DZ269" s="18"/>
      <c r="EA269" s="18"/>
      <c r="EB269" s="18"/>
      <c r="EC269" s="18"/>
      <c r="ED269" s="18"/>
      <c r="EE269" s="18"/>
      <c r="EF269" s="18"/>
      <c r="EG269" s="18"/>
      <c r="EH269" s="18"/>
      <c r="EI269" s="18"/>
      <c r="EJ269" s="18"/>
      <c r="EK269" s="18"/>
      <c r="EL269" s="18"/>
      <c r="EM269" s="18"/>
      <c r="EN269" s="18"/>
      <c r="EO269" s="18"/>
      <c r="EP269" s="18"/>
      <c r="EQ269" s="18"/>
      <c r="ER269" s="18"/>
      <c r="ES269" s="18"/>
      <c r="ET269" s="18"/>
      <c r="EU269" s="18"/>
      <c r="EV269" s="18"/>
      <c r="EW269" s="18"/>
      <c r="EX269" s="18"/>
      <c r="EY269" s="18"/>
      <c r="EZ269" s="18"/>
      <c r="FA269" s="18"/>
      <c r="FB269" s="18"/>
      <c r="FC269" s="18"/>
      <c r="FD269" s="18"/>
      <c r="FE269" s="18"/>
      <c r="FF269" s="18"/>
      <c r="FG269" s="18"/>
      <c r="FH269" s="18"/>
      <c r="FI269" s="18"/>
      <c r="FJ269" s="18"/>
      <c r="FK269" s="18"/>
      <c r="FL269" s="18"/>
      <c r="FM269" s="18"/>
      <c r="FN269" s="18"/>
      <c r="FO269" s="18"/>
      <c r="FP269" s="18"/>
      <c r="FQ269" s="18"/>
      <c r="FR269" s="18"/>
      <c r="FS269" s="18"/>
      <c r="FT269" s="18"/>
      <c r="FU269" s="18"/>
      <c r="FV269" s="18"/>
      <c r="FW269" s="18"/>
      <c r="FX269" s="18"/>
      <c r="FY269" s="18"/>
      <c r="FZ269" s="18"/>
      <c r="GA269" s="18"/>
      <c r="GB269" s="18"/>
      <c r="GC269" s="18"/>
      <c r="GD269" s="18"/>
      <c r="GE269" s="18"/>
      <c r="GF269" s="18"/>
      <c r="GG269" s="18"/>
      <c r="GH269" s="18"/>
      <c r="GI269" s="18"/>
      <c r="GJ269" s="18"/>
      <c r="GK269" s="18"/>
      <c r="GL269" s="18"/>
      <c r="GM269" s="18"/>
    </row>
    <row r="270" spans="1:195" s="10" customFormat="1" x14ac:dyDescent="0.3">
      <c r="A270" s="32"/>
      <c r="B270" s="12" t="s">
        <v>81</v>
      </c>
      <c r="C270" s="8">
        <f>SUM(C269)</f>
        <v>23784</v>
      </c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  <c r="DK270" s="18"/>
      <c r="DL270" s="18"/>
      <c r="DM270" s="18"/>
      <c r="DN270" s="18"/>
      <c r="DO270" s="18"/>
      <c r="DP270" s="18"/>
      <c r="DQ270" s="18"/>
      <c r="DR270" s="18"/>
      <c r="DS270" s="18"/>
      <c r="DT270" s="18"/>
      <c r="DU270" s="18"/>
      <c r="DV270" s="18"/>
      <c r="DW270" s="18"/>
      <c r="DX270" s="18"/>
      <c r="DY270" s="18"/>
      <c r="DZ270" s="18"/>
      <c r="EA270" s="18"/>
      <c r="EB270" s="18"/>
      <c r="EC270" s="18"/>
      <c r="ED270" s="18"/>
      <c r="EE270" s="18"/>
      <c r="EF270" s="18"/>
      <c r="EG270" s="18"/>
      <c r="EH270" s="18"/>
      <c r="EI270" s="18"/>
      <c r="EJ270" s="18"/>
      <c r="EK270" s="18"/>
      <c r="EL270" s="18"/>
      <c r="EM270" s="18"/>
      <c r="EN270" s="18"/>
      <c r="EO270" s="18"/>
      <c r="EP270" s="18"/>
      <c r="EQ270" s="18"/>
      <c r="ER270" s="18"/>
      <c r="ES270" s="18"/>
      <c r="ET270" s="18"/>
      <c r="EU270" s="18"/>
      <c r="EV270" s="18"/>
      <c r="EW270" s="18"/>
      <c r="EX270" s="18"/>
      <c r="EY270" s="18"/>
      <c r="EZ270" s="18"/>
      <c r="FA270" s="18"/>
      <c r="FB270" s="18"/>
      <c r="FC270" s="18"/>
      <c r="FD270" s="18"/>
      <c r="FE270" s="18"/>
      <c r="FF270" s="18"/>
      <c r="FG270" s="18"/>
      <c r="FH270" s="18"/>
      <c r="FI270" s="18"/>
      <c r="FJ270" s="18"/>
      <c r="FK270" s="18"/>
      <c r="FL270" s="18"/>
      <c r="FM270" s="18"/>
      <c r="FN270" s="18"/>
      <c r="FO270" s="18"/>
      <c r="FP270" s="18"/>
      <c r="FQ270" s="18"/>
      <c r="FR270" s="18"/>
      <c r="FS270" s="18"/>
      <c r="FT270" s="18"/>
      <c r="FU270" s="18"/>
      <c r="FV270" s="18"/>
      <c r="FW270" s="18"/>
      <c r="FX270" s="18"/>
      <c r="FY270" s="18"/>
      <c r="FZ270" s="18"/>
      <c r="GA270" s="18"/>
      <c r="GB270" s="18"/>
      <c r="GC270" s="18"/>
      <c r="GD270" s="18"/>
      <c r="GE270" s="18"/>
      <c r="GF270" s="18"/>
      <c r="GG270" s="18"/>
      <c r="GH270" s="18"/>
      <c r="GI270" s="18"/>
      <c r="GJ270" s="18"/>
      <c r="GK270" s="18"/>
      <c r="GL270" s="18"/>
      <c r="GM270" s="18"/>
    </row>
    <row r="271" spans="1:195" s="10" customFormat="1" ht="35.25" customHeight="1" x14ac:dyDescent="0.3">
      <c r="A271" s="54" t="s">
        <v>75</v>
      </c>
      <c r="B271" s="55"/>
      <c r="C271" s="56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  <c r="DK271" s="18"/>
      <c r="DL271" s="18"/>
      <c r="DM271" s="18"/>
      <c r="DN271" s="18"/>
      <c r="DO271" s="18"/>
      <c r="DP271" s="18"/>
      <c r="DQ271" s="18"/>
      <c r="DR271" s="18"/>
      <c r="DS271" s="18"/>
      <c r="DT271" s="18"/>
      <c r="DU271" s="18"/>
      <c r="DV271" s="18"/>
      <c r="DW271" s="18"/>
      <c r="DX271" s="18"/>
      <c r="DY271" s="18"/>
      <c r="DZ271" s="18"/>
      <c r="EA271" s="18"/>
      <c r="EB271" s="18"/>
      <c r="EC271" s="18"/>
      <c r="ED271" s="18"/>
      <c r="EE271" s="18"/>
      <c r="EF271" s="18"/>
      <c r="EG271" s="18"/>
      <c r="EH271" s="18"/>
      <c r="EI271" s="18"/>
      <c r="EJ271" s="18"/>
      <c r="EK271" s="18"/>
      <c r="EL271" s="18"/>
      <c r="EM271" s="18"/>
      <c r="EN271" s="18"/>
      <c r="EO271" s="18"/>
      <c r="EP271" s="18"/>
      <c r="EQ271" s="18"/>
      <c r="ER271" s="18"/>
      <c r="ES271" s="18"/>
      <c r="ET271" s="18"/>
      <c r="EU271" s="18"/>
      <c r="EV271" s="18"/>
      <c r="EW271" s="18"/>
      <c r="EX271" s="18"/>
      <c r="EY271" s="18"/>
      <c r="EZ271" s="18"/>
      <c r="FA271" s="18"/>
      <c r="FB271" s="18"/>
      <c r="FC271" s="18"/>
      <c r="FD271" s="18"/>
      <c r="FE271" s="18"/>
      <c r="FF271" s="18"/>
      <c r="FG271" s="18"/>
      <c r="FH271" s="18"/>
      <c r="FI271" s="18"/>
      <c r="FJ271" s="18"/>
      <c r="FK271" s="18"/>
      <c r="FL271" s="18"/>
      <c r="FM271" s="18"/>
      <c r="FN271" s="18"/>
      <c r="FO271" s="18"/>
      <c r="FP271" s="18"/>
      <c r="FQ271" s="18"/>
      <c r="FR271" s="18"/>
      <c r="FS271" s="18"/>
      <c r="FT271" s="18"/>
      <c r="FU271" s="18"/>
      <c r="FV271" s="18"/>
      <c r="FW271" s="18"/>
      <c r="FX271" s="18"/>
      <c r="FY271" s="18"/>
      <c r="FZ271" s="18"/>
      <c r="GA271" s="18"/>
      <c r="GB271" s="18"/>
      <c r="GC271" s="18"/>
      <c r="GD271" s="18"/>
      <c r="GE271" s="18"/>
      <c r="GF271" s="18"/>
      <c r="GG271" s="18"/>
      <c r="GH271" s="18"/>
      <c r="GI271" s="18"/>
      <c r="GJ271" s="18"/>
      <c r="GK271" s="18"/>
      <c r="GL271" s="18"/>
      <c r="GM271" s="18"/>
    </row>
    <row r="272" spans="1:195" s="10" customFormat="1" ht="15.75" customHeight="1" x14ac:dyDescent="0.3">
      <c r="A272" s="51" t="s">
        <v>31</v>
      </c>
      <c r="B272" s="52"/>
      <c r="C272" s="53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  <c r="DJ272" s="18"/>
      <c r="DK272" s="18"/>
      <c r="DL272" s="18"/>
      <c r="DM272" s="18"/>
      <c r="DN272" s="18"/>
      <c r="DO272" s="18"/>
      <c r="DP272" s="18"/>
      <c r="DQ272" s="18"/>
      <c r="DR272" s="18"/>
      <c r="DS272" s="18"/>
      <c r="DT272" s="18"/>
      <c r="DU272" s="18"/>
      <c r="DV272" s="18"/>
      <c r="DW272" s="18"/>
      <c r="DX272" s="18"/>
      <c r="DY272" s="18"/>
      <c r="DZ272" s="18"/>
      <c r="EA272" s="18"/>
      <c r="EB272" s="18"/>
      <c r="EC272" s="18"/>
      <c r="ED272" s="18"/>
      <c r="EE272" s="18"/>
      <c r="EF272" s="18"/>
      <c r="EG272" s="18"/>
      <c r="EH272" s="18"/>
      <c r="EI272" s="18"/>
      <c r="EJ272" s="18"/>
      <c r="EK272" s="18"/>
      <c r="EL272" s="18"/>
      <c r="EM272" s="18"/>
      <c r="EN272" s="18"/>
      <c r="EO272" s="18"/>
      <c r="EP272" s="18"/>
      <c r="EQ272" s="18"/>
      <c r="ER272" s="18"/>
      <c r="ES272" s="18"/>
      <c r="ET272" s="18"/>
      <c r="EU272" s="18"/>
      <c r="EV272" s="18"/>
      <c r="EW272" s="18"/>
      <c r="EX272" s="18"/>
      <c r="EY272" s="18"/>
      <c r="EZ272" s="18"/>
      <c r="FA272" s="18"/>
      <c r="FB272" s="18"/>
      <c r="FC272" s="18"/>
      <c r="FD272" s="18"/>
      <c r="FE272" s="18"/>
      <c r="FF272" s="18"/>
      <c r="FG272" s="18"/>
      <c r="FH272" s="18"/>
      <c r="FI272" s="18"/>
      <c r="FJ272" s="18"/>
      <c r="FK272" s="18"/>
      <c r="FL272" s="18"/>
      <c r="FM272" s="18"/>
      <c r="FN272" s="18"/>
      <c r="FO272" s="18"/>
      <c r="FP272" s="18"/>
      <c r="FQ272" s="18"/>
      <c r="FR272" s="18"/>
      <c r="FS272" s="18"/>
      <c r="FT272" s="18"/>
      <c r="FU272" s="18"/>
      <c r="FV272" s="18"/>
      <c r="FW272" s="18"/>
      <c r="FX272" s="18"/>
      <c r="FY272" s="18"/>
      <c r="FZ272" s="18"/>
      <c r="GA272" s="18"/>
      <c r="GB272" s="18"/>
      <c r="GC272" s="18"/>
      <c r="GD272" s="18"/>
      <c r="GE272" s="18"/>
      <c r="GF272" s="18"/>
      <c r="GG272" s="18"/>
      <c r="GH272" s="18"/>
      <c r="GI272" s="18"/>
      <c r="GJ272" s="18"/>
      <c r="GK272" s="18"/>
      <c r="GL272" s="18"/>
      <c r="GM272" s="18"/>
    </row>
    <row r="273" spans="1:195" s="10" customFormat="1" ht="78" x14ac:dyDescent="0.3">
      <c r="A273" s="32" t="s">
        <v>51</v>
      </c>
      <c r="B273" s="6" t="s">
        <v>224</v>
      </c>
      <c r="C273" s="11">
        <v>6134355</v>
      </c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  <c r="DI273" s="18"/>
      <c r="DJ273" s="18"/>
      <c r="DK273" s="18"/>
      <c r="DL273" s="18"/>
      <c r="DM273" s="18"/>
      <c r="DN273" s="18"/>
      <c r="DO273" s="18"/>
      <c r="DP273" s="18"/>
      <c r="DQ273" s="18"/>
      <c r="DR273" s="18"/>
      <c r="DS273" s="18"/>
      <c r="DT273" s="18"/>
      <c r="DU273" s="18"/>
      <c r="DV273" s="18"/>
      <c r="DW273" s="18"/>
      <c r="DX273" s="18"/>
      <c r="DY273" s="18"/>
      <c r="DZ273" s="18"/>
      <c r="EA273" s="18"/>
      <c r="EB273" s="18"/>
      <c r="EC273" s="18"/>
      <c r="ED273" s="18"/>
      <c r="EE273" s="18"/>
      <c r="EF273" s="18"/>
      <c r="EG273" s="18"/>
      <c r="EH273" s="18"/>
      <c r="EI273" s="18"/>
      <c r="EJ273" s="18"/>
      <c r="EK273" s="18"/>
      <c r="EL273" s="18"/>
      <c r="EM273" s="18"/>
      <c r="EN273" s="18"/>
      <c r="EO273" s="18"/>
      <c r="EP273" s="18"/>
      <c r="EQ273" s="18"/>
      <c r="ER273" s="18"/>
      <c r="ES273" s="18"/>
      <c r="ET273" s="18"/>
      <c r="EU273" s="18"/>
      <c r="EV273" s="18"/>
      <c r="EW273" s="18"/>
      <c r="EX273" s="18"/>
      <c r="EY273" s="18"/>
      <c r="EZ273" s="18"/>
      <c r="FA273" s="18"/>
      <c r="FB273" s="18"/>
      <c r="FC273" s="18"/>
      <c r="FD273" s="18"/>
      <c r="FE273" s="18"/>
      <c r="FF273" s="18"/>
      <c r="FG273" s="18"/>
      <c r="FH273" s="18"/>
      <c r="FI273" s="18"/>
      <c r="FJ273" s="18"/>
      <c r="FK273" s="18"/>
      <c r="FL273" s="18"/>
      <c r="FM273" s="18"/>
      <c r="FN273" s="18"/>
      <c r="FO273" s="18"/>
      <c r="FP273" s="18"/>
      <c r="FQ273" s="18"/>
      <c r="FR273" s="18"/>
      <c r="FS273" s="18"/>
      <c r="FT273" s="18"/>
      <c r="FU273" s="18"/>
      <c r="FV273" s="18"/>
      <c r="FW273" s="18"/>
      <c r="FX273" s="18"/>
      <c r="FY273" s="18"/>
      <c r="FZ273" s="18"/>
      <c r="GA273" s="18"/>
      <c r="GB273" s="18"/>
      <c r="GC273" s="18"/>
      <c r="GD273" s="18"/>
      <c r="GE273" s="18"/>
      <c r="GF273" s="18"/>
      <c r="GG273" s="18"/>
      <c r="GH273" s="18"/>
      <c r="GI273" s="18"/>
      <c r="GJ273" s="18"/>
      <c r="GK273" s="18"/>
      <c r="GL273" s="18"/>
      <c r="GM273" s="18"/>
    </row>
    <row r="274" spans="1:195" s="10" customFormat="1" ht="15.75" customHeight="1" x14ac:dyDescent="0.3">
      <c r="A274" s="32"/>
      <c r="B274" s="12" t="s">
        <v>15</v>
      </c>
      <c r="C274" s="8">
        <f>SUM(C273)</f>
        <v>6134355</v>
      </c>
      <c r="D274" s="18"/>
    </row>
    <row r="275" spans="1:195" s="10" customFormat="1" ht="15.75" customHeight="1" x14ac:dyDescent="0.3">
      <c r="A275" s="51" t="s">
        <v>22</v>
      </c>
      <c r="B275" s="52"/>
      <c r="C275" s="53"/>
      <c r="D275" s="18"/>
    </row>
    <row r="276" spans="1:195" s="10" customFormat="1" ht="38.25" customHeight="1" x14ac:dyDescent="0.3">
      <c r="A276" s="32" t="s">
        <v>51</v>
      </c>
      <c r="B276" s="6" t="s">
        <v>176</v>
      </c>
      <c r="C276" s="11">
        <f>536054-400000-6054</f>
        <v>130000</v>
      </c>
      <c r="D276" s="18"/>
    </row>
    <row r="277" spans="1:195" s="10" customFormat="1" ht="46.8" x14ac:dyDescent="0.3">
      <c r="A277" s="40" t="s">
        <v>54</v>
      </c>
      <c r="B277" s="6" t="s">
        <v>191</v>
      </c>
      <c r="C277" s="11">
        <f>0+157028</f>
        <v>157028</v>
      </c>
      <c r="D277" s="18"/>
    </row>
    <row r="278" spans="1:195" s="10" customFormat="1" ht="15.75" customHeight="1" x14ac:dyDescent="0.3">
      <c r="A278" s="32"/>
      <c r="B278" s="12" t="s">
        <v>15</v>
      </c>
      <c r="C278" s="8">
        <f>SUM(C276:C277)</f>
        <v>287028</v>
      </c>
      <c r="D278" s="18"/>
    </row>
    <row r="279" spans="1:195" s="22" customFormat="1" ht="15.75" customHeight="1" x14ac:dyDescent="0.3">
      <c r="A279" s="51" t="s">
        <v>16</v>
      </c>
      <c r="B279" s="52"/>
      <c r="C279" s="53"/>
      <c r="D279" s="18"/>
    </row>
    <row r="280" spans="1:195" s="22" customFormat="1" ht="46.8" x14ac:dyDescent="0.3">
      <c r="A280" s="32" t="s">
        <v>51</v>
      </c>
      <c r="B280" s="6" t="s">
        <v>225</v>
      </c>
      <c r="C280" s="11">
        <f>258000-21643</f>
        <v>236357</v>
      </c>
      <c r="D280" s="18"/>
    </row>
    <row r="281" spans="1:195" s="22" customFormat="1" ht="15.75" customHeight="1" x14ac:dyDescent="0.3">
      <c r="A281" s="32"/>
      <c r="B281" s="12" t="s">
        <v>15</v>
      </c>
      <c r="C281" s="8">
        <f>SUM(C280)</f>
        <v>236357</v>
      </c>
      <c r="D281" s="18"/>
    </row>
    <row r="282" spans="1:195" s="22" customFormat="1" ht="15.75" customHeight="1" x14ac:dyDescent="0.3">
      <c r="A282" s="51" t="s">
        <v>42</v>
      </c>
      <c r="B282" s="52"/>
      <c r="C282" s="53"/>
      <c r="D282" s="18"/>
    </row>
    <row r="283" spans="1:195" s="22" customFormat="1" ht="31.2" x14ac:dyDescent="0.3">
      <c r="A283" s="32" t="s">
        <v>51</v>
      </c>
      <c r="B283" s="6" t="s">
        <v>119</v>
      </c>
      <c r="C283" s="11">
        <v>86700</v>
      </c>
      <c r="D283" s="18"/>
    </row>
    <row r="284" spans="1:195" s="22" customFormat="1" x14ac:dyDescent="0.3">
      <c r="A284" s="32"/>
      <c r="B284" s="12" t="s">
        <v>15</v>
      </c>
      <c r="C284" s="8">
        <f>SUM(C283)</f>
        <v>86700</v>
      </c>
      <c r="D284" s="18"/>
    </row>
    <row r="285" spans="1:195" s="22" customFormat="1" x14ac:dyDescent="0.3">
      <c r="A285" s="32"/>
      <c r="B285" s="12" t="s">
        <v>77</v>
      </c>
      <c r="C285" s="8">
        <f>C274+C278+C281+C284</f>
        <v>6744440</v>
      </c>
      <c r="D285" s="18"/>
    </row>
    <row r="286" spans="1:195" s="10" customFormat="1" x14ac:dyDescent="0.3">
      <c r="A286" s="32"/>
      <c r="B286" s="12" t="s">
        <v>11</v>
      </c>
      <c r="C286" s="8">
        <f>SUM(C233+C260+C265+C270+C285+C156)</f>
        <v>119041909</v>
      </c>
    </row>
    <row r="287" spans="1:195" s="22" customFormat="1" ht="7.2" customHeight="1" x14ac:dyDescent="0.3">
      <c r="A287" s="32"/>
      <c r="B287" s="12"/>
      <c r="C287" s="8"/>
    </row>
    <row r="288" spans="1:195" ht="37.5" customHeight="1" x14ac:dyDescent="0.3">
      <c r="A288" s="60" t="s">
        <v>226</v>
      </c>
      <c r="B288" s="61"/>
      <c r="C288" s="62"/>
      <c r="D288" s="22"/>
    </row>
    <row r="289" spans="1:4" ht="46.8" x14ac:dyDescent="0.3">
      <c r="A289" s="35" t="s">
        <v>51</v>
      </c>
      <c r="B289" s="12" t="s">
        <v>177</v>
      </c>
      <c r="C289" s="11">
        <f>298330-184685+125700</f>
        <v>239345</v>
      </c>
      <c r="D289" s="22"/>
    </row>
    <row r="290" spans="1:4" ht="37.5" customHeight="1" x14ac:dyDescent="0.3">
      <c r="A290" s="32"/>
      <c r="B290" s="12" t="s">
        <v>61</v>
      </c>
      <c r="C290" s="21">
        <f>SUM(C289)</f>
        <v>239345</v>
      </c>
      <c r="D290" s="22"/>
    </row>
    <row r="291" spans="1:4" ht="28.8" customHeight="1" x14ac:dyDescent="0.3">
      <c r="A291" s="71" t="s">
        <v>20</v>
      </c>
      <c r="B291" s="72"/>
      <c r="C291" s="27">
        <f>SUM(C292:C298)</f>
        <v>5588811</v>
      </c>
      <c r="D291" s="22"/>
    </row>
    <row r="292" spans="1:4" ht="140.4" x14ac:dyDescent="0.3">
      <c r="A292" s="32" t="s">
        <v>51</v>
      </c>
      <c r="B292" s="6" t="s">
        <v>178</v>
      </c>
      <c r="C292" s="11">
        <f>195006-195003</f>
        <v>3</v>
      </c>
      <c r="D292" s="10"/>
    </row>
    <row r="293" spans="1:4" ht="31.2" x14ac:dyDescent="0.3">
      <c r="A293" s="32" t="s">
        <v>54</v>
      </c>
      <c r="B293" s="6" t="s">
        <v>109</v>
      </c>
      <c r="C293" s="11">
        <v>3952</v>
      </c>
      <c r="D293" s="10"/>
    </row>
    <row r="294" spans="1:4" ht="62.4" x14ac:dyDescent="0.3">
      <c r="A294" s="32" t="s">
        <v>56</v>
      </c>
      <c r="B294" s="6" t="s">
        <v>110</v>
      </c>
      <c r="C294" s="11">
        <v>14104</v>
      </c>
      <c r="D294" s="10"/>
    </row>
    <row r="295" spans="1:4" ht="31.2" x14ac:dyDescent="0.3">
      <c r="A295" s="32" t="s">
        <v>52</v>
      </c>
      <c r="B295" s="6" t="s">
        <v>111</v>
      </c>
      <c r="C295" s="11">
        <v>528202</v>
      </c>
      <c r="D295" s="10"/>
    </row>
    <row r="296" spans="1:4" ht="62.4" x14ac:dyDescent="0.3">
      <c r="A296" s="32" t="s">
        <v>55</v>
      </c>
      <c r="B296" s="6" t="s">
        <v>112</v>
      </c>
      <c r="C296" s="11">
        <v>363852</v>
      </c>
      <c r="D296" s="10"/>
    </row>
    <row r="297" spans="1:4" ht="31.2" x14ac:dyDescent="0.3">
      <c r="A297" s="32" t="s">
        <v>57</v>
      </c>
      <c r="B297" s="6" t="s">
        <v>113</v>
      </c>
      <c r="C297" s="11">
        <v>1223324</v>
      </c>
    </row>
    <row r="298" spans="1:4" ht="62.4" x14ac:dyDescent="0.3">
      <c r="A298" s="32" t="s">
        <v>59</v>
      </c>
      <c r="B298" s="6" t="s">
        <v>114</v>
      </c>
      <c r="C298" s="11">
        <f>3593513-138139</f>
        <v>3455374</v>
      </c>
    </row>
    <row r="299" spans="1:4" ht="15.75" customHeight="1" x14ac:dyDescent="0.3">
      <c r="A299" s="73" t="s">
        <v>120</v>
      </c>
      <c r="B299" s="74"/>
      <c r="C299" s="33">
        <f>C149+C286+C290+C291</f>
        <v>222845848</v>
      </c>
    </row>
    <row r="300" spans="1:4" ht="25.2" customHeight="1" x14ac:dyDescent="0.3">
      <c r="A300" s="60" t="s">
        <v>95</v>
      </c>
      <c r="B300" s="61"/>
      <c r="C300" s="62"/>
    </row>
    <row r="301" spans="1:4" ht="46.8" x14ac:dyDescent="0.3">
      <c r="A301" s="40" t="s">
        <v>51</v>
      </c>
      <c r="B301" s="42" t="s">
        <v>227</v>
      </c>
      <c r="C301" s="43">
        <f>113000000-96289431-2000000</f>
        <v>14710569</v>
      </c>
    </row>
    <row r="302" spans="1:4" ht="62.4" x14ac:dyDescent="0.3">
      <c r="A302" s="40" t="s">
        <v>54</v>
      </c>
      <c r="B302" s="13" t="s">
        <v>228</v>
      </c>
      <c r="C302" s="44">
        <v>373061</v>
      </c>
    </row>
    <row r="303" spans="1:4" ht="46.8" x14ac:dyDescent="0.3">
      <c r="A303" s="40" t="s">
        <v>56</v>
      </c>
      <c r="B303" s="41" t="s">
        <v>229</v>
      </c>
      <c r="C303" s="44">
        <f>0+100476977-1756248</f>
        <v>98720729</v>
      </c>
    </row>
    <row r="304" spans="1:4" ht="46.8" x14ac:dyDescent="0.3">
      <c r="A304" s="40" t="s">
        <v>52</v>
      </c>
      <c r="B304" s="41" t="s">
        <v>190</v>
      </c>
      <c r="C304" s="44">
        <f>0+7000000</f>
        <v>7000000</v>
      </c>
    </row>
    <row r="305" spans="1:3" ht="62.4" x14ac:dyDescent="0.3">
      <c r="A305" s="40" t="s">
        <v>55</v>
      </c>
      <c r="B305" s="13" t="s">
        <v>192</v>
      </c>
      <c r="C305" s="44">
        <f>0+821034</f>
        <v>821034</v>
      </c>
    </row>
    <row r="306" spans="1:3" ht="62.4" x14ac:dyDescent="0.3">
      <c r="A306" s="46" t="s">
        <v>57</v>
      </c>
      <c r="B306" s="13" t="s">
        <v>230</v>
      </c>
      <c r="C306" s="44">
        <v>1000000</v>
      </c>
    </row>
  </sheetData>
  <mergeCells count="77">
    <mergeCell ref="A291:B291"/>
    <mergeCell ref="A288:C288"/>
    <mergeCell ref="A299:B299"/>
    <mergeCell ref="A300:C300"/>
    <mergeCell ref="A140:C140"/>
    <mergeCell ref="A219:C219"/>
    <mergeCell ref="A227:C227"/>
    <mergeCell ref="A235:C235"/>
    <mergeCell ref="A230:C230"/>
    <mergeCell ref="A234:C234"/>
    <mergeCell ref="A282:C282"/>
    <mergeCell ref="A279:C279"/>
    <mergeCell ref="A183:C183"/>
    <mergeCell ref="A194:C194"/>
    <mergeCell ref="A242:C242"/>
    <mergeCell ref="A257:C257"/>
    <mergeCell ref="A275:C275"/>
    <mergeCell ref="A266:C266"/>
    <mergeCell ref="A267:C267"/>
    <mergeCell ref="A271:C271"/>
    <mergeCell ref="A272:C272"/>
    <mergeCell ref="A261:C261"/>
    <mergeCell ref="B8:C8"/>
    <mergeCell ref="B9:C9"/>
    <mergeCell ref="A30:C30"/>
    <mergeCell ref="A15:B15"/>
    <mergeCell ref="A144:C144"/>
    <mergeCell ref="A145:C145"/>
    <mergeCell ref="A128:C128"/>
    <mergeCell ref="A60:C60"/>
    <mergeCell ref="A137:C137"/>
    <mergeCell ref="A25:C25"/>
    <mergeCell ref="A26:C26"/>
    <mergeCell ref="A33:C33"/>
    <mergeCell ref="A37:C37"/>
    <mergeCell ref="A85:C85"/>
    <mergeCell ref="A92:C92"/>
    <mergeCell ref="A125:C125"/>
    <mergeCell ref="A213:C213"/>
    <mergeCell ref="A238:C238"/>
    <mergeCell ref="A166:C166"/>
    <mergeCell ref="A132:C132"/>
    <mergeCell ref="A133:C133"/>
    <mergeCell ref="A177:C177"/>
    <mergeCell ref="A152:C152"/>
    <mergeCell ref="A153:C153"/>
    <mergeCell ref="B7:C7"/>
    <mergeCell ref="A110:C110"/>
    <mergeCell ref="A113:C113"/>
    <mergeCell ref="A38:C38"/>
    <mergeCell ref="A45:C45"/>
    <mergeCell ref="A69:C69"/>
    <mergeCell ref="A51:C51"/>
    <mergeCell ref="A63:C63"/>
    <mergeCell ref="A20:B20"/>
    <mergeCell ref="A22:C22"/>
    <mergeCell ref="A23:B23"/>
    <mergeCell ref="A24:C24"/>
    <mergeCell ref="A11:C11"/>
    <mergeCell ref="A12:C12"/>
    <mergeCell ref="A80:C80"/>
    <mergeCell ref="A262:C262"/>
    <mergeCell ref="A103:C103"/>
    <mergeCell ref="A109:C109"/>
    <mergeCell ref="A116:C116"/>
    <mergeCell ref="A157:C157"/>
    <mergeCell ref="A150:C150"/>
    <mergeCell ref="A151:C151"/>
    <mergeCell ref="A170:C170"/>
    <mergeCell ref="A186:C186"/>
    <mergeCell ref="A158:C158"/>
    <mergeCell ref="A203:C203"/>
    <mergeCell ref="A247:C247"/>
    <mergeCell ref="A208:C208"/>
    <mergeCell ref="A251:C251"/>
    <mergeCell ref="A254:C254"/>
    <mergeCell ref="A119:C119"/>
  </mergeCells>
  <phoneticPr fontId="1" type="noConversion"/>
  <pageMargins left="0.55118110236220474" right="0" top="0.59055118110236227" bottom="0" header="0" footer="0"/>
  <pageSetup paperSize="9" firstPageNumber="94" fitToHeight="30" orientation="portrait" useFirstPageNumber="1" r:id="rId1"/>
  <headerFooter>
    <oddHeader>&amp;C&amp;P</oddHeader>
  </headerFooter>
  <rowBreaks count="4" manualBreakCount="4">
    <brk id="37" max="2" man="1"/>
    <brk id="132" max="2" man="1"/>
    <brk id="261" max="2" man="1"/>
    <brk id="28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(744)</vt:lpstr>
      <vt:lpstr>'Приложение №2.2 (744)'!Заголовки_для_печати</vt:lpstr>
      <vt:lpstr>'Приложение №2.2 (744)'!Область_печати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2022-12-07T10:10:48Z</cp:lastPrinted>
  <dcterms:created xsi:type="dcterms:W3CDTF">2019-12-13T13:54:36Z</dcterms:created>
  <dcterms:modified xsi:type="dcterms:W3CDTF">2022-12-07T12:15:05Z</dcterms:modified>
</cp:coreProperties>
</file>