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244"/>
  </bookViews>
  <sheets>
    <sheet name="Приложение № 4 (706)" sheetId="1" r:id="rId1"/>
  </sheets>
  <definedNames>
    <definedName name="_xlnm.Print_Titles" localSheetId="0">'Приложение № 4 (706)'!$13:$13</definedName>
    <definedName name="_xlnm.Print_Area" localSheetId="0">'Приложение № 4 (706)'!$A$1:$K$49</definedName>
  </definedNames>
  <calcPr calcId="162913" fullPrecision="0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C43" i="1" l="1"/>
  <c r="J40" i="1"/>
  <c r="I40" i="1"/>
  <c r="H40" i="1"/>
  <c r="G40" i="1"/>
  <c r="F40" i="1"/>
  <c r="D40" i="1"/>
  <c r="J24" i="1"/>
  <c r="I24" i="1"/>
  <c r="H24" i="1"/>
  <c r="G24" i="1"/>
  <c r="F24" i="1"/>
  <c r="D24" i="1"/>
  <c r="C24" i="1"/>
  <c r="C40" i="1"/>
  <c r="J15" i="1"/>
  <c r="I15" i="1"/>
  <c r="H15" i="1"/>
  <c r="G15" i="1"/>
  <c r="F15" i="1"/>
  <c r="E15" i="1"/>
  <c r="D15" i="1"/>
  <c r="C15" i="1"/>
  <c r="I14" i="1"/>
  <c r="H14" i="1"/>
  <c r="G14" i="1"/>
  <c r="E14" i="1"/>
  <c r="D14" i="1"/>
  <c r="C14" i="1"/>
  <c r="K16" i="1" l="1"/>
  <c r="E24" i="1" l="1"/>
  <c r="E40" i="1"/>
  <c r="J42" i="1"/>
  <c r="I42" i="1"/>
  <c r="H42" i="1"/>
  <c r="G42" i="1"/>
  <c r="F42" i="1"/>
  <c r="E42" i="1"/>
  <c r="D42" i="1"/>
  <c r="C42" i="1"/>
  <c r="C44" i="1"/>
  <c r="E19" i="1"/>
  <c r="K21" i="1" l="1"/>
  <c r="D45" i="1" l="1"/>
  <c r="D41" i="1" s="1"/>
  <c r="E45" i="1"/>
  <c r="E41" i="1" s="1"/>
  <c r="F45" i="1"/>
  <c r="F41" i="1" s="1"/>
  <c r="G45" i="1"/>
  <c r="G41" i="1" s="1"/>
  <c r="H45" i="1"/>
  <c r="H41" i="1" s="1"/>
  <c r="I45" i="1"/>
  <c r="I41" i="1" s="1"/>
  <c r="J45" i="1"/>
  <c r="J41" i="1" s="1"/>
  <c r="C45" i="1"/>
  <c r="C41" i="1" s="1"/>
  <c r="K48" i="1"/>
  <c r="K47" i="1"/>
  <c r="K46" i="1"/>
  <c r="J26" i="1"/>
  <c r="J25" i="1" s="1"/>
  <c r="J23" i="1" s="1"/>
  <c r="J18" i="1" s="1"/>
  <c r="I26" i="1"/>
  <c r="I25" i="1" s="1"/>
  <c r="I23" i="1" s="1"/>
  <c r="I18" i="1" s="1"/>
  <c r="H26" i="1"/>
  <c r="H25" i="1" s="1"/>
  <c r="H23" i="1" s="1"/>
  <c r="H18" i="1" s="1"/>
  <c r="G26" i="1"/>
  <c r="G25" i="1" s="1"/>
  <c r="G23" i="1" s="1"/>
  <c r="G18" i="1" s="1"/>
  <c r="F26" i="1"/>
  <c r="F25" i="1" s="1"/>
  <c r="F23" i="1" s="1"/>
  <c r="F18" i="1" s="1"/>
  <c r="E26" i="1"/>
  <c r="E25" i="1" s="1"/>
  <c r="E23" i="1" s="1"/>
  <c r="E18" i="1" s="1"/>
  <c r="D26" i="1"/>
  <c r="D25" i="1" s="1"/>
  <c r="D23" i="1" s="1"/>
  <c r="D18" i="1" s="1"/>
  <c r="C26" i="1"/>
  <c r="C25" i="1" s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4" i="1"/>
  <c r="K49" i="1"/>
  <c r="C23" i="1" l="1"/>
  <c r="K25" i="1"/>
  <c r="K45" i="1"/>
  <c r="K44" i="1"/>
  <c r="K43" i="1"/>
  <c r="K42" i="1"/>
  <c r="K22" i="1"/>
  <c r="K20" i="1"/>
  <c r="C18" i="1" l="1"/>
  <c r="K23" i="1"/>
  <c r="K41" i="1"/>
  <c r="D17" i="1" l="1"/>
  <c r="I17" i="1"/>
  <c r="F17" i="1"/>
  <c r="E17" i="1"/>
  <c r="C17" i="1"/>
  <c r="K15" i="1"/>
  <c r="G17" i="1" l="1"/>
  <c r="H17" i="1"/>
  <c r="J17" i="1"/>
  <c r="K14" i="1"/>
  <c r="K17" i="1" l="1"/>
  <c r="K19" i="1" l="1"/>
  <c r="K18" i="1" l="1"/>
</calcChain>
</file>

<file path=xl/sharedStrings.xml><?xml version="1.0" encoding="utf-8"?>
<sst xmlns="http://schemas.openxmlformats.org/spreadsheetml/2006/main" count="93" uniqueCount="91">
  <si>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</si>
  <si>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</si>
  <si>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</si>
  <si>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</si>
  <si>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</si>
  <si>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</si>
  <si>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</si>
  <si>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</si>
  <si>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</si>
  <si>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</si>
  <si>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</si>
  <si>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</si>
  <si>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</si>
  <si>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</si>
  <si>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дотации (трансферты) из республиканского бюджета, из них: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</si>
  <si>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</si>
  <si>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</si>
  <si>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</si>
  <si>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цели осуществления городом Тирасполем функций столицы, из них:</t>
  </si>
  <si>
    <t>"О республиканском бюджете на 2022 год"</t>
  </si>
  <si>
    <t>1.</t>
  </si>
  <si>
    <t>2.</t>
  </si>
  <si>
    <t>3.</t>
  </si>
  <si>
    <t>4.</t>
  </si>
  <si>
    <t>5.</t>
  </si>
  <si>
    <t>Основные параметры местных бюджетов, источники покрытия дефицита местных бюджетов, объемы субсидий из республиканского бюджета на 2022 год</t>
  </si>
  <si>
    <t>4.1.</t>
  </si>
  <si>
    <t>4.1.1.</t>
  </si>
  <si>
    <t>4.2.</t>
  </si>
  <si>
    <t>за счет Фонда поддержки территорий городов и районов</t>
  </si>
  <si>
    <t>Приложение № 4</t>
  </si>
  <si>
    <t>Остатки по состоянию на 01.01.2022 года</t>
  </si>
  <si>
    <t xml:space="preserve"> не имеющие целевого назначения  (очищенные)</t>
  </si>
  <si>
    <t xml:space="preserve"> имеющие целевое назначение</t>
  </si>
  <si>
    <t xml:space="preserve"> целевые сборы и платежи всего, в том числе:</t>
  </si>
  <si>
    <t>а)</t>
  </si>
  <si>
    <t>целевой сбор на благоустройство территорий сел</t>
  </si>
  <si>
    <t>б)</t>
  </si>
  <si>
    <t>домовладение</t>
  </si>
  <si>
    <t>в)</t>
  </si>
  <si>
    <t>целевой сбор на содержание и развитие соц. сферы</t>
  </si>
  <si>
    <t>г)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</si>
  <si>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</si>
  <si>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</si>
  <si>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</si>
  <si>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</si>
  <si>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</si>
  <si>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хоз-в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</si>
  <si>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</si>
  <si>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</si>
  <si>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</si>
  <si>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</si>
  <si>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</si>
  <si>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соц. развития </t>
  </si>
  <si>
    <t>л)</t>
  </si>
  <si>
    <t>территориального экологического фонда</t>
  </si>
  <si>
    <t xml:space="preserve"> платные услуги</t>
  </si>
  <si>
    <t>6.</t>
  </si>
  <si>
    <t>4.3.</t>
  </si>
  <si>
    <t>4.3.1</t>
  </si>
  <si>
    <t>4.3.2</t>
  </si>
  <si>
    <t>4.3.2.2</t>
  </si>
  <si>
    <t>4.3.2.3</t>
  </si>
  <si>
    <t>6.1.</t>
  </si>
  <si>
    <t>6.2.</t>
  </si>
  <si>
    <t>6.2.1.</t>
  </si>
  <si>
    <t>6.3.</t>
  </si>
  <si>
    <t>6.4.</t>
  </si>
  <si>
    <t>6.3.1</t>
  </si>
  <si>
    <t>за счет Дорожного фонда</t>
  </si>
  <si>
    <t>6.3.2</t>
  </si>
  <si>
    <t>6.3.3</t>
  </si>
  <si>
    <t>4.3.2.1</t>
  </si>
  <si>
    <t>на содержание и благоустройство исторического военно-мемориального комплекса «Бендерская крепость» и парка им. А. Невского, за счет остатков, сложившихся по состоянию на 01.01.2022г.</t>
  </si>
  <si>
    <t>на развитие дорожной отрасли</t>
  </si>
  <si>
    <t>Субсидии из республиканского бюджета, в том числе прошлых лет:</t>
  </si>
  <si>
    <t>нераспределенне субсидии выделенные из РБ на развитие дорожной отрасли в 2021 году</t>
  </si>
  <si>
    <t>4.1.2.</t>
  </si>
  <si>
    <t>на оплату текущих трансфертов предприятиям электротранспорта</t>
  </si>
  <si>
    <t>на погашение задолженности государственной администрации города Бендеры перед ОАО "Агентство по оздоровлению банковской системы"</t>
  </si>
  <si>
    <t xml:space="preserve">налог на содержание жилищного фонда </t>
  </si>
  <si>
    <t xml:space="preserve">фонд эконом. развития </t>
  </si>
  <si>
    <t>2.1</t>
  </si>
  <si>
    <t>Формирование резерва за счет нераспределенных остатков, сложившихся по состоянию на 01.01.2022 года</t>
  </si>
  <si>
    <t>на содержание Екатерининского парка в городе Тирасполе</t>
  </si>
  <si>
    <t>расходы на благоустройство и озеленение территорий городов (районов)</t>
  </si>
  <si>
    <t>"О внесении изменений и дополнений</t>
  </si>
  <si>
    <t>в Закон Приднестровской Молдавской Республики</t>
  </si>
  <si>
    <t>Приложение № 5</t>
  </si>
  <si>
    <t>средства Дорожного фонда, необоснованно использованные в 2021 году, во исполнение постановлений Счетной палаты ПМР                                                 от 27.12.2021 г. №15/V, №15/IV, возмещенные в 2022 году местному бюджету</t>
  </si>
  <si>
    <t>Предельные расходы,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</si>
</sst>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??_р_._-;_-@_-"/>
    <numFmt numFmtId="166" formatCode="_-* #,##0.0_-;\-* #,##0.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vertical="center" wrapText="1"/>
    </xf>
    <xf numFmtId="3" fontId="3" fillId="3" borderId="5" xfId="1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 wrapText="1"/>
    </xf>
    <xf numFmtId="3" fontId="2" fillId="0" borderId="11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/>
    <xf numFmtId="3" fontId="2" fillId="3" borderId="0" xfId="0" applyNumberFormat="1" applyFont="1" applyFill="1"/>
    <xf numFmtId="3" fontId="7" fillId="0" borderId="0" xfId="0" applyNumberFormat="1" applyFont="1"/>
    <xf numFmtId="3" fontId="2" fillId="0" borderId="13" xfId="0" applyNumberFormat="1" applyFont="1" applyFill="1" applyBorder="1" applyAlignment="1">
      <alignment vertical="center"/>
    </xf>
    <xf numFmtId="166" fontId="3" fillId="0" borderId="3" xfId="6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center" wrapText="1"/>
    </xf>
  </cellXfs>
  <cellStyles count="12">
    <cellStyle name="Обычный" xfId="0" builtinId="0"/>
    <cellStyle name="Финансовый" xfId="6" builtinId="3"/>
    <cellStyle name="Финансовый 2" xfId="1"/>
    <cellStyle name="Финансовый 2 2" xfId="4"/>
    <cellStyle name="Финансовый 2 2 2" xfId="10"/>
    <cellStyle name="Финансовый 2 3" xfId="7"/>
    <cellStyle name="Финансовый 3" xfId="2"/>
    <cellStyle name="Финансовый 3 2" xfId="8"/>
    <cellStyle name="Финансовый 4" xfId="3"/>
    <cellStyle name="Финансовый 4 2" xfId="9"/>
    <cellStyle name="Финансовый 5" xfId="5"/>
    <cellStyle name="Финансовый 5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BreakPreview" zoomScale="90" zoomScaleNormal="90" zoomScaleSheetLayoutView="90" workbookViewId="0">
      <pane xSplit="2" ySplit="13" topLeftCell="C14" activePane="bottomRight" state="frozenSplit"/>
      <selection pane="topRight" activeCell="B1" sqref="B1"/>
      <selection pane="bottomLeft" activeCell="A8" sqref="A8"/>
      <selection pane="bottomRight" activeCell="B15" sqref="B15"/>
    </sheetView>
  </sheetViews>
  <sheetFormatPr defaultColWidth="9.109375" defaultRowHeight="15.6" x14ac:dyDescent="0.3"/>
  <cols>
    <col min="1" max="1" width="7.33203125" style="1" bestFit="1" customWidth="1"/>
    <col min="2" max="2" width="47.44140625" style="1" customWidth="1"/>
    <col min="3" max="3" width="14.88671875" style="1" bestFit="1" customWidth="1"/>
    <col min="4" max="5" width="13.6640625" style="1" bestFit="1" customWidth="1"/>
    <col min="6" max="6" width="14.88671875" style="1" bestFit="1" customWidth="1"/>
    <col min="7" max="7" width="13.6640625" style="40" bestFit="1" customWidth="1"/>
    <col min="8" max="8" width="13.6640625" style="1" bestFit="1" customWidth="1"/>
    <col min="9" max="9" width="15.5546875" style="1" customWidth="1"/>
    <col min="10" max="10" width="13.6640625" style="1" bestFit="1" customWidth="1"/>
    <col min="11" max="11" width="15.5546875" style="1" customWidth="1"/>
    <col min="12" max="12" width="4.33203125" style="1" customWidth="1"/>
    <col min="13" max="16384" width="9.109375" style="1"/>
  </cols>
  <sheetData>
    <row r="1" spans="1:12" x14ac:dyDescent="0.3">
      <c r="K1" s="44" t="s">
        <v>88</v>
      </c>
    </row>
    <row r="2" spans="1:12" x14ac:dyDescent="0.3">
      <c r="K2" s="44" t="s">
        <v>15</v>
      </c>
    </row>
    <row r="3" spans="1:12" x14ac:dyDescent="0.3">
      <c r="K3" s="44" t="s">
        <v>86</v>
      </c>
    </row>
    <row r="4" spans="1:12" x14ac:dyDescent="0.3">
      <c r="K4" s="44" t="s">
        <v>87</v>
      </c>
    </row>
    <row r="5" spans="1:12" x14ac:dyDescent="0.3">
      <c r="K5" s="44" t="s">
        <v>19</v>
      </c>
    </row>
    <row r="7" spans="1:12" x14ac:dyDescent="0.3">
      <c r="B7" s="39"/>
      <c r="K7" s="2" t="s">
        <v>30</v>
      </c>
    </row>
    <row r="8" spans="1:12" x14ac:dyDescent="0.3">
      <c r="K8" s="2" t="s">
        <v>15</v>
      </c>
    </row>
    <row r="9" spans="1:12" x14ac:dyDescent="0.3">
      <c r="K9" s="2" t="s">
        <v>19</v>
      </c>
    </row>
    <row r="10" spans="1:12" x14ac:dyDescent="0.3">
      <c r="K10" s="2"/>
    </row>
    <row r="11" spans="1:12" x14ac:dyDescent="0.3">
      <c r="A11" s="45" t="s">
        <v>25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2" ht="16.2" thickBot="1" x14ac:dyDescent="0.35">
      <c r="G12" s="1"/>
      <c r="K12" s="2" t="s">
        <v>17</v>
      </c>
    </row>
    <row r="13" spans="1:12" s="3" customFormat="1" ht="16.2" thickBot="1" x14ac:dyDescent="0.35">
      <c r="A13" s="9" t="s">
        <v>10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2" t="s">
        <v>5</v>
      </c>
      <c r="H13" s="11" t="s">
        <v>6</v>
      </c>
      <c r="I13" s="11" t="s">
        <v>7</v>
      </c>
      <c r="J13" s="11" t="s">
        <v>8</v>
      </c>
      <c r="K13" s="13" t="s">
        <v>9</v>
      </c>
    </row>
    <row r="14" spans="1:12" s="3" customFormat="1" x14ac:dyDescent="0.3">
      <c r="A14" s="15" t="s">
        <v>20</v>
      </c>
      <c r="B14" s="8" t="s">
        <v>12</v>
      </c>
      <c r="C14" s="17">
        <f>372764293+1689636+15385480</f>
        <v>389839409</v>
      </c>
      <c r="D14" s="17">
        <f>39854500+828522</f>
        <v>40683022</v>
      </c>
      <c r="E14" s="17">
        <f>236266055+2733600+10899381</f>
        <v>249899036</v>
      </c>
      <c r="F14" s="17">
        <v>225158240</v>
      </c>
      <c r="G14" s="18">
        <f>96160070+2652933</f>
        <v>98813003</v>
      </c>
      <c r="H14" s="17">
        <f>129277717+10280150</f>
        <v>139557867</v>
      </c>
      <c r="I14" s="17">
        <f>68423745+1202814</f>
        <v>69626559</v>
      </c>
      <c r="J14" s="17">
        <v>40429196</v>
      </c>
      <c r="K14" s="19">
        <f>SUM(C14:J14)</f>
        <v>1254006332</v>
      </c>
    </row>
    <row r="15" spans="1:12" s="3" customFormat="1" x14ac:dyDescent="0.3">
      <c r="A15" s="16" t="s">
        <v>21</v>
      </c>
      <c r="B15" s="4" t="s">
        <v>90</v>
      </c>
      <c r="C15" s="20">
        <f>384719240+3944845+94073+1689636+14159508+16392275</f>
        <v>420999577</v>
      </c>
      <c r="D15" s="20">
        <f>40833232+3846082+77109+513542+1634739</f>
        <v>46904704</v>
      </c>
      <c r="E15" s="20">
        <f>286340941+2100553+93482+15277315+6367172+10899381</f>
        <v>321078844</v>
      </c>
      <c r="F15" s="20">
        <f>234867695+4973056+190053+1573173+11473757</f>
        <v>253077734</v>
      </c>
      <c r="G15" s="20">
        <f>122081577+4555591+132924+946961+2921148</f>
        <v>130638201</v>
      </c>
      <c r="H15" s="20">
        <f>191465783+3561086+186965+2310836+11637278</f>
        <v>209161948</v>
      </c>
      <c r="I15" s="20">
        <f>119687624+3596963+103011+293472+4671777</f>
        <v>128352847</v>
      </c>
      <c r="J15" s="20">
        <f>69260676+2293651+111441+481304+2244349</f>
        <v>74391421</v>
      </c>
      <c r="K15" s="21">
        <f t="shared" ref="K15:K45" si="0">SUM(C15:J15)</f>
        <v>1584605276</v>
      </c>
      <c r="L15" s="6"/>
    </row>
    <row r="16" spans="1:12" s="3" customFormat="1" ht="31.2" x14ac:dyDescent="0.3">
      <c r="A16" s="14" t="s">
        <v>82</v>
      </c>
      <c r="B16" s="5" t="s">
        <v>85</v>
      </c>
      <c r="C16" s="42">
        <v>8600000</v>
      </c>
      <c r="D16" s="22">
        <v>513542</v>
      </c>
      <c r="E16" s="22">
        <v>3633572</v>
      </c>
      <c r="F16" s="22">
        <v>1573173</v>
      </c>
      <c r="G16" s="22">
        <v>946961</v>
      </c>
      <c r="H16" s="22">
        <v>1582339</v>
      </c>
      <c r="I16" s="22">
        <v>293472</v>
      </c>
      <c r="J16" s="22">
        <v>481304</v>
      </c>
      <c r="K16" s="24">
        <f t="shared" si="0"/>
        <v>17624363</v>
      </c>
      <c r="L16" s="6"/>
    </row>
    <row r="17" spans="1:12" s="3" customFormat="1" x14ac:dyDescent="0.3">
      <c r="A17" s="16" t="s">
        <v>22</v>
      </c>
      <c r="B17" s="4" t="s">
        <v>11</v>
      </c>
      <c r="C17" s="20">
        <f t="shared" ref="C17:J17" si="1">C15-C14</f>
        <v>31160168</v>
      </c>
      <c r="D17" s="20">
        <f t="shared" si="1"/>
        <v>6221682</v>
      </c>
      <c r="E17" s="20">
        <f t="shared" si="1"/>
        <v>71179808</v>
      </c>
      <c r="F17" s="20">
        <f t="shared" si="1"/>
        <v>27919494</v>
      </c>
      <c r="G17" s="20">
        <f t="shared" si="1"/>
        <v>31825198</v>
      </c>
      <c r="H17" s="20">
        <f t="shared" si="1"/>
        <v>69604081</v>
      </c>
      <c r="I17" s="20">
        <f t="shared" si="1"/>
        <v>58726288</v>
      </c>
      <c r="J17" s="20">
        <f t="shared" si="1"/>
        <v>33962225</v>
      </c>
      <c r="K17" s="21">
        <f t="shared" si="0"/>
        <v>330598944</v>
      </c>
    </row>
    <row r="18" spans="1:12" s="6" customFormat="1" ht="31.2" x14ac:dyDescent="0.3">
      <c r="A18" s="16" t="s">
        <v>23</v>
      </c>
      <c r="B18" s="4" t="s">
        <v>13</v>
      </c>
      <c r="C18" s="20">
        <f>SUM(C19+C22+C23)</f>
        <v>31160168</v>
      </c>
      <c r="D18" s="20">
        <f t="shared" ref="D18:J18" si="2">SUM(D19+D22+D23)</f>
        <v>6221682</v>
      </c>
      <c r="E18" s="20">
        <f t="shared" si="2"/>
        <v>71179808</v>
      </c>
      <c r="F18" s="20">
        <f t="shared" si="2"/>
        <v>27919494</v>
      </c>
      <c r="G18" s="20">
        <f t="shared" si="2"/>
        <v>31825198</v>
      </c>
      <c r="H18" s="20">
        <f t="shared" si="2"/>
        <v>69604081</v>
      </c>
      <c r="I18" s="20">
        <f t="shared" si="2"/>
        <v>58726288</v>
      </c>
      <c r="J18" s="20">
        <f t="shared" si="2"/>
        <v>33962225</v>
      </c>
      <c r="K18" s="21">
        <f t="shared" si="0"/>
        <v>330598944</v>
      </c>
      <c r="L18" s="3"/>
    </row>
    <row r="19" spans="1:12" s="3" customFormat="1" ht="31.2" x14ac:dyDescent="0.3">
      <c r="A19" s="34" t="s">
        <v>26</v>
      </c>
      <c r="B19" s="35" t="s">
        <v>14</v>
      </c>
      <c r="C19" s="36">
        <v>0</v>
      </c>
      <c r="D19" s="36">
        <v>0</v>
      </c>
      <c r="E19" s="36">
        <f>40566730+15277315+222602</f>
        <v>56066647</v>
      </c>
      <c r="F19" s="36">
        <v>0</v>
      </c>
      <c r="G19" s="36">
        <v>22025902</v>
      </c>
      <c r="H19" s="36">
        <v>56616867</v>
      </c>
      <c r="I19" s="36">
        <v>47489725</v>
      </c>
      <c r="J19" s="36">
        <v>26090067</v>
      </c>
      <c r="K19" s="37">
        <f t="shared" si="0"/>
        <v>208289208</v>
      </c>
      <c r="L19" s="6"/>
    </row>
    <row r="20" spans="1:12" s="3" customFormat="1" ht="31.2" x14ac:dyDescent="0.3">
      <c r="A20" s="14" t="s">
        <v>27</v>
      </c>
      <c r="B20" s="5" t="s">
        <v>78</v>
      </c>
      <c r="C20" s="22"/>
      <c r="D20" s="22"/>
      <c r="E20" s="22">
        <v>18037514</v>
      </c>
      <c r="F20" s="22"/>
      <c r="G20" s="22"/>
      <c r="H20" s="22"/>
      <c r="I20" s="22"/>
      <c r="J20" s="22"/>
      <c r="K20" s="24">
        <f t="shared" si="0"/>
        <v>18037514</v>
      </c>
      <c r="L20" s="6"/>
    </row>
    <row r="21" spans="1:12" s="3" customFormat="1" ht="62.4" x14ac:dyDescent="0.3">
      <c r="A21" s="14" t="s">
        <v>77</v>
      </c>
      <c r="B21" s="5" t="s">
        <v>79</v>
      </c>
      <c r="C21" s="22"/>
      <c r="D21" s="22"/>
      <c r="E21" s="22">
        <v>15277315</v>
      </c>
      <c r="F21" s="22"/>
      <c r="G21" s="22"/>
      <c r="H21" s="22"/>
      <c r="I21" s="22"/>
      <c r="J21" s="22"/>
      <c r="K21" s="24">
        <f t="shared" ref="K21" si="3">SUM(C21:J21)</f>
        <v>15277315</v>
      </c>
      <c r="L21" s="6"/>
    </row>
    <row r="22" spans="1:12" s="3" customFormat="1" ht="31.2" x14ac:dyDescent="0.3">
      <c r="A22" s="34" t="s">
        <v>28</v>
      </c>
      <c r="B22" s="38" t="s">
        <v>16</v>
      </c>
      <c r="C22" s="36">
        <v>11954947</v>
      </c>
      <c r="D22" s="36">
        <v>978732</v>
      </c>
      <c r="E22" s="36">
        <v>9508156</v>
      </c>
      <c r="F22" s="36">
        <v>9709455</v>
      </c>
      <c r="G22" s="36">
        <v>3895605</v>
      </c>
      <c r="H22" s="36">
        <v>5571199</v>
      </c>
      <c r="I22" s="36">
        <v>3774154</v>
      </c>
      <c r="J22" s="36">
        <v>2741413</v>
      </c>
      <c r="K22" s="37">
        <f t="shared" si="0"/>
        <v>48133661</v>
      </c>
      <c r="L22" s="6"/>
    </row>
    <row r="23" spans="1:12" x14ac:dyDescent="0.3">
      <c r="A23" s="34" t="s">
        <v>58</v>
      </c>
      <c r="B23" s="38" t="s">
        <v>31</v>
      </c>
      <c r="C23" s="36">
        <f>C24+C25</f>
        <v>19205221</v>
      </c>
      <c r="D23" s="36">
        <f t="shared" ref="D23:J23" si="4">D24+D25</f>
        <v>5242950</v>
      </c>
      <c r="E23" s="36">
        <f t="shared" si="4"/>
        <v>5605005</v>
      </c>
      <c r="F23" s="36">
        <f t="shared" si="4"/>
        <v>18210039</v>
      </c>
      <c r="G23" s="36">
        <f t="shared" si="4"/>
        <v>5903691</v>
      </c>
      <c r="H23" s="36">
        <f t="shared" si="4"/>
        <v>7416015</v>
      </c>
      <c r="I23" s="36">
        <f t="shared" si="4"/>
        <v>7462409</v>
      </c>
      <c r="J23" s="36">
        <f t="shared" si="4"/>
        <v>5130745</v>
      </c>
      <c r="K23" s="37">
        <f t="shared" si="0"/>
        <v>74176075</v>
      </c>
      <c r="L23" s="6"/>
    </row>
    <row r="24" spans="1:12" ht="31.2" x14ac:dyDescent="0.3">
      <c r="A24" s="14" t="s">
        <v>59</v>
      </c>
      <c r="B24" s="7" t="s">
        <v>32</v>
      </c>
      <c r="C24" s="30">
        <f>94073+14159508+1006795</f>
        <v>15260376</v>
      </c>
      <c r="D24" s="30">
        <f>77109+513542+806217</f>
        <v>1396868</v>
      </c>
      <c r="E24" s="30">
        <f>821924+93482+3410970</f>
        <v>4326376</v>
      </c>
      <c r="F24" s="30">
        <f>190053+1573173+11473757</f>
        <v>13236983</v>
      </c>
      <c r="G24" s="30">
        <f>132924+946961+268215</f>
        <v>1348100</v>
      </c>
      <c r="H24" s="30">
        <f>186965+2310836+1357128</f>
        <v>3854929</v>
      </c>
      <c r="I24" s="30">
        <f>103011+293472+3468963</f>
        <v>3865446</v>
      </c>
      <c r="J24" s="30">
        <f>111441+481304+2244349</f>
        <v>2837094</v>
      </c>
      <c r="K24" s="24">
        <f t="shared" si="0"/>
        <v>46126172</v>
      </c>
      <c r="L24" s="6"/>
    </row>
    <row r="25" spans="1:12" x14ac:dyDescent="0.3">
      <c r="A25" s="14" t="s">
        <v>60</v>
      </c>
      <c r="B25" s="7" t="s">
        <v>33</v>
      </c>
      <c r="C25" s="30">
        <f>SUM(C26+C38+C39)</f>
        <v>3944845</v>
      </c>
      <c r="D25" s="30">
        <f t="shared" ref="D25:J25" si="5">SUM(D26+D38+D39)</f>
        <v>3846082</v>
      </c>
      <c r="E25" s="30">
        <f t="shared" si="5"/>
        <v>1278629</v>
      </c>
      <c r="F25" s="30">
        <f t="shared" si="5"/>
        <v>4973056</v>
      </c>
      <c r="G25" s="30">
        <f t="shared" si="5"/>
        <v>4555591</v>
      </c>
      <c r="H25" s="30">
        <f t="shared" si="5"/>
        <v>3561086</v>
      </c>
      <c r="I25" s="30">
        <f t="shared" si="5"/>
        <v>3596963</v>
      </c>
      <c r="J25" s="30">
        <f t="shared" si="5"/>
        <v>2293651</v>
      </c>
      <c r="K25" s="24">
        <f t="shared" si="0"/>
        <v>28049903</v>
      </c>
      <c r="L25" s="6"/>
    </row>
    <row r="26" spans="1:12" x14ac:dyDescent="0.3">
      <c r="A26" s="14" t="s">
        <v>72</v>
      </c>
      <c r="B26" s="7" t="s">
        <v>34</v>
      </c>
      <c r="C26" s="30">
        <f>SUM(C27:C37)</f>
        <v>2141613</v>
      </c>
      <c r="D26" s="30">
        <f t="shared" ref="D26:G26" si="6">SUM(D27:D37)</f>
        <v>1543525</v>
      </c>
      <c r="E26" s="30">
        <f t="shared" si="6"/>
        <v>258076</v>
      </c>
      <c r="F26" s="30">
        <f t="shared" si="6"/>
        <v>4328185</v>
      </c>
      <c r="G26" s="30">
        <f t="shared" si="6"/>
        <v>1788358</v>
      </c>
      <c r="H26" s="30">
        <f>SUM(H27:H37)</f>
        <v>2969856</v>
      </c>
      <c r="I26" s="30">
        <f t="shared" ref="I26:J26" si="7">SUM(I27:I37)</f>
        <v>2452715</v>
      </c>
      <c r="J26" s="30">
        <f t="shared" si="7"/>
        <v>1411701</v>
      </c>
      <c r="K26" s="24">
        <f t="shared" si="0"/>
        <v>16894029</v>
      </c>
      <c r="L26" s="6"/>
    </row>
    <row r="27" spans="1:12" ht="31.2" x14ac:dyDescent="0.3">
      <c r="A27" s="14" t="s">
        <v>35</v>
      </c>
      <c r="B27" s="31" t="s">
        <v>36</v>
      </c>
      <c r="C27" s="30">
        <v>39685</v>
      </c>
      <c r="D27" s="30"/>
      <c r="E27" s="30"/>
      <c r="F27" s="30">
        <v>439132</v>
      </c>
      <c r="G27" s="30">
        <v>223034</v>
      </c>
      <c r="H27" s="30">
        <v>265843</v>
      </c>
      <c r="I27" s="30">
        <v>278521</v>
      </c>
      <c r="J27" s="30">
        <v>234644</v>
      </c>
      <c r="K27" s="24">
        <f t="shared" si="0"/>
        <v>1480859</v>
      </c>
      <c r="L27" s="6"/>
    </row>
    <row r="28" spans="1:12" x14ac:dyDescent="0.3">
      <c r="A28" s="14" t="s">
        <v>37</v>
      </c>
      <c r="B28" s="31" t="s">
        <v>38</v>
      </c>
      <c r="C28" s="30"/>
      <c r="D28" s="30"/>
      <c r="E28" s="30">
        <v>443</v>
      </c>
      <c r="F28" s="30">
        <v>19773</v>
      </c>
      <c r="G28" s="30"/>
      <c r="H28" s="30"/>
      <c r="I28" s="30"/>
      <c r="J28" s="30">
        <v>9201</v>
      </c>
      <c r="K28" s="24">
        <f t="shared" si="0"/>
        <v>29417</v>
      </c>
      <c r="L28" s="6"/>
    </row>
    <row r="29" spans="1:12" s="41" customFormat="1" ht="31.2" x14ac:dyDescent="0.25">
      <c r="A29" s="14" t="s">
        <v>39</v>
      </c>
      <c r="B29" s="31" t="s">
        <v>40</v>
      </c>
      <c r="C29" s="30">
        <v>32101</v>
      </c>
      <c r="D29" s="30"/>
      <c r="E29" s="30">
        <v>3195</v>
      </c>
      <c r="F29" s="30">
        <v>1408364</v>
      </c>
      <c r="G29" s="30">
        <v>154419</v>
      </c>
      <c r="H29" s="30">
        <v>103338</v>
      </c>
      <c r="I29" s="30">
        <v>395564</v>
      </c>
      <c r="J29" s="30">
        <v>206720</v>
      </c>
      <c r="K29" s="24">
        <f t="shared" si="0"/>
        <v>2303701</v>
      </c>
      <c r="L29" s="6"/>
    </row>
    <row r="30" spans="1:12" x14ac:dyDescent="0.3">
      <c r="A30" s="14" t="s">
        <v>41</v>
      </c>
      <c r="B30" s="31" t="s">
        <v>80</v>
      </c>
      <c r="C30" s="30">
        <v>1362205</v>
      </c>
      <c r="D30" s="30">
        <v>1429141</v>
      </c>
      <c r="E30" s="30">
        <v>193639</v>
      </c>
      <c r="F30" s="30">
        <v>1238023</v>
      </c>
      <c r="G30" s="30">
        <v>680512</v>
      </c>
      <c r="H30" s="30">
        <v>1263718</v>
      </c>
      <c r="I30" s="30">
        <v>308703</v>
      </c>
      <c r="J30" s="30">
        <v>46371</v>
      </c>
      <c r="K30" s="24">
        <f t="shared" si="0"/>
        <v>6522312</v>
      </c>
      <c r="L30" s="6"/>
    </row>
    <row r="31" spans="1:12" x14ac:dyDescent="0.3">
      <c r="A31" s="14" t="s">
        <v>42</v>
      </c>
      <c r="B31" s="31" t="s">
        <v>43</v>
      </c>
      <c r="C31" s="30"/>
      <c r="D31" s="30"/>
      <c r="E31" s="30"/>
      <c r="F31" s="30"/>
      <c r="G31" s="30">
        <v>3489</v>
      </c>
      <c r="H31" s="30"/>
      <c r="I31" s="30">
        <v>5525</v>
      </c>
      <c r="J31" s="30"/>
      <c r="K31" s="24">
        <f t="shared" si="0"/>
        <v>9014</v>
      </c>
      <c r="L31" s="6"/>
    </row>
    <row r="32" spans="1:12" x14ac:dyDescent="0.3">
      <c r="A32" s="14" t="s">
        <v>44</v>
      </c>
      <c r="B32" s="31" t="s">
        <v>45</v>
      </c>
      <c r="C32" s="30">
        <v>602141</v>
      </c>
      <c r="D32" s="30">
        <v>114384</v>
      </c>
      <c r="E32" s="30"/>
      <c r="F32" s="30"/>
      <c r="G32" s="30"/>
      <c r="H32" s="30"/>
      <c r="I32" s="30"/>
      <c r="J32" s="30"/>
      <c r="K32" s="24">
        <f t="shared" si="0"/>
        <v>716525</v>
      </c>
      <c r="L32" s="6"/>
    </row>
    <row r="33" spans="1:12" ht="31.2" x14ac:dyDescent="0.3">
      <c r="A33" s="14" t="s">
        <v>46</v>
      </c>
      <c r="B33" s="31" t="s">
        <v>47</v>
      </c>
      <c r="C33" s="30"/>
      <c r="D33" s="30"/>
      <c r="E33" s="30"/>
      <c r="F33" s="30">
        <v>541915</v>
      </c>
      <c r="G33" s="30"/>
      <c r="H33" s="30">
        <v>803832</v>
      </c>
      <c r="I33" s="30">
        <v>1003942</v>
      </c>
      <c r="J33" s="30">
        <v>468261</v>
      </c>
      <c r="K33" s="24">
        <f t="shared" si="0"/>
        <v>2817950</v>
      </c>
      <c r="L33" s="6"/>
    </row>
    <row r="34" spans="1:12" ht="31.2" x14ac:dyDescent="0.3">
      <c r="A34" s="14" t="s">
        <v>48</v>
      </c>
      <c r="B34" s="31" t="s">
        <v>49</v>
      </c>
      <c r="C34" s="30"/>
      <c r="D34" s="30"/>
      <c r="E34" s="30"/>
      <c r="F34" s="30">
        <v>58080</v>
      </c>
      <c r="G34" s="30"/>
      <c r="H34" s="30">
        <v>180691</v>
      </c>
      <c r="I34" s="30">
        <v>123747</v>
      </c>
      <c r="J34" s="30">
        <v>215976</v>
      </c>
      <c r="K34" s="24">
        <f t="shared" si="0"/>
        <v>578494</v>
      </c>
      <c r="L34" s="6"/>
    </row>
    <row r="35" spans="1:12" x14ac:dyDescent="0.3">
      <c r="A35" s="14" t="s">
        <v>50</v>
      </c>
      <c r="B35" s="31" t="s">
        <v>51</v>
      </c>
      <c r="C35" s="30">
        <v>105481</v>
      </c>
      <c r="D35" s="30"/>
      <c r="E35" s="30">
        <v>60796</v>
      </c>
      <c r="F35" s="30">
        <v>122194</v>
      </c>
      <c r="G35" s="30">
        <v>134309</v>
      </c>
      <c r="H35" s="30">
        <v>22632</v>
      </c>
      <c r="I35" s="30">
        <v>49622</v>
      </c>
      <c r="J35" s="30">
        <v>87339</v>
      </c>
      <c r="K35" s="24">
        <f t="shared" si="0"/>
        <v>582373</v>
      </c>
      <c r="L35" s="6"/>
    </row>
    <row r="36" spans="1:12" x14ac:dyDescent="0.3">
      <c r="A36" s="14" t="s">
        <v>52</v>
      </c>
      <c r="B36" s="31" t="s">
        <v>53</v>
      </c>
      <c r="C36" s="30"/>
      <c r="D36" s="30"/>
      <c r="E36" s="30">
        <v>1</v>
      </c>
      <c r="F36" s="30">
        <v>215342</v>
      </c>
      <c r="G36" s="30">
        <v>102130</v>
      </c>
      <c r="H36" s="30">
        <v>194317</v>
      </c>
      <c r="I36" s="30">
        <v>163108</v>
      </c>
      <c r="J36" s="30">
        <v>36132</v>
      </c>
      <c r="K36" s="24">
        <f t="shared" si="0"/>
        <v>711030</v>
      </c>
      <c r="L36" s="6"/>
    </row>
    <row r="37" spans="1:12" x14ac:dyDescent="0.3">
      <c r="A37" s="14" t="s">
        <v>54</v>
      </c>
      <c r="B37" s="31" t="s">
        <v>81</v>
      </c>
      <c r="C37" s="30"/>
      <c r="D37" s="30"/>
      <c r="E37" s="30">
        <v>2</v>
      </c>
      <c r="F37" s="30">
        <v>285362</v>
      </c>
      <c r="G37" s="30">
        <v>490465</v>
      </c>
      <c r="H37" s="30">
        <v>135485</v>
      </c>
      <c r="I37" s="30">
        <v>123983</v>
      </c>
      <c r="J37" s="30">
        <v>107057</v>
      </c>
      <c r="K37" s="24">
        <f t="shared" si="0"/>
        <v>1142354</v>
      </c>
      <c r="L37" s="6"/>
    </row>
    <row r="38" spans="1:12" x14ac:dyDescent="0.3">
      <c r="A38" s="14" t="s">
        <v>61</v>
      </c>
      <c r="B38" s="31" t="s">
        <v>55</v>
      </c>
      <c r="C38" s="30">
        <v>427982</v>
      </c>
      <c r="D38" s="30">
        <v>2076733</v>
      </c>
      <c r="E38" s="30">
        <v>371097</v>
      </c>
      <c r="F38" s="30">
        <v>1195</v>
      </c>
      <c r="G38" s="30">
        <v>269830</v>
      </c>
      <c r="H38" s="30">
        <v>3801</v>
      </c>
      <c r="I38" s="30">
        <v>471538</v>
      </c>
      <c r="J38" s="30">
        <v>496257</v>
      </c>
      <c r="K38" s="24">
        <f t="shared" si="0"/>
        <v>4118433</v>
      </c>
      <c r="L38" s="6"/>
    </row>
    <row r="39" spans="1:12" x14ac:dyDescent="0.3">
      <c r="A39" s="14" t="s">
        <v>62</v>
      </c>
      <c r="B39" s="31" t="s">
        <v>56</v>
      </c>
      <c r="C39" s="30">
        <v>1375250</v>
      </c>
      <c r="D39" s="30">
        <v>225824</v>
      </c>
      <c r="E39" s="30">
        <v>649456</v>
      </c>
      <c r="F39" s="30">
        <v>643676</v>
      </c>
      <c r="G39" s="30">
        <v>2497403</v>
      </c>
      <c r="H39" s="30">
        <v>587429</v>
      </c>
      <c r="I39" s="30">
        <v>672710</v>
      </c>
      <c r="J39" s="30">
        <v>385693</v>
      </c>
      <c r="K39" s="24">
        <f t="shared" si="0"/>
        <v>7037441</v>
      </c>
      <c r="L39" s="6"/>
    </row>
    <row r="40" spans="1:12" ht="46.8" x14ac:dyDescent="0.3">
      <c r="A40" s="16" t="s">
        <v>24</v>
      </c>
      <c r="B40" s="32" t="s">
        <v>83</v>
      </c>
      <c r="C40" s="33">
        <f>15166303-14159508-1006795</f>
        <v>0</v>
      </c>
      <c r="D40" s="33">
        <f>1319759-513542-806217</f>
        <v>0</v>
      </c>
      <c r="E40" s="33">
        <f>3410970-3410970</f>
        <v>0</v>
      </c>
      <c r="F40" s="33">
        <f>13046930-1573173-11473757</f>
        <v>0</v>
      </c>
      <c r="G40" s="33">
        <f>1215176-946961-268215</f>
        <v>0</v>
      </c>
      <c r="H40" s="33">
        <f>3667964-2310836-1357128</f>
        <v>0</v>
      </c>
      <c r="I40" s="33">
        <f>3762435-293472-3468963</f>
        <v>0</v>
      </c>
      <c r="J40" s="33">
        <f>2725653-481304-2244349</f>
        <v>0</v>
      </c>
      <c r="K40" s="43">
        <f t="shared" si="0"/>
        <v>0</v>
      </c>
      <c r="L40" s="6"/>
    </row>
    <row r="41" spans="1:12" ht="31.2" x14ac:dyDescent="0.3">
      <c r="A41" s="16" t="s">
        <v>57</v>
      </c>
      <c r="B41" s="4" t="s">
        <v>75</v>
      </c>
      <c r="C41" s="20">
        <f>SUM(C42+C43+C45+C49)</f>
        <v>48120146</v>
      </c>
      <c r="D41" s="20">
        <f t="shared" ref="D41:J41" si="8">SUM(D42+D43+D45+D49)</f>
        <v>2848108</v>
      </c>
      <c r="E41" s="20">
        <f t="shared" si="8"/>
        <v>31884759</v>
      </c>
      <c r="F41" s="20">
        <f t="shared" si="8"/>
        <v>33080337</v>
      </c>
      <c r="G41" s="20">
        <f t="shared" si="8"/>
        <v>22052470</v>
      </c>
      <c r="H41" s="20">
        <f t="shared" si="8"/>
        <v>40016507</v>
      </c>
      <c r="I41" s="20">
        <f t="shared" si="8"/>
        <v>21279322</v>
      </c>
      <c r="J41" s="20">
        <f t="shared" si="8"/>
        <v>17598830</v>
      </c>
      <c r="K41" s="21">
        <f t="shared" si="0"/>
        <v>216880479</v>
      </c>
    </row>
    <row r="42" spans="1:12" ht="31.2" x14ac:dyDescent="0.3">
      <c r="A42" s="14" t="s">
        <v>63</v>
      </c>
      <c r="B42" s="5" t="s">
        <v>29</v>
      </c>
      <c r="C42" s="22">
        <f>4604041-2290080</f>
        <v>2313961</v>
      </c>
      <c r="D42" s="22">
        <f>311689-198861</f>
        <v>112828</v>
      </c>
      <c r="E42" s="22">
        <f>2853549-2063979</f>
        <v>789570</v>
      </c>
      <c r="F42" s="22">
        <f>2181048-1653128</f>
        <v>527920</v>
      </c>
      <c r="G42" s="23">
        <f>1967877-1454324</f>
        <v>513553</v>
      </c>
      <c r="H42" s="22">
        <f>2483756-1313790</f>
        <v>1169966</v>
      </c>
      <c r="I42" s="22">
        <f>1742431-1189327</f>
        <v>553104</v>
      </c>
      <c r="J42" s="22">
        <f>1108374-732372</f>
        <v>376002</v>
      </c>
      <c r="K42" s="24">
        <f t="shared" si="0"/>
        <v>6356904</v>
      </c>
    </row>
    <row r="43" spans="1:12" ht="31.2" x14ac:dyDescent="0.3">
      <c r="A43" s="14" t="s">
        <v>64</v>
      </c>
      <c r="B43" s="5" t="s">
        <v>18</v>
      </c>
      <c r="C43" s="22">
        <f>3999587-1681700+126490</f>
        <v>2444377</v>
      </c>
      <c r="D43" s="22"/>
      <c r="E43" s="22"/>
      <c r="F43" s="22"/>
      <c r="G43" s="23"/>
      <c r="H43" s="22"/>
      <c r="I43" s="22"/>
      <c r="J43" s="22"/>
      <c r="K43" s="24">
        <f t="shared" si="0"/>
        <v>2444377</v>
      </c>
    </row>
    <row r="44" spans="1:12" ht="31.2" x14ac:dyDescent="0.3">
      <c r="A44" s="14" t="s">
        <v>65</v>
      </c>
      <c r="B44" s="5" t="s">
        <v>84</v>
      </c>
      <c r="C44" s="22">
        <f>3500000-1681700</f>
        <v>1818300</v>
      </c>
      <c r="D44" s="22"/>
      <c r="E44" s="22"/>
      <c r="F44" s="22"/>
      <c r="G44" s="23"/>
      <c r="H44" s="22"/>
      <c r="I44" s="22"/>
      <c r="J44" s="22"/>
      <c r="K44" s="24">
        <f t="shared" si="0"/>
        <v>1818300</v>
      </c>
    </row>
    <row r="45" spans="1:12" x14ac:dyDescent="0.3">
      <c r="A45" s="14" t="s">
        <v>66</v>
      </c>
      <c r="B45" s="5" t="s">
        <v>69</v>
      </c>
      <c r="C45" s="22">
        <f>SUM(C46:C48)</f>
        <v>43361808</v>
      </c>
      <c r="D45" s="22">
        <f t="shared" ref="D45:J45" si="9">SUM(D46:D48)</f>
        <v>2735280</v>
      </c>
      <c r="E45" s="22">
        <f t="shared" si="9"/>
        <v>30273265</v>
      </c>
      <c r="F45" s="22">
        <f t="shared" si="9"/>
        <v>32552417</v>
      </c>
      <c r="G45" s="22">
        <f t="shared" si="9"/>
        <v>21538917</v>
      </c>
      <c r="H45" s="22">
        <f t="shared" si="9"/>
        <v>38846541</v>
      </c>
      <c r="I45" s="22">
        <f t="shared" si="9"/>
        <v>20726218</v>
      </c>
      <c r="J45" s="22">
        <f t="shared" si="9"/>
        <v>17222828</v>
      </c>
      <c r="K45" s="24">
        <f t="shared" si="0"/>
        <v>207257274</v>
      </c>
    </row>
    <row r="46" spans="1:12" x14ac:dyDescent="0.3">
      <c r="A46" s="14" t="s">
        <v>68</v>
      </c>
      <c r="B46" s="5" t="s">
        <v>74</v>
      </c>
      <c r="C46" s="22">
        <f>30655861+2124000+7200000-12678846+10555531+4300000</f>
        <v>42156546</v>
      </c>
      <c r="D46" s="22">
        <f>1026000-436000+1400000+436021</f>
        <v>2426021</v>
      </c>
      <c r="E46" s="22">
        <f>19186515+1266000-6395400+5129880+1100000+8086270</f>
        <v>28373265</v>
      </c>
      <c r="F46" s="22">
        <f>30163834+1749000+53138-5963927+6051451</f>
        <v>32053496</v>
      </c>
      <c r="G46" s="23">
        <f>21265646+1749000+195616-5714751+3966311</f>
        <v>21461822</v>
      </c>
      <c r="H46" s="22">
        <f>33801950+2070000+5000957-10880220+8811112</f>
        <v>38803799</v>
      </c>
      <c r="I46" s="22">
        <f>19205132+1200000-4981708+5151620</f>
        <v>20575044</v>
      </c>
      <c r="J46" s="22">
        <f>16542894+928000+7257-7274853+6347295</f>
        <v>16550593</v>
      </c>
      <c r="K46" s="24">
        <f t="shared" ref="K46:K48" si="10">SUM(C46:J46)</f>
        <v>202400586</v>
      </c>
    </row>
    <row r="47" spans="1:12" ht="78" x14ac:dyDescent="0.3">
      <c r="A47" s="14" t="s">
        <v>70</v>
      </c>
      <c r="B47" s="31" t="s">
        <v>89</v>
      </c>
      <c r="C47" s="30"/>
      <c r="D47" s="30"/>
      <c r="E47" s="30"/>
      <c r="F47" s="30">
        <v>433422</v>
      </c>
      <c r="G47" s="30"/>
      <c r="H47" s="30"/>
      <c r="I47" s="30"/>
      <c r="J47" s="30">
        <v>173108</v>
      </c>
      <c r="K47" s="24">
        <f t="shared" si="10"/>
        <v>606530</v>
      </c>
    </row>
    <row r="48" spans="1:12" ht="31.2" x14ac:dyDescent="0.3">
      <c r="A48" s="14" t="s">
        <v>71</v>
      </c>
      <c r="B48" s="31" t="s">
        <v>76</v>
      </c>
      <c r="C48" s="30">
        <v>1205262</v>
      </c>
      <c r="D48" s="30">
        <v>309259</v>
      </c>
      <c r="E48" s="30">
        <v>1900000</v>
      </c>
      <c r="F48" s="30">
        <v>65499</v>
      </c>
      <c r="G48" s="30">
        <v>77095</v>
      </c>
      <c r="H48" s="30">
        <v>42742</v>
      </c>
      <c r="I48" s="30">
        <v>151174</v>
      </c>
      <c r="J48" s="30">
        <v>499127</v>
      </c>
      <c r="K48" s="24">
        <f t="shared" si="10"/>
        <v>4250158</v>
      </c>
    </row>
    <row r="49" spans="1:11" ht="78.599999999999994" thickBot="1" x14ac:dyDescent="0.35">
      <c r="A49" s="25" t="s">
        <v>67</v>
      </c>
      <c r="B49" s="26" t="s">
        <v>73</v>
      </c>
      <c r="C49" s="27"/>
      <c r="D49" s="27"/>
      <c r="E49" s="27">
        <v>821924</v>
      </c>
      <c r="F49" s="27"/>
      <c r="G49" s="28"/>
      <c r="H49" s="27"/>
      <c r="I49" s="27"/>
      <c r="J49" s="27"/>
      <c r="K49" s="29">
        <f t="shared" ref="K49" si="11">SUM(C49:J49)</f>
        <v>821924</v>
      </c>
    </row>
  </sheetData>
  <mergeCells count="1">
    <mergeCell ref="A11:K11"/>
  </mergeCells>
  <phoneticPr fontId="1" type="noConversion"/>
  <printOptions horizontalCentered="1"/>
  <pageMargins left="0.23622047244094491" right="0.15748031496062992" top="0.78740157480314965" bottom="0" header="0" footer="0"/>
  <pageSetup paperSize="9" scale="78" firstPageNumber="112" fitToHeight="5" orientation="landscape" useFirstPageNumber="1" r:id="rId1"/>
  <headerFooter>
    <oddHeader>&amp;C&amp;P</oddHeader>
  </headerFooter>
  <rowBreaks count="1" manualBreakCount="1">
    <brk id="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 (706)</vt:lpstr>
      <vt:lpstr>'Приложение № 4 (706)'!Заголовки_для_печати</vt:lpstr>
      <vt:lpstr>'Приложение № 4 (706)'!Область_печати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2022-10-18T06:07:26Z</dcterms:modified>
</cp:coreProperties>
</file>