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185"/>
  </bookViews>
  <sheets>
    <sheet name="Приложение № 3 (422)" sheetId="1" r:id="rId1"/>
  </sheets>
  <definedNames>
    <definedName name="_xlnm.Print_Titles" localSheetId="0">'Приложение № 3 (422)'!$13:$13</definedName>
    <definedName name="_xlnm.Print_Area" localSheetId="0">'Приложение № 3 (422)'!$A$1:$K$64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E34" i="1"/>
  <c r="D34" i="1"/>
  <c r="C34" i="1"/>
  <c r="J38" i="1"/>
  <c r="I38" i="1"/>
  <c r="H38" i="1"/>
  <c r="G38" i="1"/>
  <c r="F38" i="1"/>
  <c r="E38" i="1"/>
  <c r="F27" i="1" l="1"/>
  <c r="J22" i="1"/>
  <c r="I22" i="1"/>
  <c r="H22" i="1"/>
  <c r="G22" i="1"/>
  <c r="F22" i="1"/>
  <c r="E22" i="1"/>
  <c r="F20" i="1"/>
  <c r="E64" i="1" l="1"/>
  <c r="J64" i="1"/>
  <c r="I64" i="1"/>
  <c r="H64" i="1"/>
  <c r="G64" i="1"/>
  <c r="F64" i="1"/>
  <c r="D64" i="1"/>
  <c r="C64" i="1"/>
  <c r="K64" i="1" s="1"/>
  <c r="K63" i="1"/>
  <c r="K62" i="1"/>
  <c r="K61" i="1"/>
  <c r="J60" i="1"/>
  <c r="I60" i="1"/>
  <c r="H60" i="1"/>
  <c r="G60" i="1"/>
  <c r="F60" i="1"/>
  <c r="E60" i="1"/>
  <c r="D60" i="1"/>
  <c r="K59" i="1"/>
  <c r="K58" i="1"/>
  <c r="J57" i="1"/>
  <c r="I57" i="1"/>
  <c r="H57" i="1"/>
  <c r="G57" i="1"/>
  <c r="F57" i="1"/>
  <c r="E57" i="1"/>
  <c r="D57" i="1"/>
  <c r="C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J43" i="1"/>
  <c r="I43" i="1"/>
  <c r="I42" i="1" s="1"/>
  <c r="I40" i="1" s="1"/>
  <c r="H43" i="1"/>
  <c r="G43" i="1"/>
  <c r="G42" i="1" s="1"/>
  <c r="G40" i="1" s="1"/>
  <c r="F43" i="1"/>
  <c r="E43" i="1"/>
  <c r="E42" i="1" s="1"/>
  <c r="E40" i="1" s="1"/>
  <c r="D43" i="1"/>
  <c r="C43" i="1"/>
  <c r="C42" i="1" s="1"/>
  <c r="H42" i="1"/>
  <c r="D42" i="1"/>
  <c r="H41" i="1"/>
  <c r="D41" i="1"/>
  <c r="D40" i="1" s="1"/>
  <c r="D35" i="1" s="1"/>
  <c r="C41" i="1"/>
  <c r="K39" i="1"/>
  <c r="C38" i="1"/>
  <c r="K38" i="1" s="1"/>
  <c r="E37" i="1"/>
  <c r="C37" i="1"/>
  <c r="J36" i="1"/>
  <c r="I36" i="1"/>
  <c r="I35" i="1" s="1"/>
  <c r="H36" i="1"/>
  <c r="G36" i="1"/>
  <c r="G35" i="1" s="1"/>
  <c r="F36" i="1"/>
  <c r="E36" i="1"/>
  <c r="E35" i="1" s="1"/>
  <c r="C36" i="1"/>
  <c r="K34" i="1"/>
  <c r="K32" i="1"/>
  <c r="G31" i="1"/>
  <c r="E31" i="1"/>
  <c r="C31" i="1"/>
  <c r="K30" i="1"/>
  <c r="J29" i="1"/>
  <c r="I29" i="1"/>
  <c r="H29" i="1"/>
  <c r="G29" i="1"/>
  <c r="F29" i="1"/>
  <c r="E29" i="1"/>
  <c r="D29" i="1"/>
  <c r="C29" i="1"/>
  <c r="C28" i="1"/>
  <c r="K28" i="1" s="1"/>
  <c r="J27" i="1"/>
  <c r="I27" i="1"/>
  <c r="I26" i="1" s="1"/>
  <c r="H27" i="1"/>
  <c r="G27" i="1"/>
  <c r="G26" i="1" s="1"/>
  <c r="E27" i="1"/>
  <c r="E26" i="1" s="1"/>
  <c r="D27" i="1"/>
  <c r="C27" i="1"/>
  <c r="C26" i="1" s="1"/>
  <c r="J26" i="1"/>
  <c r="H26" i="1"/>
  <c r="F26" i="1"/>
  <c r="D26" i="1"/>
  <c r="E25" i="1"/>
  <c r="K25" i="1" s="1"/>
  <c r="I24" i="1"/>
  <c r="C22" i="1"/>
  <c r="K22" i="1" s="1"/>
  <c r="J20" i="1"/>
  <c r="I20" i="1"/>
  <c r="H20" i="1"/>
  <c r="G20" i="1"/>
  <c r="E20" i="1"/>
  <c r="D20" i="1"/>
  <c r="C20" i="1"/>
  <c r="K20" i="1" s="1"/>
  <c r="E19" i="1"/>
  <c r="K19" i="1" s="1"/>
  <c r="G18" i="1"/>
  <c r="D18" i="1"/>
  <c r="C18" i="1"/>
  <c r="C17" i="1"/>
  <c r="K17" i="1" s="1"/>
  <c r="D16" i="1"/>
  <c r="C16" i="1"/>
  <c r="J15" i="1"/>
  <c r="G15" i="1"/>
  <c r="E15" i="1"/>
  <c r="E24" i="1" s="1"/>
  <c r="D15" i="1"/>
  <c r="C15" i="1"/>
  <c r="C24" i="1" s="1"/>
  <c r="I14" i="1"/>
  <c r="H14" i="1"/>
  <c r="G14" i="1"/>
  <c r="F14" i="1"/>
  <c r="D14" i="1"/>
  <c r="K37" i="1" l="1"/>
  <c r="H40" i="1"/>
  <c r="H35" i="1" s="1"/>
  <c r="F42" i="1"/>
  <c r="J42" i="1"/>
  <c r="J40" i="1" s="1"/>
  <c r="J35" i="1" s="1"/>
  <c r="J33" i="1" s="1"/>
  <c r="E23" i="1"/>
  <c r="D33" i="1"/>
  <c r="I33" i="1"/>
  <c r="H33" i="1"/>
  <c r="G33" i="1"/>
  <c r="E33" i="1"/>
  <c r="F40" i="1"/>
  <c r="F35" i="1" s="1"/>
  <c r="F24" i="1"/>
  <c r="J24" i="1"/>
  <c r="K26" i="1"/>
  <c r="I23" i="1"/>
  <c r="J14" i="1"/>
  <c r="D24" i="1"/>
  <c r="G24" i="1"/>
  <c r="K16" i="1"/>
  <c r="K18" i="1"/>
  <c r="H24" i="1"/>
  <c r="K31" i="1"/>
  <c r="K36" i="1"/>
  <c r="K41" i="1"/>
  <c r="C60" i="1"/>
  <c r="K60" i="1" s="1"/>
  <c r="C14" i="1"/>
  <c r="E14" i="1"/>
  <c r="K15" i="1"/>
  <c r="C23" i="1"/>
  <c r="K27" i="1"/>
  <c r="K29" i="1"/>
  <c r="K42" i="1"/>
  <c r="C40" i="1"/>
  <c r="K43" i="1"/>
  <c r="K57" i="1"/>
  <c r="K14" i="1" l="1"/>
  <c r="J23" i="1"/>
  <c r="I21" i="1"/>
  <c r="H23" i="1"/>
  <c r="G23" i="1"/>
  <c r="F23" i="1"/>
  <c r="E21" i="1"/>
  <c r="D23" i="1"/>
  <c r="F33" i="1"/>
  <c r="F21" i="1"/>
  <c r="K24" i="1"/>
  <c r="K40" i="1"/>
  <c r="C35" i="1"/>
  <c r="K23" i="1"/>
  <c r="C21" i="1"/>
  <c r="J21" i="1" l="1"/>
  <c r="H21" i="1"/>
  <c r="G21" i="1"/>
  <c r="D21" i="1"/>
  <c r="K21" i="1" s="1"/>
  <c r="K35" i="1"/>
  <c r="C33" i="1"/>
  <c r="K33" i="1" l="1"/>
</calcChain>
</file>

<file path=xl/sharedStrings.xml><?xml version="1.0" encoding="utf-8"?>
<sst xmlns="http://schemas.openxmlformats.org/spreadsheetml/2006/main" count="122" uniqueCount="117">
  <si>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</si>
  <si>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</si>
  <si>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</si>
  <si>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</si>
  <si>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</si>
  <si>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</si>
  <si>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</si>
  <si>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</si>
  <si>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</si>
  <si>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</si>
  <si>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 на содержание жилищного фонда, объектов социально-культурной сферы и иные цели</t>
  </si>
  <si>
    <t>"О республиканском бюджете на 2021 год"</t>
  </si>
  <si>
    <t>№ п/п</t>
  </si>
  <si>
    <t>имеющие целевое назначение</t>
  </si>
  <si>
    <t>не имеющие целевого назначения</t>
  </si>
  <si>
    <t>Предельные расходы, из них:</t>
  </si>
  <si>
    <t>за счет доходов, имеющих целевое назначение</t>
  </si>
  <si>
    <t>Предельный дефицит</t>
  </si>
  <si>
    <t>на установку, ремонт и компенсацию за установку памятников</t>
  </si>
  <si>
    <t>Дефицит</t>
  </si>
  <si>
    <t>Доходы</t>
  </si>
  <si>
    <t>от оказания платных услуг и иной приносящей доход деятельности</t>
  </si>
  <si>
    <t>за счет доходов, не имеющих целевого назначения</t>
  </si>
  <si>
    <t>Источники покрытия предельного дефицита, из них:</t>
  </si>
  <si>
    <t>Приложение № 3</t>
  </si>
  <si>
    <t>поступления в доходы территориального экологического фонда</t>
  </si>
  <si>
    <t>по прочим направлениям, из них:</t>
  </si>
  <si>
    <t>на оплату коммунальных услуг</t>
  </si>
  <si>
    <t>Субсидии из республиканского бюджета:</t>
  </si>
  <si>
    <t>за счет Фонда развития и стимулирования территорий городов и районов</t>
  </si>
  <si>
    <t>за счет Дорожного фонда (на развитие дорожной отрасли)</t>
  </si>
  <si>
    <t>по социально защищенным направлениям, из них:</t>
  </si>
  <si>
    <t>на содержание Центрального парка "Екатерининский"</t>
  </si>
  <si>
    <t>3.2.2.3</t>
  </si>
  <si>
    <t>6.1.1</t>
  </si>
  <si>
    <t>дотации (трансферты) из республиканского бюджета, из них:</t>
  </si>
  <si>
    <t>на оплату текущих трансфертов предприятию электротранспорта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</si>
  <si>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</si>
  <si>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</si>
  <si>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</si>
  <si>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оплату коммунальных услуг, возмещение льгот по коммунальным услугам и услугам жилищного фонда (полная расчетная потребность, исходя из планируемого объема потребления соответствующих коммунальных услуг, возмещения соответствующих льгот)</t>
  </si>
  <si>
    <t>Расходы (план финансирования)</t>
  </si>
  <si>
    <t>на возмещение льгот по коммунальным услугам и услугам жилищного фонда, подлежащим финансированию</t>
  </si>
  <si>
    <t>на цели осуществления городом Тирасполем функций столицы, из них:</t>
  </si>
  <si>
    <t>ОСТАТКИ по состоянию на 1 января 2021 года всего, в том числе:</t>
  </si>
  <si>
    <t xml:space="preserve"> не имеющие целевого назначения  (очищенные)</t>
  </si>
  <si>
    <t>целевой сбор на благоустройство территории сел (поселков)</t>
  </si>
  <si>
    <t>целевой сбор на содержание и развитие социальной сферы и инфраструктуры сел (поселков)</t>
  </si>
  <si>
    <t>целевой сбор землеустроителей</t>
  </si>
  <si>
    <t>плата за услуги, осуществляемые органами местного самоуправления в связи с утверждением схем домовладений и (или) иных построек хозяйственного назначения, расположенных в сельских населенных пунктах</t>
  </si>
  <si>
    <t>средства  от приватизации</t>
  </si>
  <si>
    <t>средства, направляемые на кредитование крестьянских (фермерских) хозяйств (и проценты)</t>
  </si>
  <si>
    <t>средства, направляемые на кредитование молодых специалистов на приобретение строительных материалов для строительства жилья (и проценты)</t>
  </si>
  <si>
    <t>средства, направляемые на кредитование молодых семей на приобретение строительных материалов для строительства жилья (и проценты)</t>
  </si>
  <si>
    <t>территориального экологического фонда</t>
  </si>
  <si>
    <t>на обустройство мест стоянок и парковок</t>
  </si>
  <si>
    <t>ремонтные работы дорог от пер. Западный до ул. Правды</t>
  </si>
  <si>
    <t>целевые сборы и платежи всего, в том числе:</t>
  </si>
  <si>
    <t>на специальных бюджетных счетах</t>
  </si>
  <si>
    <t>средства из РБ  на развитие дорожной отрасли, из них:</t>
  </si>
  <si>
    <t>7.3</t>
  </si>
  <si>
    <t>7.2.1</t>
  </si>
  <si>
    <t>7.2</t>
  </si>
  <si>
    <t>7.1</t>
  </si>
  <si>
    <t>1.1</t>
  </si>
  <si>
    <t>1.1.1</t>
  </si>
  <si>
    <t>1.1.2</t>
  </si>
  <si>
    <t>1.1.3</t>
  </si>
  <si>
    <t>1.2</t>
  </si>
  <si>
    <t>2</t>
  </si>
  <si>
    <t>2.1</t>
  </si>
  <si>
    <t>3</t>
  </si>
  <si>
    <t>3.1</t>
  </si>
  <si>
    <t>3.2</t>
  </si>
  <si>
    <t>3.2.1</t>
  </si>
  <si>
    <t>3.2.1.1</t>
  </si>
  <si>
    <t>3.2.2</t>
  </si>
  <si>
    <t>3.2.2.1</t>
  </si>
  <si>
    <t>3.2.2.2</t>
  </si>
  <si>
    <t>4</t>
  </si>
  <si>
    <t>5</t>
  </si>
  <si>
    <t>6</t>
  </si>
  <si>
    <t>6.1</t>
  </si>
  <si>
    <t>6.2</t>
  </si>
  <si>
    <t>6.3</t>
  </si>
  <si>
    <t>7</t>
  </si>
  <si>
    <t>1.1.4</t>
  </si>
  <si>
    <t>возврат средств, не использованных в 2020 году</t>
  </si>
  <si>
    <t>3.1.1</t>
  </si>
  <si>
    <t>за счёт возврата средств, не использованных в 2020 году</t>
  </si>
  <si>
    <t>Фонд социального развития</t>
  </si>
  <si>
    <t xml:space="preserve">Фонд экономического развития </t>
  </si>
  <si>
    <t>6.4</t>
  </si>
  <si>
    <t>6.4.1</t>
  </si>
  <si>
    <t>6.4.2</t>
  </si>
  <si>
    <t>6.4.2.1</t>
  </si>
  <si>
    <t>6.4.2.1.1</t>
  </si>
  <si>
    <t>6.4.2.1.2</t>
  </si>
  <si>
    <t>6.4.2.1.3</t>
  </si>
  <si>
    <t>6.4.2.1.4</t>
  </si>
  <si>
    <t>6.4.2.1.5</t>
  </si>
  <si>
    <t>6.4.2.1.6</t>
  </si>
  <si>
    <t>6.4.2.1.7</t>
  </si>
  <si>
    <t>6.4.2.1.8</t>
  </si>
  <si>
    <t>6.4.2.1.9</t>
  </si>
  <si>
    <t>6.4.2.4.2</t>
  </si>
  <si>
    <t>6.4.2.4.1</t>
  </si>
  <si>
    <t>6.4.2.4</t>
  </si>
  <si>
    <t>6.4.2.3</t>
  </si>
  <si>
    <t>6.4.2.2</t>
  </si>
  <si>
    <t>6.4.2.1.11</t>
  </si>
  <si>
    <t>6.4.2.1.10</t>
  </si>
  <si>
    <t>средства из резервных фондов  Президента ПМР и Правительства ПМР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</si>
  <si>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</si>
  <si>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</si>
  <si>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8</t>
  </si>
  <si>
    <t>Основные характеристики доходной и расходной частей местных бюджетов, источники покрытия дефицита местных бюджетов, объемы субсидий из республиканского бюджета                           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</si>
</sst>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59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3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Fill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3" fontId="4" fillId="3" borderId="0" xfId="0" applyNumberFormat="1" applyFont="1" applyFill="1"/>
    <xf numFmtId="3" fontId="3" fillId="0" borderId="5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 wrapText="1"/>
    </xf>
    <xf numFmtId="3" fontId="9" fillId="0" borderId="0" xfId="0" applyNumberFormat="1" applyFont="1" applyFill="1" applyAlignment="1">
      <alignment vertical="center"/>
    </xf>
    <xf numFmtId="3" fontId="10" fillId="0" borderId="0" xfId="0" applyNumberFormat="1" applyFont="1"/>
    <xf numFmtId="3" fontId="9" fillId="0" borderId="1" xfId="0" applyNumberFormat="1" applyFont="1" applyBorder="1" applyAlignment="1">
      <alignment vertical="center" wrapText="1"/>
    </xf>
    <xf numFmtId="3" fontId="11" fillId="0" borderId="0" xfId="0" applyNumberFormat="1" applyFont="1" applyFill="1" applyAlignment="1">
      <alignment vertical="center"/>
    </xf>
    <xf numFmtId="3" fontId="6" fillId="2" borderId="8" xfId="1" applyNumberFormat="1" applyFont="1" applyFill="1" applyBorder="1" applyAlignment="1">
      <alignment vertical="center" wrapText="1"/>
    </xf>
    <xf numFmtId="3" fontId="6" fillId="3" borderId="8" xfId="1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3" fontId="12" fillId="3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 vertical="center"/>
    </xf>
    <xf numFmtId="3" fontId="12" fillId="0" borderId="0" xfId="0" applyNumberFormat="1" applyFont="1"/>
    <xf numFmtId="3" fontId="12" fillId="3" borderId="0" xfId="0" applyNumberFormat="1" applyFont="1" applyFill="1"/>
    <xf numFmtId="3" fontId="14" fillId="0" borderId="0" xfId="0" applyNumberFormat="1" applyFont="1"/>
    <xf numFmtId="3" fontId="14" fillId="3" borderId="0" xfId="0" applyNumberFormat="1" applyFont="1" applyFill="1"/>
    <xf numFmtId="3" fontId="5" fillId="0" borderId="0" xfId="0" applyNumberFormat="1" applyFont="1" applyAlignment="1">
      <alignment horizontal="center" wrapText="1"/>
    </xf>
    <xf numFmtId="3" fontId="12" fillId="3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</cellXfs>
  <cellStyles count="5">
    <cellStyle name="Обычный" xfId="0" builtinId="0"/>
    <cellStyle name="Финансовый 2" xfId="1"/>
    <cellStyle name="Финансовый 2 2" xfId="4"/>
    <cellStyle name="Финансовый 3" xfId="2"/>
    <cellStyle name="Финансов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zoomScale="75" zoomScaleNormal="90" zoomScaleSheetLayoutView="75" workbookViewId="0">
      <pane xSplit="2" ySplit="13" topLeftCell="C14" activePane="bottomRight" state="frozenSplit"/>
      <selection pane="topRight" activeCell="B1" sqref="B1"/>
      <selection pane="bottomLeft" activeCell="A8" sqref="A8"/>
      <selection pane="bottomRight" activeCell="I19" sqref="I19"/>
    </sheetView>
  </sheetViews>
  <sheetFormatPr defaultColWidth="9.140625" defaultRowHeight="15.75" x14ac:dyDescent="0.25"/>
  <cols>
    <col min="1" max="1" width="10.140625" style="5" bestFit="1" customWidth="1"/>
    <col min="2" max="2" width="47.42578125" style="2" customWidth="1"/>
    <col min="3" max="3" width="13.5703125" style="5" bestFit="1" customWidth="1"/>
    <col min="4" max="4" width="13.140625" style="5" customWidth="1"/>
    <col min="5" max="6" width="13.5703125" style="5" bestFit="1" customWidth="1"/>
    <col min="7" max="7" width="13.5703125" style="11" bestFit="1" customWidth="1"/>
    <col min="8" max="8" width="13.5703125" style="5" bestFit="1" customWidth="1"/>
    <col min="9" max="9" width="15.5703125" style="5" bestFit="1" customWidth="1"/>
    <col min="10" max="10" width="12.28515625" style="5" bestFit="1" customWidth="1"/>
    <col min="11" max="11" width="16.140625" style="5" customWidth="1"/>
    <col min="12" max="16384" width="9.140625" style="5"/>
  </cols>
  <sheetData>
    <row r="1" spans="1:11" ht="18.75" x14ac:dyDescent="0.3">
      <c r="F1" s="49"/>
      <c r="G1" s="47"/>
      <c r="H1" s="50"/>
      <c r="I1" s="56" t="s">
        <v>115</v>
      </c>
      <c r="J1" s="56"/>
      <c r="K1" s="56"/>
    </row>
    <row r="2" spans="1:11" ht="18.75" x14ac:dyDescent="0.3">
      <c r="F2" s="49"/>
      <c r="G2" s="47"/>
      <c r="H2" s="57" t="s">
        <v>37</v>
      </c>
      <c r="I2" s="57"/>
      <c r="J2" s="57"/>
      <c r="K2" s="57"/>
    </row>
    <row r="3" spans="1:11" ht="18.75" x14ac:dyDescent="0.3">
      <c r="F3" s="49"/>
      <c r="G3" s="58" t="s">
        <v>113</v>
      </c>
      <c r="H3" s="58"/>
      <c r="I3" s="58"/>
      <c r="J3" s="58"/>
      <c r="K3" s="58"/>
    </row>
    <row r="4" spans="1:11" ht="18.75" x14ac:dyDescent="0.3">
      <c r="F4" s="58" t="s">
        <v>114</v>
      </c>
      <c r="G4" s="58"/>
      <c r="H4" s="58"/>
      <c r="I4" s="58"/>
      <c r="J4" s="58"/>
      <c r="K4" s="58"/>
    </row>
    <row r="5" spans="1:11" ht="18.75" x14ac:dyDescent="0.3">
      <c r="F5" s="49"/>
      <c r="G5" s="57" t="s">
        <v>11</v>
      </c>
      <c r="H5" s="57"/>
      <c r="I5" s="57"/>
      <c r="J5" s="57"/>
      <c r="K5" s="57"/>
    </row>
    <row r="6" spans="1:11" ht="12" customHeight="1" x14ac:dyDescent="0.3">
      <c r="F6" s="51"/>
      <c r="G6" s="52"/>
      <c r="H6" s="51"/>
      <c r="I6" s="51"/>
      <c r="J6" s="51"/>
      <c r="K6" s="51"/>
    </row>
    <row r="7" spans="1:11" ht="18.75" x14ac:dyDescent="0.3">
      <c r="A7" s="1"/>
      <c r="C7" s="1"/>
      <c r="D7" s="1"/>
      <c r="E7" s="1"/>
      <c r="F7" s="53"/>
      <c r="G7" s="54"/>
      <c r="H7" s="53"/>
      <c r="I7" s="53"/>
      <c r="J7" s="53"/>
      <c r="K7" s="48" t="s">
        <v>24</v>
      </c>
    </row>
    <row r="8" spans="1:11" ht="18.75" x14ac:dyDescent="0.3">
      <c r="A8" s="1"/>
      <c r="C8" s="1"/>
      <c r="D8" s="1"/>
      <c r="E8" s="1"/>
      <c r="F8" s="53"/>
      <c r="G8" s="54"/>
      <c r="H8" s="53"/>
      <c r="I8" s="53"/>
      <c r="J8" s="53"/>
      <c r="K8" s="48" t="s">
        <v>37</v>
      </c>
    </row>
    <row r="9" spans="1:11" ht="18.75" x14ac:dyDescent="0.3">
      <c r="A9" s="1"/>
      <c r="C9" s="1"/>
      <c r="D9" s="1"/>
      <c r="E9" s="1"/>
      <c r="F9" s="53"/>
      <c r="G9" s="54"/>
      <c r="H9" s="53"/>
      <c r="I9" s="53"/>
      <c r="J9" s="53"/>
      <c r="K9" s="48" t="s">
        <v>11</v>
      </c>
    </row>
    <row r="10" spans="1:11" x14ac:dyDescent="0.25">
      <c r="A10" s="1"/>
      <c r="C10" s="1"/>
      <c r="D10" s="1"/>
      <c r="E10" s="1"/>
      <c r="F10" s="1"/>
      <c r="G10" s="3"/>
      <c r="H10" s="1"/>
      <c r="I10" s="1"/>
      <c r="J10" s="1"/>
      <c r="K10" s="4"/>
    </row>
    <row r="11" spans="1:11" ht="37.5" customHeight="1" x14ac:dyDescent="0.25">
      <c r="A11" s="55" t="s">
        <v>116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6.5" customHeight="1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20" t="s">
        <v>39</v>
      </c>
    </row>
    <row r="13" spans="1:11" s="6" customFormat="1" ht="16.5" thickBot="1" x14ac:dyDescent="0.3">
      <c r="A13" s="14" t="s">
        <v>12</v>
      </c>
      <c r="B13" s="15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7" t="s">
        <v>5</v>
      </c>
      <c r="H13" s="16" t="s">
        <v>6</v>
      </c>
      <c r="I13" s="16" t="s">
        <v>7</v>
      </c>
      <c r="J13" s="16" t="s">
        <v>8</v>
      </c>
      <c r="K13" s="18" t="s">
        <v>9</v>
      </c>
    </row>
    <row r="14" spans="1:11" s="6" customFormat="1" x14ac:dyDescent="0.25">
      <c r="A14" s="22">
        <v>1</v>
      </c>
      <c r="B14" s="13" t="s">
        <v>20</v>
      </c>
      <c r="C14" s="31">
        <f>SUM(C15+C20)</f>
        <v>329319728</v>
      </c>
      <c r="D14" s="31">
        <f t="shared" ref="D14:J14" si="0">SUM(D15+D20)</f>
        <v>38504146</v>
      </c>
      <c r="E14" s="31">
        <f t="shared" si="0"/>
        <v>249427396</v>
      </c>
      <c r="F14" s="31">
        <f t="shared" si="0"/>
        <v>203653753</v>
      </c>
      <c r="G14" s="32">
        <f t="shared" si="0"/>
        <v>95024482</v>
      </c>
      <c r="H14" s="31">
        <f t="shared" si="0"/>
        <v>139049177</v>
      </c>
      <c r="I14" s="31">
        <f t="shared" si="0"/>
        <v>69134950</v>
      </c>
      <c r="J14" s="31">
        <f t="shared" si="0"/>
        <v>40275403</v>
      </c>
      <c r="K14" s="33">
        <f>SUM(C14:J14)</f>
        <v>1164389035</v>
      </c>
    </row>
    <row r="15" spans="1:11" s="6" customFormat="1" x14ac:dyDescent="0.25">
      <c r="A15" s="23" t="s">
        <v>64</v>
      </c>
      <c r="B15" s="7" t="s">
        <v>13</v>
      </c>
      <c r="C15" s="34">
        <f>45346556-3296377</f>
        <v>42050179</v>
      </c>
      <c r="D15" s="34">
        <f>9467380+1400488</f>
        <v>10867868</v>
      </c>
      <c r="E15" s="34">
        <f>32163936+222500</f>
        <v>32386436</v>
      </c>
      <c r="F15" s="34">
        <v>20969951</v>
      </c>
      <c r="G15" s="34">
        <f>7536066-112500+60625</f>
        <v>7484191</v>
      </c>
      <c r="H15" s="34">
        <v>14734789</v>
      </c>
      <c r="I15" s="34">
        <v>12521024</v>
      </c>
      <c r="J15" s="34">
        <f>7755624+415362+358708</f>
        <v>8529694</v>
      </c>
      <c r="K15" s="35">
        <f t="shared" ref="K15:K64" si="1">SUM(C15:J15)</f>
        <v>149544132</v>
      </c>
    </row>
    <row r="16" spans="1:11" s="6" customFormat="1" ht="47.25" x14ac:dyDescent="0.25">
      <c r="A16" s="19" t="s">
        <v>65</v>
      </c>
      <c r="B16" s="8" t="s">
        <v>10</v>
      </c>
      <c r="C16" s="36">
        <f>14051504+1827050</f>
        <v>15878554</v>
      </c>
      <c r="D16" s="36">
        <f>6807457+688256</f>
        <v>7495713</v>
      </c>
      <c r="E16" s="36">
        <v>7062939</v>
      </c>
      <c r="F16" s="36">
        <v>4694390</v>
      </c>
      <c r="G16" s="37">
        <v>2261842</v>
      </c>
      <c r="H16" s="36">
        <v>3351892</v>
      </c>
      <c r="I16" s="36">
        <v>1269814</v>
      </c>
      <c r="J16" s="36">
        <v>1076601</v>
      </c>
      <c r="K16" s="38">
        <f t="shared" si="1"/>
        <v>43091745</v>
      </c>
    </row>
    <row r="17" spans="1:11" s="6" customFormat="1" ht="31.5" x14ac:dyDescent="0.25">
      <c r="A17" s="19" t="s">
        <v>66</v>
      </c>
      <c r="B17" s="8" t="s">
        <v>25</v>
      </c>
      <c r="C17" s="36">
        <f>4662929+403063</f>
        <v>5065992</v>
      </c>
      <c r="D17" s="36">
        <v>2084823</v>
      </c>
      <c r="E17" s="36">
        <v>1644224</v>
      </c>
      <c r="F17" s="36">
        <v>3053027</v>
      </c>
      <c r="G17" s="37">
        <v>659460</v>
      </c>
      <c r="H17" s="36">
        <v>1870214</v>
      </c>
      <c r="I17" s="36">
        <v>542206</v>
      </c>
      <c r="J17" s="36">
        <v>416791</v>
      </c>
      <c r="K17" s="38">
        <f t="shared" si="1"/>
        <v>15336737</v>
      </c>
    </row>
    <row r="18" spans="1:11" s="6" customFormat="1" ht="31.5" x14ac:dyDescent="0.25">
      <c r="A18" s="19" t="s">
        <v>67</v>
      </c>
      <c r="B18" s="8" t="s">
        <v>21</v>
      </c>
      <c r="C18" s="36">
        <f>25352403-5561609</f>
        <v>19790794</v>
      </c>
      <c r="D18" s="36">
        <f>521962+712232</f>
        <v>1234194</v>
      </c>
      <c r="E18" s="36">
        <v>21497680</v>
      </c>
      <c r="F18" s="36">
        <v>9510687</v>
      </c>
      <c r="G18" s="37">
        <f>3256710+60625</f>
        <v>3317335</v>
      </c>
      <c r="H18" s="36">
        <v>6171273</v>
      </c>
      <c r="I18" s="36">
        <v>6556140</v>
      </c>
      <c r="J18" s="36">
        <v>3114122</v>
      </c>
      <c r="K18" s="38">
        <f t="shared" si="1"/>
        <v>71192225</v>
      </c>
    </row>
    <row r="19" spans="1:11" s="6" customFormat="1" ht="31.5" x14ac:dyDescent="0.25">
      <c r="A19" s="19" t="s">
        <v>86</v>
      </c>
      <c r="B19" s="8" t="s">
        <v>87</v>
      </c>
      <c r="C19" s="36"/>
      <c r="D19" s="36"/>
      <c r="E19" s="36">
        <f>0+222500</f>
        <v>222500</v>
      </c>
      <c r="F19" s="36"/>
      <c r="G19" s="37"/>
      <c r="H19" s="36"/>
      <c r="I19" s="36"/>
      <c r="J19" s="36"/>
      <c r="K19" s="38">
        <f t="shared" ref="K19" si="2">SUM(C19:J19)</f>
        <v>222500</v>
      </c>
    </row>
    <row r="20" spans="1:11" s="6" customFormat="1" x14ac:dyDescent="0.25">
      <c r="A20" s="23" t="s">
        <v>68</v>
      </c>
      <c r="B20" s="7" t="s">
        <v>14</v>
      </c>
      <c r="C20" s="34">
        <f>268760090+7985900+1785791-329408+9067176</f>
        <v>287269549</v>
      </c>
      <c r="D20" s="34">
        <f>26956084+717338-86000+48856</f>
        <v>27636278</v>
      </c>
      <c r="E20" s="34">
        <f>200621821+4945352+1575817+388966+9509004</f>
        <v>217040960</v>
      </c>
      <c r="F20" s="34">
        <f>177614802+3667017+836948+142169+400000+22866</f>
        <v>182683802</v>
      </c>
      <c r="G20" s="39">
        <f>82582154+1830752+644406+2482979</f>
        <v>87540291</v>
      </c>
      <c r="H20" s="34">
        <f>114303534+2409461+929374-92025+6441185+322859</f>
        <v>124314388</v>
      </c>
      <c r="I20" s="34">
        <f>55524798+974327+241375-126574</f>
        <v>56613926</v>
      </c>
      <c r="J20" s="34">
        <f>30212018+622806+200270+710615</f>
        <v>31745709</v>
      </c>
      <c r="K20" s="35">
        <f t="shared" si="1"/>
        <v>1014844903</v>
      </c>
    </row>
    <row r="21" spans="1:11" s="9" customFormat="1" x14ac:dyDescent="0.25">
      <c r="A21" s="23" t="s">
        <v>69</v>
      </c>
      <c r="B21" s="7" t="s">
        <v>15</v>
      </c>
      <c r="C21" s="34">
        <f>SUM(C23+C38)</f>
        <v>362835899</v>
      </c>
      <c r="D21" s="34">
        <f t="shared" ref="D21:J21" si="3">SUM(D23+D38)</f>
        <v>44003149</v>
      </c>
      <c r="E21" s="34">
        <f t="shared" si="3"/>
        <v>299886586</v>
      </c>
      <c r="F21" s="34">
        <f t="shared" si="3"/>
        <v>237382322</v>
      </c>
      <c r="G21" s="34">
        <f t="shared" si="3"/>
        <v>122445867</v>
      </c>
      <c r="H21" s="34">
        <f t="shared" si="3"/>
        <v>198515830</v>
      </c>
      <c r="I21" s="34">
        <f t="shared" si="3"/>
        <v>118938531</v>
      </c>
      <c r="J21" s="34">
        <f t="shared" si="3"/>
        <v>75080066</v>
      </c>
      <c r="K21" s="35">
        <f t="shared" si="1"/>
        <v>1459088250</v>
      </c>
    </row>
    <row r="22" spans="1:11" s="9" customFormat="1" ht="94.5" x14ac:dyDescent="0.25">
      <c r="A22" s="19" t="s">
        <v>70</v>
      </c>
      <c r="B22" s="8" t="s">
        <v>40</v>
      </c>
      <c r="C22" s="36">
        <f>19293450-703457+1347386</f>
        <v>19937379</v>
      </c>
      <c r="D22" s="36">
        <v>2163531</v>
      </c>
      <c r="E22" s="36">
        <f>14143482+1845479+203290</f>
        <v>16192251</v>
      </c>
      <c r="F22" s="36">
        <f>12018001+789023</f>
        <v>12807024</v>
      </c>
      <c r="G22" s="37">
        <f>4906081-33902+11998-8265</f>
        <v>4875912</v>
      </c>
      <c r="H22" s="36">
        <f>6583721+816340</f>
        <v>7400061</v>
      </c>
      <c r="I22" s="36">
        <f>3777107+867979+50375</f>
        <v>4695461</v>
      </c>
      <c r="J22" s="36">
        <f>3349230+442449</f>
        <v>3791679</v>
      </c>
      <c r="K22" s="38">
        <f t="shared" si="1"/>
        <v>71863298</v>
      </c>
    </row>
    <row r="23" spans="1:11" s="9" customFormat="1" x14ac:dyDescent="0.25">
      <c r="A23" s="23" t="s">
        <v>71</v>
      </c>
      <c r="B23" s="7" t="s">
        <v>41</v>
      </c>
      <c r="C23" s="34">
        <f t="shared" ref="C23:D23" si="4">SUM(C24+C26)</f>
        <v>350849941</v>
      </c>
      <c r="D23" s="34">
        <f t="shared" si="4"/>
        <v>44003149</v>
      </c>
      <c r="E23" s="34">
        <f>SUM(E24+E26)</f>
        <v>287811011</v>
      </c>
      <c r="F23" s="34">
        <f t="shared" ref="F23:J23" si="5">SUM(F24+F26)</f>
        <v>226724894</v>
      </c>
      <c r="G23" s="34">
        <f t="shared" si="5"/>
        <v>118494197</v>
      </c>
      <c r="H23" s="34">
        <f t="shared" si="5"/>
        <v>192341922</v>
      </c>
      <c r="I23" s="34">
        <f t="shared" si="5"/>
        <v>114823548</v>
      </c>
      <c r="J23" s="34">
        <f t="shared" si="5"/>
        <v>71911105</v>
      </c>
      <c r="K23" s="35">
        <f t="shared" si="1"/>
        <v>1406959767</v>
      </c>
    </row>
    <row r="24" spans="1:11" s="6" customFormat="1" ht="31.5" x14ac:dyDescent="0.25">
      <c r="A24" s="23" t="s">
        <v>72</v>
      </c>
      <c r="B24" s="7" t="s">
        <v>16</v>
      </c>
      <c r="C24" s="34">
        <f>C15+C42+C39</f>
        <v>50135362</v>
      </c>
      <c r="D24" s="34">
        <f t="shared" ref="D24:J24" si="6">D15+D42+D39</f>
        <v>15222375</v>
      </c>
      <c r="E24" s="34">
        <f t="shared" si="6"/>
        <v>43915832</v>
      </c>
      <c r="F24" s="34">
        <f t="shared" si="6"/>
        <v>29872967</v>
      </c>
      <c r="G24" s="34">
        <f t="shared" si="6"/>
        <v>14927258</v>
      </c>
      <c r="H24" s="34">
        <f t="shared" si="6"/>
        <v>21782128</v>
      </c>
      <c r="I24" s="34">
        <f t="shared" si="6"/>
        <v>17683269</v>
      </c>
      <c r="J24" s="34">
        <f t="shared" si="6"/>
        <v>15617410</v>
      </c>
      <c r="K24" s="35">
        <f t="shared" si="1"/>
        <v>209156601</v>
      </c>
    </row>
    <row r="25" spans="1:11" s="9" customFormat="1" ht="31.5" x14ac:dyDescent="0.25">
      <c r="A25" s="19" t="s">
        <v>88</v>
      </c>
      <c r="B25" s="8" t="s">
        <v>89</v>
      </c>
      <c r="C25" s="36"/>
      <c r="D25" s="36"/>
      <c r="E25" s="36">
        <f>0+222500</f>
        <v>222500</v>
      </c>
      <c r="F25" s="36"/>
      <c r="G25" s="37"/>
      <c r="H25" s="36"/>
      <c r="I25" s="36"/>
      <c r="J25" s="36"/>
      <c r="K25" s="38">
        <f t="shared" ref="K25" si="7">SUM(C25:J25)</f>
        <v>222500</v>
      </c>
    </row>
    <row r="26" spans="1:11" s="9" customFormat="1" ht="31.5" x14ac:dyDescent="0.25">
      <c r="A26" s="23" t="s">
        <v>73</v>
      </c>
      <c r="B26" s="7" t="s">
        <v>22</v>
      </c>
      <c r="C26" s="34">
        <f>SUM(C27+C29)</f>
        <v>300714579</v>
      </c>
      <c r="D26" s="34">
        <f t="shared" ref="D26:J26" si="8">SUM(D27+D29)</f>
        <v>28780774</v>
      </c>
      <c r="E26" s="34">
        <f t="shared" si="8"/>
        <v>243895179</v>
      </c>
      <c r="F26" s="34">
        <f t="shared" si="8"/>
        <v>196851927</v>
      </c>
      <c r="G26" s="34">
        <f t="shared" si="8"/>
        <v>103566939</v>
      </c>
      <c r="H26" s="34">
        <f t="shared" si="8"/>
        <v>170559794</v>
      </c>
      <c r="I26" s="34">
        <f t="shared" si="8"/>
        <v>97140279</v>
      </c>
      <c r="J26" s="34">
        <f t="shared" si="8"/>
        <v>56293695</v>
      </c>
      <c r="K26" s="35">
        <f t="shared" si="1"/>
        <v>1197803166</v>
      </c>
    </row>
    <row r="27" spans="1:11" s="9" customFormat="1" ht="31.5" x14ac:dyDescent="0.25">
      <c r="A27" s="19" t="s">
        <v>74</v>
      </c>
      <c r="B27" s="8" t="s">
        <v>31</v>
      </c>
      <c r="C27" s="36">
        <f>242329634+11544460+1438027+1347386</f>
        <v>256659507</v>
      </c>
      <c r="D27" s="36">
        <f>22339534+1078730+697104</f>
        <v>24115368</v>
      </c>
      <c r="E27" s="36">
        <f>187878680+8961970</f>
        <v>196840650</v>
      </c>
      <c r="F27" s="36">
        <f>173645650+8265490-3754770+22866</f>
        <v>178179236</v>
      </c>
      <c r="G27" s="37">
        <f>87683081+4142740+1063829</f>
        <v>92889650</v>
      </c>
      <c r="H27" s="36">
        <f>145494598+7050100-300000+960691+4441185+586206</f>
        <v>158232780</v>
      </c>
      <c r="I27" s="36">
        <f>86328083+4242230</f>
        <v>90570313</v>
      </c>
      <c r="J27" s="36">
        <f>48340726+2444620-56215+1929851</f>
        <v>52658982</v>
      </c>
      <c r="K27" s="38">
        <f t="shared" si="1"/>
        <v>1050146486</v>
      </c>
    </row>
    <row r="28" spans="1:11" s="27" customFormat="1" ht="45" x14ac:dyDescent="0.25">
      <c r="A28" s="25" t="s">
        <v>75</v>
      </c>
      <c r="B28" s="26" t="s">
        <v>42</v>
      </c>
      <c r="C28" s="40">
        <f>4652832+1347386</f>
        <v>6000218</v>
      </c>
      <c r="D28" s="40">
        <v>862300</v>
      </c>
      <c r="E28" s="40">
        <v>2461357</v>
      </c>
      <c r="F28" s="40">
        <v>543112</v>
      </c>
      <c r="G28" s="40">
        <v>315456</v>
      </c>
      <c r="H28" s="40">
        <v>353991</v>
      </c>
      <c r="I28" s="40">
        <v>60096</v>
      </c>
      <c r="J28" s="40">
        <v>178867</v>
      </c>
      <c r="K28" s="41">
        <f t="shared" si="1"/>
        <v>10775397</v>
      </c>
    </row>
    <row r="29" spans="1:11" s="6" customFormat="1" x14ac:dyDescent="0.25">
      <c r="A29" s="19" t="s">
        <v>76</v>
      </c>
      <c r="B29" s="8" t="s">
        <v>26</v>
      </c>
      <c r="C29" s="36">
        <f>38448312-98484+5705244</f>
        <v>44055072</v>
      </c>
      <c r="D29" s="36">
        <f>4616550+48856</f>
        <v>4665406</v>
      </c>
      <c r="E29" s="36">
        <f>38691335+8363194</f>
        <v>47054529</v>
      </c>
      <c r="F29" s="36">
        <f>13919318+4353373+400000</f>
        <v>18672691</v>
      </c>
      <c r="G29" s="37">
        <f>9292041-33902+1419150</f>
        <v>10677289</v>
      </c>
      <c r="H29" s="36">
        <f>11590361+1000000-263347</f>
        <v>12327014</v>
      </c>
      <c r="I29" s="36">
        <f>5980524+189442+400000</f>
        <v>6569966</v>
      </c>
      <c r="J29" s="36">
        <f>3194795+39918+400000</f>
        <v>3634713</v>
      </c>
      <c r="K29" s="38">
        <f t="shared" si="1"/>
        <v>147656680</v>
      </c>
    </row>
    <row r="30" spans="1:11" s="30" customFormat="1" ht="30" x14ac:dyDescent="0.25">
      <c r="A30" s="25" t="s">
        <v>77</v>
      </c>
      <c r="B30" s="29" t="s">
        <v>18</v>
      </c>
      <c r="C30" s="40">
        <v>67450</v>
      </c>
      <c r="D30" s="40"/>
      <c r="E30" s="40">
        <v>197780</v>
      </c>
      <c r="F30" s="40">
        <v>20670</v>
      </c>
      <c r="G30" s="42">
        <v>230210</v>
      </c>
      <c r="H30" s="40">
        <v>157310</v>
      </c>
      <c r="I30" s="40">
        <v>2400</v>
      </c>
      <c r="J30" s="40">
        <v>15270</v>
      </c>
      <c r="K30" s="41">
        <f t="shared" si="1"/>
        <v>691090</v>
      </c>
    </row>
    <row r="31" spans="1:11" s="27" customFormat="1" ht="15" x14ac:dyDescent="0.25">
      <c r="A31" s="25" t="s">
        <v>78</v>
      </c>
      <c r="B31" s="29" t="s">
        <v>27</v>
      </c>
      <c r="C31" s="40">
        <f>2049687-98484</f>
        <v>1951203</v>
      </c>
      <c r="D31" s="40">
        <v>1301231</v>
      </c>
      <c r="E31" s="40">
        <f>1635498+19821</f>
        <v>1655319</v>
      </c>
      <c r="F31" s="40">
        <v>1606484</v>
      </c>
      <c r="G31" s="42">
        <f>642688-33902</f>
        <v>608786</v>
      </c>
      <c r="H31" s="40">
        <v>872162</v>
      </c>
      <c r="I31" s="40">
        <v>520382</v>
      </c>
      <c r="J31" s="40">
        <v>443851</v>
      </c>
      <c r="K31" s="41">
        <f t="shared" si="1"/>
        <v>8959418</v>
      </c>
    </row>
    <row r="32" spans="1:11" s="27" customFormat="1" ht="30" x14ac:dyDescent="0.25">
      <c r="A32" s="25" t="s">
        <v>33</v>
      </c>
      <c r="B32" s="29" t="s">
        <v>36</v>
      </c>
      <c r="C32" s="40">
        <v>14311588</v>
      </c>
      <c r="D32" s="40"/>
      <c r="E32" s="40">
        <v>18037514</v>
      </c>
      <c r="F32" s="40"/>
      <c r="G32" s="42"/>
      <c r="H32" s="40"/>
      <c r="I32" s="40"/>
      <c r="J32" s="40"/>
      <c r="K32" s="41">
        <f t="shared" si="1"/>
        <v>32349102</v>
      </c>
    </row>
    <row r="33" spans="1:11" s="6" customFormat="1" x14ac:dyDescent="0.25">
      <c r="A33" s="23" t="s">
        <v>79</v>
      </c>
      <c r="B33" s="7" t="s">
        <v>17</v>
      </c>
      <c r="C33" s="34">
        <f>C35</f>
        <v>33516171</v>
      </c>
      <c r="D33" s="34">
        <f t="shared" ref="D33:J33" si="9">D35</f>
        <v>5499003</v>
      </c>
      <c r="E33" s="34">
        <f t="shared" si="9"/>
        <v>50459190</v>
      </c>
      <c r="F33" s="34">
        <f t="shared" si="9"/>
        <v>33728569</v>
      </c>
      <c r="G33" s="34">
        <f t="shared" si="9"/>
        <v>27421385</v>
      </c>
      <c r="H33" s="34">
        <f t="shared" si="9"/>
        <v>59466653</v>
      </c>
      <c r="I33" s="34">
        <f t="shared" si="9"/>
        <v>49803581</v>
      </c>
      <c r="J33" s="34">
        <f t="shared" si="9"/>
        <v>34804663</v>
      </c>
      <c r="K33" s="35">
        <f t="shared" si="1"/>
        <v>294699215</v>
      </c>
    </row>
    <row r="34" spans="1:11" s="6" customFormat="1" x14ac:dyDescent="0.25">
      <c r="A34" s="23" t="s">
        <v>80</v>
      </c>
      <c r="B34" s="7" t="s">
        <v>19</v>
      </c>
      <c r="C34" s="34">
        <f>12017856+3558560+1559553+329408+1438027-2014546+4641355</f>
        <v>21530213</v>
      </c>
      <c r="D34" s="34">
        <f>0+361392+4837611+300000</f>
        <v>5499003</v>
      </c>
      <c r="E34" s="34">
        <f>25948194+3908385+108233+706218-388966-1145810+9247361</f>
        <v>38383615</v>
      </c>
      <c r="F34" s="34">
        <f>9950166+3999870+598603+3540720-142169+5123951</f>
        <v>23071141</v>
      </c>
      <c r="G34" s="34">
        <f>14392968+2183658+128330+3631984+3132775</f>
        <v>23469715</v>
      </c>
      <c r="H34" s="34">
        <f>42781425+4640639-300000+1021483+92025+960691-1000000+5096482</f>
        <v>53292745</v>
      </c>
      <c r="I34" s="34">
        <f>36783809+3078461+189442+3150972+526574+1959340</f>
        <v>45688598</v>
      </c>
      <c r="J34" s="34">
        <f>21323503+1781896+39918+2924800+1619236+3946349</f>
        <v>31635702</v>
      </c>
      <c r="K34" s="35">
        <f t="shared" si="1"/>
        <v>242570732</v>
      </c>
    </row>
    <row r="35" spans="1:11" s="6" customFormat="1" ht="31.5" x14ac:dyDescent="0.25">
      <c r="A35" s="23" t="s">
        <v>81</v>
      </c>
      <c r="B35" s="7" t="s">
        <v>23</v>
      </c>
      <c r="C35" s="34">
        <f>SUM(C36+C38+C40+C39)</f>
        <v>33516171</v>
      </c>
      <c r="D35" s="34">
        <f t="shared" ref="D35:J35" si="10">SUM(D36+D38+D40+D39)</f>
        <v>5499003</v>
      </c>
      <c r="E35" s="34">
        <f t="shared" si="10"/>
        <v>50459190</v>
      </c>
      <c r="F35" s="34">
        <f t="shared" si="10"/>
        <v>33728569</v>
      </c>
      <c r="G35" s="34">
        <f t="shared" si="10"/>
        <v>27421385</v>
      </c>
      <c r="H35" s="34">
        <f t="shared" si="10"/>
        <v>59466653</v>
      </c>
      <c r="I35" s="34">
        <f t="shared" si="10"/>
        <v>49803581</v>
      </c>
      <c r="J35" s="34">
        <f t="shared" si="10"/>
        <v>34804663</v>
      </c>
      <c r="K35" s="35">
        <f t="shared" si="1"/>
        <v>294699215</v>
      </c>
    </row>
    <row r="36" spans="1:11" s="9" customFormat="1" ht="31.5" x14ac:dyDescent="0.25">
      <c r="A36" s="19" t="s">
        <v>82</v>
      </c>
      <c r="B36" s="8" t="s">
        <v>35</v>
      </c>
      <c r="C36" s="36">
        <f>12017856-4760329+329408+1438027-2014546</f>
        <v>7010416</v>
      </c>
      <c r="D36" s="36">
        <v>0</v>
      </c>
      <c r="E36" s="36">
        <f>25948194+3908385-1575817-388966-1145810</f>
        <v>26745986</v>
      </c>
      <c r="F36" s="36">
        <f>9950166+3999870-238345-142169</f>
        <v>13569522</v>
      </c>
      <c r="G36" s="36">
        <f>14392968+2183658-678308</f>
        <v>15898318</v>
      </c>
      <c r="H36" s="36">
        <f>42781425-300000-2850756+92025+960691-1000000</f>
        <v>39683385</v>
      </c>
      <c r="I36" s="36">
        <f>36783809+3078461-51933+526574</f>
        <v>40336911</v>
      </c>
      <c r="J36" s="36">
        <f>21323503+1781896-216567+1619236</f>
        <v>24508068</v>
      </c>
      <c r="K36" s="38">
        <f t="shared" si="1"/>
        <v>167752606</v>
      </c>
    </row>
    <row r="37" spans="1:11" s="9" customFormat="1" ht="31.5" x14ac:dyDescent="0.25">
      <c r="A37" s="19" t="s">
        <v>34</v>
      </c>
      <c r="B37" s="8" t="s">
        <v>36</v>
      </c>
      <c r="C37" s="36">
        <f>12017856-4760329+329408+1438027-2014546</f>
        <v>7010416</v>
      </c>
      <c r="D37" s="36"/>
      <c r="E37" s="36">
        <f>18037514</f>
        <v>18037514</v>
      </c>
      <c r="F37" s="36"/>
      <c r="G37" s="36"/>
      <c r="H37" s="36"/>
      <c r="I37" s="36"/>
      <c r="J37" s="36"/>
      <c r="K37" s="38">
        <f t="shared" si="1"/>
        <v>25047930</v>
      </c>
    </row>
    <row r="38" spans="1:11" s="9" customFormat="1" ht="31.5" x14ac:dyDescent="0.25">
      <c r="A38" s="19" t="s">
        <v>83</v>
      </c>
      <c r="B38" s="10" t="s">
        <v>38</v>
      </c>
      <c r="C38" s="36">
        <f>12590931-604973</f>
        <v>11985958</v>
      </c>
      <c r="D38" s="36">
        <v>0</v>
      </c>
      <c r="E38" s="36">
        <f>10046627+1825658+203290</f>
        <v>12075575</v>
      </c>
      <c r="F38" s="36">
        <f>9868405+789023</f>
        <v>10657428</v>
      </c>
      <c r="G38" s="36">
        <f>3947937+11998-8265</f>
        <v>3951670</v>
      </c>
      <c r="H38" s="36">
        <f>5357568+816340</f>
        <v>6173908</v>
      </c>
      <c r="I38" s="36">
        <f>3196629+867979+50375</f>
        <v>4114983</v>
      </c>
      <c r="J38" s="36">
        <f>2726512+442449</f>
        <v>3168961</v>
      </c>
      <c r="K38" s="38">
        <f t="shared" si="1"/>
        <v>52128483</v>
      </c>
    </row>
    <row r="39" spans="1:11" s="6" customFormat="1" ht="31.5" x14ac:dyDescent="0.25">
      <c r="A39" s="19" t="s">
        <v>84</v>
      </c>
      <c r="B39" s="10" t="s">
        <v>112</v>
      </c>
      <c r="C39" s="36">
        <v>4641355</v>
      </c>
      <c r="D39" s="36">
        <v>300000</v>
      </c>
      <c r="E39" s="36">
        <v>9247361</v>
      </c>
      <c r="F39" s="36">
        <v>5123951</v>
      </c>
      <c r="G39" s="36">
        <v>3132775</v>
      </c>
      <c r="H39" s="46">
        <v>5096482</v>
      </c>
      <c r="I39" s="36">
        <v>1959340</v>
      </c>
      <c r="J39" s="36">
        <v>3946349</v>
      </c>
      <c r="K39" s="38">
        <f t="shared" si="1"/>
        <v>33447613</v>
      </c>
    </row>
    <row r="40" spans="1:11" s="9" customFormat="1" ht="31.5" x14ac:dyDescent="0.25">
      <c r="A40" s="19" t="s">
        <v>92</v>
      </c>
      <c r="B40" s="21" t="s">
        <v>44</v>
      </c>
      <c r="C40" s="36">
        <f>C41+C42</f>
        <v>9878442</v>
      </c>
      <c r="D40" s="36">
        <f t="shared" ref="D40:J40" si="11">D41+D42</f>
        <v>5199003</v>
      </c>
      <c r="E40" s="36">
        <f t="shared" si="11"/>
        <v>2390268</v>
      </c>
      <c r="F40" s="36">
        <f t="shared" si="11"/>
        <v>4377668</v>
      </c>
      <c r="G40" s="36">
        <f t="shared" si="11"/>
        <v>4438622</v>
      </c>
      <c r="H40" s="36">
        <f t="shared" si="11"/>
        <v>8512878</v>
      </c>
      <c r="I40" s="36">
        <f t="shared" si="11"/>
        <v>3392347</v>
      </c>
      <c r="J40" s="36">
        <f t="shared" si="11"/>
        <v>3181285</v>
      </c>
      <c r="K40" s="38">
        <f t="shared" si="1"/>
        <v>41370513</v>
      </c>
    </row>
    <row r="41" spans="1:11" s="9" customFormat="1" ht="31.5" x14ac:dyDescent="0.25">
      <c r="A41" s="19" t="s">
        <v>93</v>
      </c>
      <c r="B41" s="10" t="s">
        <v>45</v>
      </c>
      <c r="C41" s="36">
        <f>6434614-2364678-459701-51675+2876054</f>
        <v>6434614</v>
      </c>
      <c r="D41" s="36">
        <f>1144496-598308-165151-18276-1369+783104</f>
        <v>1144496</v>
      </c>
      <c r="E41" s="36">
        <v>108233</v>
      </c>
      <c r="F41" s="36">
        <v>598603</v>
      </c>
      <c r="G41" s="36">
        <v>128330</v>
      </c>
      <c r="H41" s="36">
        <f>6562021-484985-1202384-245665+11652+1921382</f>
        <v>6562021</v>
      </c>
      <c r="I41" s="36">
        <v>189442</v>
      </c>
      <c r="J41" s="36">
        <v>39918</v>
      </c>
      <c r="K41" s="38">
        <f t="shared" si="1"/>
        <v>15205657</v>
      </c>
    </row>
    <row r="42" spans="1:11" x14ac:dyDescent="0.25">
      <c r="A42" s="19" t="s">
        <v>94</v>
      </c>
      <c r="B42" s="10" t="s">
        <v>13</v>
      </c>
      <c r="C42" s="36">
        <f>SUM(C43+C55+C56+C57)</f>
        <v>3443828</v>
      </c>
      <c r="D42" s="36">
        <f t="shared" ref="D42:J42" si="12">SUM(D43+D55+D56+D57)</f>
        <v>4054507</v>
      </c>
      <c r="E42" s="36">
        <f t="shared" si="12"/>
        <v>2282035</v>
      </c>
      <c r="F42" s="36">
        <f t="shared" si="12"/>
        <v>3779065</v>
      </c>
      <c r="G42" s="36">
        <f t="shared" si="12"/>
        <v>4310292</v>
      </c>
      <c r="H42" s="36">
        <f t="shared" si="12"/>
        <v>1950857</v>
      </c>
      <c r="I42" s="36">
        <f t="shared" si="12"/>
        <v>3202905</v>
      </c>
      <c r="J42" s="36">
        <f t="shared" si="12"/>
        <v>3141367</v>
      </c>
      <c r="K42" s="38">
        <f t="shared" si="1"/>
        <v>26164856</v>
      </c>
    </row>
    <row r="43" spans="1:11" s="28" customFormat="1" x14ac:dyDescent="0.25">
      <c r="A43" s="19" t="s">
        <v>95</v>
      </c>
      <c r="B43" s="10" t="s">
        <v>57</v>
      </c>
      <c r="C43" s="36">
        <f>SUM(C44:C54)</f>
        <v>550075</v>
      </c>
      <c r="D43" s="36">
        <f t="shared" ref="D43:J43" si="13">SUM(D44:D54)</f>
        <v>2558121</v>
      </c>
      <c r="E43" s="36">
        <f t="shared" si="13"/>
        <v>1044936</v>
      </c>
      <c r="F43" s="36">
        <f t="shared" si="13"/>
        <v>2963319</v>
      </c>
      <c r="G43" s="36">
        <f t="shared" si="13"/>
        <v>1544940</v>
      </c>
      <c r="H43" s="36">
        <f t="shared" si="13"/>
        <v>1294577</v>
      </c>
      <c r="I43" s="36">
        <f t="shared" si="13"/>
        <v>1920974</v>
      </c>
      <c r="J43" s="36">
        <f t="shared" si="13"/>
        <v>1828415</v>
      </c>
      <c r="K43" s="38">
        <f t="shared" si="1"/>
        <v>13705357</v>
      </c>
    </row>
    <row r="44" spans="1:11" s="28" customFormat="1" ht="30" x14ac:dyDescent="0.25">
      <c r="A44" s="25" t="s">
        <v>96</v>
      </c>
      <c r="B44" s="26" t="s">
        <v>46</v>
      </c>
      <c r="C44" s="40">
        <v>23063</v>
      </c>
      <c r="D44" s="40"/>
      <c r="E44" s="40"/>
      <c r="F44" s="40">
        <v>299390</v>
      </c>
      <c r="G44" s="40">
        <v>347821</v>
      </c>
      <c r="H44" s="40">
        <v>210359</v>
      </c>
      <c r="I44" s="40">
        <v>275239</v>
      </c>
      <c r="J44" s="40">
        <v>191892</v>
      </c>
      <c r="K44" s="41">
        <f t="shared" si="1"/>
        <v>1347764</v>
      </c>
    </row>
    <row r="45" spans="1:11" s="28" customFormat="1" ht="45" x14ac:dyDescent="0.25">
      <c r="A45" s="25" t="s">
        <v>97</v>
      </c>
      <c r="B45" s="26" t="s">
        <v>47</v>
      </c>
      <c r="C45" s="40">
        <v>21384</v>
      </c>
      <c r="D45" s="40"/>
      <c r="E45" s="40">
        <v>325</v>
      </c>
      <c r="F45" s="40">
        <v>838170</v>
      </c>
      <c r="G45" s="40">
        <v>191573</v>
      </c>
      <c r="H45" s="40">
        <v>300633</v>
      </c>
      <c r="I45" s="40">
        <v>474856</v>
      </c>
      <c r="J45" s="40">
        <v>212134</v>
      </c>
      <c r="K45" s="41">
        <f t="shared" si="1"/>
        <v>2039075</v>
      </c>
    </row>
    <row r="46" spans="1:11" s="28" customFormat="1" ht="30" x14ac:dyDescent="0.25">
      <c r="A46" s="25" t="s">
        <v>98</v>
      </c>
      <c r="B46" s="26" t="s">
        <v>10</v>
      </c>
      <c r="C46" s="40">
        <v>59934</v>
      </c>
      <c r="D46" s="40">
        <v>2443737</v>
      </c>
      <c r="E46" s="40">
        <v>21517</v>
      </c>
      <c r="F46" s="40">
        <v>986127</v>
      </c>
      <c r="G46" s="40">
        <v>455971</v>
      </c>
      <c r="H46" s="40">
        <v>19514</v>
      </c>
      <c r="I46" s="40">
        <v>674</v>
      </c>
      <c r="J46" s="40">
        <v>102115</v>
      </c>
      <c r="K46" s="41">
        <f t="shared" si="1"/>
        <v>4089589</v>
      </c>
    </row>
    <row r="47" spans="1:11" s="28" customFormat="1" ht="15" x14ac:dyDescent="0.25">
      <c r="A47" s="25" t="s">
        <v>99</v>
      </c>
      <c r="B47" s="26" t="s">
        <v>48</v>
      </c>
      <c r="C47" s="40"/>
      <c r="D47" s="40"/>
      <c r="E47" s="40"/>
      <c r="F47" s="40"/>
      <c r="G47" s="40">
        <v>1956</v>
      </c>
      <c r="H47" s="40">
        <v>5130</v>
      </c>
      <c r="I47" s="40">
        <v>5982</v>
      </c>
      <c r="J47" s="40"/>
      <c r="K47" s="41">
        <f t="shared" si="1"/>
        <v>13068</v>
      </c>
    </row>
    <row r="48" spans="1:11" s="28" customFormat="1" ht="75" x14ac:dyDescent="0.25">
      <c r="A48" s="25" t="s">
        <v>100</v>
      </c>
      <c r="B48" s="26" t="s">
        <v>49</v>
      </c>
      <c r="C48" s="40"/>
      <c r="D48" s="40"/>
      <c r="E48" s="40">
        <v>1305</v>
      </c>
      <c r="F48" s="40">
        <v>13979</v>
      </c>
      <c r="G48" s="40"/>
      <c r="H48" s="40"/>
      <c r="I48" s="40"/>
      <c r="J48" s="40">
        <v>14196</v>
      </c>
      <c r="K48" s="41">
        <f t="shared" si="1"/>
        <v>29480</v>
      </c>
    </row>
    <row r="49" spans="1:11" s="28" customFormat="1" ht="15" x14ac:dyDescent="0.25">
      <c r="A49" s="25" t="s">
        <v>101</v>
      </c>
      <c r="B49" s="26" t="s">
        <v>50</v>
      </c>
      <c r="C49" s="40">
        <v>386426</v>
      </c>
      <c r="D49" s="40">
        <v>114384</v>
      </c>
      <c r="E49" s="40"/>
      <c r="F49" s="40">
        <v>86182</v>
      </c>
      <c r="G49" s="40">
        <v>393275</v>
      </c>
      <c r="H49" s="40"/>
      <c r="I49" s="40"/>
      <c r="J49" s="40"/>
      <c r="K49" s="41">
        <f t="shared" si="1"/>
        <v>980267</v>
      </c>
    </row>
    <row r="50" spans="1:11" s="28" customFormat="1" ht="30" x14ac:dyDescent="0.25">
      <c r="A50" s="25" t="s">
        <v>102</v>
      </c>
      <c r="B50" s="26" t="s">
        <v>51</v>
      </c>
      <c r="C50" s="40"/>
      <c r="D50" s="40"/>
      <c r="E50" s="40"/>
      <c r="F50" s="40">
        <v>541915</v>
      </c>
      <c r="G50" s="40"/>
      <c r="H50" s="40">
        <v>381453</v>
      </c>
      <c r="I50" s="40">
        <v>816855</v>
      </c>
      <c r="J50" s="40">
        <v>968351</v>
      </c>
      <c r="K50" s="41">
        <f t="shared" si="1"/>
        <v>2708574</v>
      </c>
    </row>
    <row r="51" spans="1:11" s="28" customFormat="1" ht="60" x14ac:dyDescent="0.25">
      <c r="A51" s="25" t="s">
        <v>103</v>
      </c>
      <c r="B51" s="26" t="s">
        <v>52</v>
      </c>
      <c r="C51" s="40"/>
      <c r="D51" s="40"/>
      <c r="E51" s="40"/>
      <c r="F51" s="40">
        <v>44746</v>
      </c>
      <c r="G51" s="40"/>
      <c r="H51" s="40">
        <v>98779</v>
      </c>
      <c r="I51" s="40">
        <v>119895</v>
      </c>
      <c r="J51" s="40">
        <v>74740</v>
      </c>
      <c r="K51" s="41">
        <f t="shared" si="1"/>
        <v>338160</v>
      </c>
    </row>
    <row r="52" spans="1:11" s="28" customFormat="1" ht="60" x14ac:dyDescent="0.25">
      <c r="A52" s="25" t="s">
        <v>104</v>
      </c>
      <c r="B52" s="26" t="s">
        <v>53</v>
      </c>
      <c r="C52" s="40">
        <v>59268</v>
      </c>
      <c r="D52" s="40"/>
      <c r="E52" s="40">
        <v>143216</v>
      </c>
      <c r="F52" s="40">
        <v>152810</v>
      </c>
      <c r="G52" s="40">
        <v>154344</v>
      </c>
      <c r="H52" s="40">
        <v>30350</v>
      </c>
      <c r="I52" s="40">
        <v>91324</v>
      </c>
      <c r="J52" s="40">
        <v>264987</v>
      </c>
      <c r="K52" s="41">
        <f t="shared" si="1"/>
        <v>896299</v>
      </c>
    </row>
    <row r="53" spans="1:11" s="28" customFormat="1" ht="15" x14ac:dyDescent="0.25">
      <c r="A53" s="25" t="s">
        <v>111</v>
      </c>
      <c r="B53" s="26" t="s">
        <v>90</v>
      </c>
      <c r="C53" s="40"/>
      <c r="D53" s="40"/>
      <c r="E53" s="40">
        <v>458635</v>
      </c>
      <c r="F53" s="40"/>
      <c r="G53" s="40"/>
      <c r="H53" s="40">
        <v>128800</v>
      </c>
      <c r="I53" s="40">
        <v>71799</v>
      </c>
      <c r="J53" s="40"/>
      <c r="K53" s="41">
        <f t="shared" si="1"/>
        <v>659234</v>
      </c>
    </row>
    <row r="54" spans="1:11" x14ac:dyDescent="0.25">
      <c r="A54" s="25" t="s">
        <v>110</v>
      </c>
      <c r="B54" s="26" t="s">
        <v>91</v>
      </c>
      <c r="C54" s="40"/>
      <c r="D54" s="40"/>
      <c r="E54" s="40">
        <v>419938</v>
      </c>
      <c r="F54" s="40"/>
      <c r="G54" s="40"/>
      <c r="H54" s="40">
        <v>119559</v>
      </c>
      <c r="I54" s="40">
        <v>64350</v>
      </c>
      <c r="J54" s="40"/>
      <c r="K54" s="41">
        <f t="shared" si="1"/>
        <v>603847</v>
      </c>
    </row>
    <row r="55" spans="1:11" x14ac:dyDescent="0.25">
      <c r="A55" s="19" t="s">
        <v>109</v>
      </c>
      <c r="B55" s="10" t="s">
        <v>58</v>
      </c>
      <c r="C55" s="36">
        <v>1871711</v>
      </c>
      <c r="D55" s="36">
        <v>220199</v>
      </c>
      <c r="E55" s="36">
        <v>893342</v>
      </c>
      <c r="F55" s="36">
        <v>553359</v>
      </c>
      <c r="G55" s="36">
        <v>2586855</v>
      </c>
      <c r="H55" s="36">
        <v>419398</v>
      </c>
      <c r="I55" s="36">
        <v>619576</v>
      </c>
      <c r="J55" s="36">
        <v>290507</v>
      </c>
      <c r="K55" s="38">
        <f t="shared" si="1"/>
        <v>7454947</v>
      </c>
    </row>
    <row r="56" spans="1:11" x14ac:dyDescent="0.25">
      <c r="A56" s="19" t="s">
        <v>108</v>
      </c>
      <c r="B56" s="10" t="s">
        <v>54</v>
      </c>
      <c r="C56" s="36">
        <v>676041</v>
      </c>
      <c r="D56" s="36">
        <v>1192582</v>
      </c>
      <c r="E56" s="36">
        <v>139830</v>
      </c>
      <c r="F56" s="36">
        <v>262325</v>
      </c>
      <c r="G56" s="36">
        <v>157567</v>
      </c>
      <c r="H56" s="36">
        <v>236882</v>
      </c>
      <c r="I56" s="36">
        <v>662355</v>
      </c>
      <c r="J56" s="36">
        <v>457720</v>
      </c>
      <c r="K56" s="38">
        <f t="shared" si="1"/>
        <v>3785302</v>
      </c>
    </row>
    <row r="57" spans="1:11" ht="31.5" x14ac:dyDescent="0.25">
      <c r="A57" s="19" t="s">
        <v>107</v>
      </c>
      <c r="B57" s="10" t="s">
        <v>59</v>
      </c>
      <c r="C57" s="36">
        <f>0+346001</f>
        <v>346001</v>
      </c>
      <c r="D57" s="36">
        <f>0+83605</f>
        <v>83605</v>
      </c>
      <c r="E57" s="36">
        <f>0+203927</f>
        <v>203927</v>
      </c>
      <c r="F57" s="36">
        <f>0+62</f>
        <v>62</v>
      </c>
      <c r="G57" s="36">
        <f>0+20930</f>
        <v>20930</v>
      </c>
      <c r="H57" s="36">
        <f>0</f>
        <v>0</v>
      </c>
      <c r="I57" s="36">
        <f>0</f>
        <v>0</v>
      </c>
      <c r="J57" s="36">
        <f>0+564725</f>
        <v>564725</v>
      </c>
      <c r="K57" s="38">
        <f t="shared" si="1"/>
        <v>1219250</v>
      </c>
    </row>
    <row r="58" spans="1:11" x14ac:dyDescent="0.25">
      <c r="A58" s="25" t="s">
        <v>106</v>
      </c>
      <c r="B58" s="26" t="s">
        <v>55</v>
      </c>
      <c r="C58" s="40"/>
      <c r="D58" s="40">
        <v>28828</v>
      </c>
      <c r="E58" s="40">
        <v>1</v>
      </c>
      <c r="F58" s="40"/>
      <c r="G58" s="40">
        <v>20930</v>
      </c>
      <c r="H58" s="40"/>
      <c r="I58" s="40"/>
      <c r="J58" s="40"/>
      <c r="K58" s="41">
        <f t="shared" si="1"/>
        <v>49759</v>
      </c>
    </row>
    <row r="59" spans="1:11" ht="30" x14ac:dyDescent="0.25">
      <c r="A59" s="25" t="s">
        <v>105</v>
      </c>
      <c r="B59" s="26" t="s">
        <v>56</v>
      </c>
      <c r="C59" s="40">
        <v>346001</v>
      </c>
      <c r="D59" s="40"/>
      <c r="E59" s="40"/>
      <c r="F59" s="40"/>
      <c r="G59" s="40"/>
      <c r="H59" s="40"/>
      <c r="I59" s="40"/>
      <c r="J59" s="40"/>
      <c r="K59" s="41">
        <f t="shared" si="1"/>
        <v>346001</v>
      </c>
    </row>
    <row r="60" spans="1:11" x14ac:dyDescent="0.25">
      <c r="A60" s="23" t="s">
        <v>85</v>
      </c>
      <c r="B60" s="7" t="s">
        <v>28</v>
      </c>
      <c r="C60" s="34">
        <f>SUM(C61+C62+C64)</f>
        <v>31362757</v>
      </c>
      <c r="D60" s="34">
        <f t="shared" ref="D60:J60" si="14">SUM(D61+D62+D64)</f>
        <v>1017129</v>
      </c>
      <c r="E60" s="34">
        <f t="shared" si="14"/>
        <v>44739097</v>
      </c>
      <c r="F60" s="34">
        <f t="shared" si="14"/>
        <v>25300892</v>
      </c>
      <c r="G60" s="34">
        <f t="shared" si="14"/>
        <v>17666702</v>
      </c>
      <c r="H60" s="34">
        <f t="shared" si="14"/>
        <v>27927412</v>
      </c>
      <c r="I60" s="34">
        <f t="shared" si="14"/>
        <v>16355935</v>
      </c>
      <c r="J60" s="34">
        <f t="shared" si="14"/>
        <v>13634161</v>
      </c>
      <c r="K60" s="35">
        <f t="shared" si="1"/>
        <v>178004085</v>
      </c>
    </row>
    <row r="61" spans="1:11" ht="31.5" x14ac:dyDescent="0.25">
      <c r="A61" s="19" t="s">
        <v>63</v>
      </c>
      <c r="B61" s="8" t="s">
        <v>29</v>
      </c>
      <c r="C61" s="36">
        <v>1345528</v>
      </c>
      <c r="D61" s="36">
        <v>61566</v>
      </c>
      <c r="E61" s="36">
        <v>1028160</v>
      </c>
      <c r="F61" s="36">
        <v>684482</v>
      </c>
      <c r="G61" s="37">
        <v>447982</v>
      </c>
      <c r="H61" s="36">
        <v>657490</v>
      </c>
      <c r="I61" s="36">
        <v>463210</v>
      </c>
      <c r="J61" s="36">
        <v>433327</v>
      </c>
      <c r="K61" s="38">
        <f t="shared" si="1"/>
        <v>5121745</v>
      </c>
    </row>
    <row r="62" spans="1:11" s="28" customFormat="1" ht="31.5" x14ac:dyDescent="0.25">
      <c r="A62" s="19" t="s">
        <v>62</v>
      </c>
      <c r="B62" s="8" t="s">
        <v>43</v>
      </c>
      <c r="C62" s="36">
        <v>3999587</v>
      </c>
      <c r="D62" s="36"/>
      <c r="E62" s="36"/>
      <c r="F62" s="36"/>
      <c r="G62" s="37"/>
      <c r="H62" s="36"/>
      <c r="I62" s="36"/>
      <c r="J62" s="36"/>
      <c r="K62" s="38">
        <f t="shared" si="1"/>
        <v>3999587</v>
      </c>
    </row>
    <row r="63" spans="1:11" ht="30" x14ac:dyDescent="0.25">
      <c r="A63" s="25" t="s">
        <v>61</v>
      </c>
      <c r="B63" s="29" t="s">
        <v>32</v>
      </c>
      <c r="C63" s="40">
        <v>3500000</v>
      </c>
      <c r="D63" s="40"/>
      <c r="E63" s="40"/>
      <c r="F63" s="40"/>
      <c r="G63" s="42"/>
      <c r="H63" s="40"/>
      <c r="I63" s="40"/>
      <c r="J63" s="40"/>
      <c r="K63" s="41">
        <f t="shared" si="1"/>
        <v>3500000</v>
      </c>
    </row>
    <row r="64" spans="1:11" ht="32.25" thickBot="1" x14ac:dyDescent="0.3">
      <c r="A64" s="24" t="s">
        <v>60</v>
      </c>
      <c r="B64" s="12" t="s">
        <v>30</v>
      </c>
      <c r="C64" s="43">
        <f>25417040+380000+220602</f>
        <v>26017642</v>
      </c>
      <c r="D64" s="43">
        <f>948955+6608</f>
        <v>955563</v>
      </c>
      <c r="E64" s="43">
        <f>15909428+6874913+154660+14800000+5971936</f>
        <v>43710937</v>
      </c>
      <c r="F64" s="43">
        <f>24367407+249003</f>
        <v>24616410</v>
      </c>
      <c r="G64" s="44">
        <f>17038190+180530</f>
        <v>17218720</v>
      </c>
      <c r="H64" s="43">
        <f>26982676+287246</f>
        <v>27269922</v>
      </c>
      <c r="I64" s="43">
        <f>15727661+165064</f>
        <v>15892725</v>
      </c>
      <c r="J64" s="43">
        <f>13058547+142287</f>
        <v>13200834</v>
      </c>
      <c r="K64" s="45">
        <f t="shared" si="1"/>
        <v>168882753</v>
      </c>
    </row>
  </sheetData>
  <mergeCells count="6">
    <mergeCell ref="A11:K11"/>
    <mergeCell ref="I1:K1"/>
    <mergeCell ref="H2:K2"/>
    <mergeCell ref="G3:K3"/>
    <mergeCell ref="F4:K4"/>
    <mergeCell ref="G5:K5"/>
  </mergeCells>
  <phoneticPr fontId="1" type="noConversion"/>
  <printOptions horizontalCentered="1"/>
  <pageMargins left="0.23622047244094491" right="0.15748031496062992" top="0.59055118110236227" bottom="0" header="0" footer="0"/>
  <pageSetup paperSize="9" scale="78" firstPageNumber="184" fitToHeight="5" orientation="landscape" useFirstPageNumber="1" r:id="rId1"/>
  <headerFooter>
    <oddHeader>&amp;C&amp;P</oddHeader>
  </headerFooter>
  <rowBreaks count="2" manualBreakCount="2">
    <brk id="27" max="10" man="1"/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 (422)</vt:lpstr>
      <vt:lpstr>'Приложение № 3 (422)'!Заголовки_для_печати</vt:lpstr>
      <vt:lpstr>'Приложение № 3 (422)'!Область_печати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2022-03-30T13:49:26Z</dcterms:modified>
</cp:coreProperties>
</file>