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340" yWindow="1380" windowWidth="22290" windowHeight="14220"/>
  </bookViews>
  <sheets>
    <sheet name="Приложение №1.1 (422)" sheetId="1" r:id="rId1"/>
  </sheets>
  <definedNames>
    <definedName name="_xlnm.Print_Titles" localSheetId="0">'Приложение №1.1 (422)'!$A:$B,'Приложение №1.1 (422)'!$13:$13</definedName>
    <definedName name="_xlnm.Print_Area" localSheetId="0">'Приложение №1.1 (422)'!$A$1:$K$94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1" i="1" l="1"/>
  <c r="I93" i="1"/>
  <c r="I54" i="1"/>
  <c r="C71" i="1" l="1"/>
  <c r="C70" i="1"/>
  <c r="C69" i="1"/>
  <c r="F33" i="1"/>
  <c r="F35" i="1"/>
  <c r="H17" i="1" l="1"/>
  <c r="C91" i="1" l="1"/>
  <c r="C89" i="1"/>
  <c r="C87" i="1"/>
  <c r="C85" i="1"/>
  <c r="C83" i="1"/>
  <c r="C74" i="1"/>
  <c r="C44" i="1"/>
  <c r="E62" i="1" l="1"/>
  <c r="E64" i="1"/>
  <c r="C60" i="1" l="1"/>
  <c r="J93" i="1" l="1"/>
  <c r="J23" i="1" l="1"/>
  <c r="H93" i="1"/>
  <c r="G93" i="1"/>
  <c r="E93" i="1"/>
  <c r="C93" i="1"/>
  <c r="J91" i="1"/>
  <c r="I91" i="1"/>
  <c r="H91" i="1"/>
  <c r="G91" i="1"/>
  <c r="F91" i="1"/>
  <c r="E91" i="1"/>
  <c r="C79" i="1"/>
  <c r="K71" i="1"/>
  <c r="H62" i="1"/>
  <c r="D62" i="1"/>
  <c r="C62" i="1"/>
  <c r="C59" i="1"/>
  <c r="H52" i="1"/>
  <c r="G52" i="1"/>
  <c r="E52" i="1"/>
  <c r="D52" i="1"/>
  <c r="C52" i="1"/>
  <c r="E51" i="1"/>
  <c r="G51" i="1"/>
  <c r="H51" i="1"/>
  <c r="D51" i="1"/>
  <c r="C51" i="1"/>
  <c r="E48" i="1"/>
  <c r="C48" i="1"/>
  <c r="G23" i="1"/>
  <c r="H23" i="1"/>
  <c r="E23" i="1"/>
  <c r="C23" i="1"/>
  <c r="H22" i="1"/>
  <c r="C22" i="1"/>
  <c r="H21" i="1"/>
  <c r="E21" i="1"/>
  <c r="I20" i="1"/>
  <c r="G17" i="1"/>
  <c r="F17" i="1"/>
  <c r="E17" i="1"/>
  <c r="F93" i="1" l="1"/>
  <c r="J60" i="1" l="1"/>
  <c r="J59" i="1"/>
  <c r="C17" i="1" l="1"/>
  <c r="H75" i="1"/>
  <c r="H74" i="1"/>
  <c r="F75" i="1"/>
  <c r="F74" i="1"/>
  <c r="E75" i="1"/>
  <c r="E74" i="1"/>
  <c r="C75" i="1"/>
  <c r="H18" i="1"/>
  <c r="F18" i="1"/>
  <c r="E18" i="1"/>
  <c r="C18" i="1"/>
  <c r="C57" i="1"/>
  <c r="K70" i="1" l="1"/>
  <c r="D93" i="1" l="1"/>
  <c r="D75" i="1"/>
  <c r="D74" i="1"/>
  <c r="J68" i="1"/>
  <c r="I68" i="1"/>
  <c r="H68" i="1"/>
  <c r="G68" i="1"/>
  <c r="F68" i="1"/>
  <c r="E68" i="1"/>
  <c r="D68" i="1"/>
  <c r="C68" i="1"/>
  <c r="K72" i="1"/>
  <c r="K69" i="1"/>
  <c r="G55" i="1"/>
  <c r="D48" i="1"/>
  <c r="I23" i="1"/>
  <c r="F23" i="1"/>
  <c r="D23" i="1"/>
  <c r="D18" i="1"/>
  <c r="D17" i="1"/>
  <c r="K68" i="1" l="1"/>
  <c r="D50" i="1"/>
  <c r="E50" i="1"/>
  <c r="F50" i="1"/>
  <c r="G50" i="1"/>
  <c r="H50" i="1"/>
  <c r="I50" i="1"/>
  <c r="J50" i="1"/>
  <c r="C50" i="1"/>
  <c r="D25" i="1" l="1"/>
  <c r="E25" i="1"/>
  <c r="F25" i="1"/>
  <c r="G25" i="1"/>
  <c r="H25" i="1"/>
  <c r="I25" i="1"/>
  <c r="J25" i="1"/>
  <c r="C25" i="1"/>
  <c r="D15" i="1"/>
  <c r="E15" i="1"/>
  <c r="F15" i="1"/>
  <c r="G15" i="1"/>
  <c r="H15" i="1"/>
  <c r="I15" i="1"/>
  <c r="J15" i="1"/>
  <c r="C15" i="1"/>
  <c r="D46" i="1" l="1"/>
  <c r="E46" i="1"/>
  <c r="F46" i="1"/>
  <c r="G46" i="1"/>
  <c r="H46" i="1"/>
  <c r="I46" i="1"/>
  <c r="J46" i="1"/>
  <c r="C46" i="1"/>
  <c r="I43" i="1"/>
  <c r="G43" i="1"/>
  <c r="E43" i="1"/>
  <c r="J43" i="1"/>
  <c r="H43" i="1"/>
  <c r="F43" i="1"/>
  <c r="D43" i="1"/>
  <c r="C43" i="1"/>
  <c r="D34" i="1"/>
  <c r="E34" i="1"/>
  <c r="F34" i="1"/>
  <c r="G34" i="1"/>
  <c r="H34" i="1"/>
  <c r="I34" i="1"/>
  <c r="J34" i="1"/>
  <c r="C34" i="1"/>
  <c r="J77" i="1"/>
  <c r="J73" i="1" s="1"/>
  <c r="I77" i="1"/>
  <c r="I73" i="1" s="1"/>
  <c r="H77" i="1"/>
  <c r="H73" i="1" s="1"/>
  <c r="G77" i="1"/>
  <c r="G73" i="1" s="1"/>
  <c r="F77" i="1"/>
  <c r="F73" i="1" s="1"/>
  <c r="E77" i="1"/>
  <c r="E73" i="1" s="1"/>
  <c r="D77" i="1"/>
  <c r="D73" i="1" s="1"/>
  <c r="C77" i="1"/>
  <c r="C73" i="1" s="1"/>
  <c r="K91" i="1"/>
  <c r="K93" i="1"/>
  <c r="K92" i="1"/>
  <c r="K89" i="1"/>
  <c r="K88" i="1"/>
  <c r="K87" i="1"/>
  <c r="K86" i="1"/>
  <c r="K85" i="1"/>
  <c r="K84" i="1"/>
  <c r="K83" i="1"/>
  <c r="K81" i="1"/>
  <c r="K80" i="1"/>
  <c r="K79" i="1"/>
  <c r="K78" i="1"/>
  <c r="K76" i="1"/>
  <c r="K75" i="1"/>
  <c r="K74" i="1"/>
  <c r="K67" i="1"/>
  <c r="K66" i="1"/>
  <c r="K64" i="1"/>
  <c r="K62" i="1"/>
  <c r="K60" i="1"/>
  <c r="K59" i="1"/>
  <c r="K57" i="1"/>
  <c r="K56" i="1"/>
  <c r="K55" i="1"/>
  <c r="K54" i="1"/>
  <c r="K53" i="1"/>
  <c r="K52" i="1"/>
  <c r="K51" i="1"/>
  <c r="K48" i="1"/>
  <c r="K47" i="1"/>
  <c r="K41" i="1"/>
  <c r="K40" i="1"/>
  <c r="K39" i="1"/>
  <c r="K38" i="1"/>
  <c r="K37" i="1"/>
  <c r="K36" i="1"/>
  <c r="K35" i="1"/>
  <c r="K33" i="1"/>
  <c r="K31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46" i="1" l="1"/>
  <c r="C14" i="1"/>
  <c r="F14" i="1"/>
  <c r="J14" i="1"/>
  <c r="J94" i="1" s="1"/>
  <c r="G14" i="1"/>
  <c r="G94" i="1" s="1"/>
  <c r="K77" i="1"/>
  <c r="D14" i="1"/>
  <c r="D94" i="1" s="1"/>
  <c r="H14" i="1"/>
  <c r="E14" i="1"/>
  <c r="I14" i="1"/>
  <c r="I94" i="1" s="1"/>
  <c r="K44" i="1"/>
  <c r="K50" i="1"/>
  <c r="K43" i="1"/>
  <c r="K34" i="1"/>
  <c r="K73" i="1"/>
  <c r="H94" i="1" l="1"/>
  <c r="F94" i="1"/>
  <c r="E94" i="1"/>
  <c r="C94" i="1"/>
  <c r="K14" i="1"/>
  <c r="K94" i="1" l="1"/>
</calcChain>
</file>

<file path=xl/sharedStrings.xml><?xml version="1.0" encoding="utf-8"?>
<sst xmlns="http://schemas.openxmlformats.org/spreadsheetml/2006/main" count="83" uniqueCount="82">
  <si>
    <t>(руб.)</t>
  </si>
  <si>
    <t>Код</t>
  </si>
  <si>
    <t>Наименование групп, подгрупп, статей и подстатей доходов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</si>
  <si>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</si>
  <si>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</si>
  <si>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</si>
  <si>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</si>
  <si>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</si>
  <si>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</si>
  <si>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</si>
  <si>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</si>
  <si>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</si>
  <si>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Налоговые доходы</t>
  </si>
  <si>
    <t>Подоходные налоги</t>
  </si>
  <si>
    <t>Подоходный налог (налог на прибыль)</t>
  </si>
  <si>
    <t>Налог на доходы организаций по отрасли (подотрасли, виду деятельности)</t>
  </si>
  <si>
    <t>Отчисления от налога на доходы организаций для финансирования социальных выплат</t>
  </si>
  <si>
    <t>Налог на игорную деятельность</t>
  </si>
  <si>
    <t>Налог с потенциально возможного к получению годового дохода для индивидуальных предпринимателей</t>
  </si>
  <si>
    <t>Налог с выручки организаций, применяющих упрощенную систему налогообложения, бухгалтерского учета и отчетности</t>
  </si>
  <si>
    <t>Налог с выручки индивидуальных предпринимателей, применяющих упрощенную систему налогообложения</t>
  </si>
  <si>
    <t>Подоходный налог с физических лиц</t>
  </si>
  <si>
    <t>Налоги на товары и услуги, лицензионные и регистрационные сборы</t>
  </si>
  <si>
    <t>Налог на добавленную стоимость</t>
  </si>
  <si>
    <t>Акциз на продукцию, производимую на территории ПМР</t>
  </si>
  <si>
    <t>Акцизные сборы на продукцию, реализуемую на территории ПМР</t>
  </si>
  <si>
    <t>Лицензионные и регистрационные сборы</t>
  </si>
  <si>
    <t>Налоги на имущество</t>
  </si>
  <si>
    <t>Платежи за пользование природными ресурсами</t>
  </si>
  <si>
    <t>Земельный налог</t>
  </si>
  <si>
    <t>Земельный налог на земли сельскохозяйственного назначения</t>
  </si>
  <si>
    <t>Земельный налог на земли несельскохозяйственного назначения</t>
  </si>
  <si>
    <t>Земельный налог с физических лиц</t>
  </si>
  <si>
    <t>Платежи за пользование водными ресурсами в пределах установленных нормативов и лимитов</t>
  </si>
  <si>
    <t>Отчисления от фиксированного сельскохозяйственного налога</t>
  </si>
  <si>
    <t>Отчисления на воспроизводство минерально-сырьевой базы</t>
  </si>
  <si>
    <t>Налоги на внешнюю торговлю и внешнеэкономические операции</t>
  </si>
  <si>
    <t>Прочие налоги, пошлины и сборы</t>
  </si>
  <si>
    <t>Государственная пошлина</t>
  </si>
  <si>
    <t>Местные налоги и сборы</t>
  </si>
  <si>
    <t>Неналоговые доходы</t>
  </si>
  <si>
    <t>Доходы от имущества, находящегося в государственной и муниципальной собственности, или от деятельности</t>
  </si>
  <si>
    <t>Доходы от сдачи в аренду имущества, находящегося в государственной собственности</t>
  </si>
  <si>
    <t>Дивиденды по государственному долевому участию в акционерных предприятиях</t>
  </si>
  <si>
    <t>Погашение налогового и иных видов кредитов</t>
  </si>
  <si>
    <t>Перечисление процентов за пользование кредитами</t>
  </si>
  <si>
    <t>Платежи от государственных и муниципальных организаций</t>
  </si>
  <si>
    <t>Перечисление чистого дохода центрального банка</t>
  </si>
  <si>
    <t>Доходы от продажи имущества, находящегося в государственной и муниципальной собственности</t>
  </si>
  <si>
    <t>Поступления от приватизации объектов государственной и муниципальной собственности</t>
  </si>
  <si>
    <t>Административные платежи и сборы</t>
  </si>
  <si>
    <t>Штрафные санкции, возмещение ущерба</t>
  </si>
  <si>
    <t>Прочие неналоговые доходы</t>
  </si>
  <si>
    <t>Доходы целевых бюджетных фондов</t>
  </si>
  <si>
    <t>Дорожные фонды</t>
  </si>
  <si>
    <t>Отчисления от налога на доходы организаций</t>
  </si>
  <si>
    <t>Экологические фонды</t>
  </si>
  <si>
    <t>Республиканский целевой бюджетный экологический фонд</t>
  </si>
  <si>
    <t>Территориальные целевые бюджетные экологические фонды</t>
  </si>
  <si>
    <t>Фонд по обеспечению государственных гарантий по расчетам с гражданами, имеющими подтвержденное документально право на земельную долю (пай)</t>
  </si>
  <si>
    <t>Фонд капитальных вложений</t>
  </si>
  <si>
    <t>Фонд развития предпринимательства</t>
  </si>
  <si>
    <t>Фонд поддержки молодежи</t>
  </si>
  <si>
    <t>Доходы от предпринимательской и иной приносящей доход деятельности</t>
  </si>
  <si>
    <t>"О республиканском бюджете на 2021 год"</t>
  </si>
  <si>
    <t>Приложение № 1.1</t>
  </si>
  <si>
    <t xml:space="preserve">к Закону Приднестровской Молдавской Республики </t>
  </si>
  <si>
    <t>Фонд развития мелиоративного комплекса</t>
  </si>
  <si>
    <t>Фонд поддержки сельского хозяйства</t>
  </si>
  <si>
    <t>Единый таможенный платеж</t>
  </si>
  <si>
    <t>Доходы  консолидированного бюджета в разрезе основных видов налоговых, неналоговых и иных обязательных платежей на 2021 год</t>
  </si>
  <si>
    <t>Платежи за пользование недрами, в том числе для производства столовых и минеральных вод, в пределах установленных нормативов и лимитов</t>
  </si>
  <si>
    <t>ИТОГО</t>
  </si>
  <si>
    <t>Безвозмездные перечисления</t>
  </si>
  <si>
    <t>3011000</t>
  </si>
  <si>
    <t>От нерезидентов на цели субсидирования хозяйствующих субъектов</t>
  </si>
  <si>
    <t>От нерезидентов</t>
  </si>
  <si>
    <t>Прочие безвозмездные перечисления</t>
  </si>
  <si>
    <t>Приложение № 2</t>
  </si>
  <si>
    <t>к Закону Приднестровской Молдавской Республики</t>
  </si>
  <si>
    <t xml:space="preserve">"О внесении изменений и дополнений </t>
  </si>
  <si>
    <t xml:space="preserve">в Закон Приднестровской Молдавской Республики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</si>
</sst>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-* #,##0_р_._-;\-* #,##0_р_._-;_-* &quot;-&quot;_р_._-;_-@_-"/>
    <numFmt numFmtId="165" formatCode="_-* #,##0.00_р_._-;\-* #,##0.00_р_._-;_-* &quot;-&quot;??_р_._-;_-@_-"/>
    <numFmt numFmtId="166" formatCode="_(* #,##0.00_);_(* \(#,##0.00\);_(* &quot;-&quot;??_);_(@_)"/>
    <numFmt numFmtId="167" formatCode="_-* #,##0\ _₽_-;\-* #,##0\ _₽_-;_-* &quot;-&quot;??\ _₽_-;_-@_-"/>
    <numFmt numFmtId="168" formatCode="_-* #,##0_-;\-* #,##0_-;_-* &quot;-&quot;??_-;_-@_-"/>
    <numFmt numFmtId="169" formatCode="_-* #,##0_р_._-;\-* #,##0_р_._-;_-* &quot;-&quot;??_р_.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4" fontId="2" fillId="0" borderId="0" xfId="0" applyNumberFormat="1" applyFont="1" applyFill="1" applyAlignment="1">
      <alignment vertical="center"/>
    </xf>
    <xf numFmtId="167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4" fontId="2" fillId="0" borderId="0" xfId="0" applyNumberFormat="1" applyFont="1" applyFill="1" applyAlignment="1">
      <alignment horizontal="right" vertical="center"/>
    </xf>
    <xf numFmtId="4" fontId="2" fillId="0" borderId="0" xfId="0" applyNumberFormat="1" applyFont="1" applyFill="1" applyAlignment="1">
      <alignment horizontal="center" vertical="center"/>
    </xf>
    <xf numFmtId="165" fontId="4" fillId="0" borderId="7" xfId="0" applyNumberFormat="1" applyFont="1" applyFill="1" applyBorder="1" applyAlignment="1">
      <alignment horizontal="center" vertical="center"/>
    </xf>
    <xf numFmtId="165" fontId="4" fillId="0" borderId="8" xfId="0" applyNumberFormat="1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center" vertical="center"/>
    </xf>
    <xf numFmtId="4" fontId="4" fillId="0" borderId="9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/>
    </xf>
    <xf numFmtId="164" fontId="4" fillId="2" borderId="8" xfId="2" applyNumberFormat="1" applyFont="1" applyFill="1" applyBorder="1" applyAlignment="1">
      <alignment horizontal="center" vertical="center"/>
    </xf>
    <xf numFmtId="168" fontId="4" fillId="2" borderId="9" xfId="2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 wrapText="1"/>
    </xf>
    <xf numFmtId="164" fontId="4" fillId="0" borderId="11" xfId="1" applyNumberFormat="1" applyFont="1" applyFill="1" applyBorder="1" applyAlignment="1">
      <alignment horizontal="center" vertical="center"/>
    </xf>
    <xf numFmtId="168" fontId="4" fillId="0" borderId="12" xfId="2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164" fontId="4" fillId="0" borderId="2" xfId="1" applyNumberFormat="1" applyFont="1" applyFill="1" applyBorder="1" applyAlignment="1">
      <alignment horizontal="center" vertical="center"/>
    </xf>
    <xf numFmtId="168" fontId="4" fillId="0" borderId="2" xfId="2" applyNumberFormat="1" applyFont="1" applyFill="1" applyBorder="1" applyAlignment="1">
      <alignment horizontal="center" vertical="center"/>
    </xf>
    <xf numFmtId="168" fontId="4" fillId="0" borderId="1" xfId="2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164" fontId="2" fillId="0" borderId="2" xfId="1" applyNumberFormat="1" applyFont="1" applyFill="1" applyBorder="1" applyAlignment="1">
      <alignment horizontal="center" vertical="center"/>
    </xf>
    <xf numFmtId="168" fontId="2" fillId="0" borderId="2" xfId="2" applyNumberFormat="1" applyFont="1" applyFill="1" applyBorder="1" applyAlignment="1">
      <alignment horizontal="center" vertical="center"/>
    </xf>
    <xf numFmtId="168" fontId="2" fillId="0" borderId="1" xfId="2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vertical="center" wrapText="1"/>
    </xf>
    <xf numFmtId="1" fontId="2" fillId="0" borderId="3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vertical="center" wrapText="1"/>
    </xf>
    <xf numFmtId="165" fontId="2" fillId="0" borderId="0" xfId="0" applyNumberFormat="1" applyFont="1" applyFill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 wrapText="1"/>
    </xf>
    <xf numFmtId="164" fontId="4" fillId="0" borderId="5" xfId="1" applyNumberFormat="1" applyFont="1" applyFill="1" applyBorder="1" applyAlignment="1">
      <alignment horizontal="center" vertical="center"/>
    </xf>
    <xf numFmtId="168" fontId="2" fillId="0" borderId="5" xfId="2" applyNumberFormat="1" applyFont="1" applyFill="1" applyBorder="1" applyAlignment="1">
      <alignment horizontal="center" vertical="center"/>
    </xf>
    <xf numFmtId="168" fontId="4" fillId="0" borderId="5" xfId="2" applyNumberFormat="1" applyFont="1" applyFill="1" applyBorder="1" applyAlignment="1">
      <alignment horizontal="center" vertical="center"/>
    </xf>
    <xf numFmtId="168" fontId="2" fillId="0" borderId="6" xfId="2" applyNumberFormat="1" applyFont="1" applyFill="1" applyBorder="1" applyAlignment="1">
      <alignment horizontal="center" vertical="center"/>
    </xf>
    <xf numFmtId="164" fontId="4" fillId="2" borderId="8" xfId="1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 wrapText="1"/>
    </xf>
    <xf numFmtId="168" fontId="4" fillId="0" borderId="11" xfId="2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 wrapText="1"/>
    </xf>
    <xf numFmtId="168" fontId="4" fillId="0" borderId="6" xfId="2" applyNumberFormat="1" applyFont="1" applyFill="1" applyBorder="1" applyAlignment="1">
      <alignment horizontal="center" vertical="center"/>
    </xf>
    <xf numFmtId="168" fontId="4" fillId="2" borderId="8" xfId="2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 wrapText="1"/>
    </xf>
    <xf numFmtId="164" fontId="4" fillId="0" borderId="8" xfId="1" applyNumberFormat="1" applyFont="1" applyFill="1" applyBorder="1" applyAlignment="1">
      <alignment horizontal="center" vertical="center"/>
    </xf>
    <xf numFmtId="168" fontId="4" fillId="0" borderId="9" xfId="2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/>
    </xf>
    <xf numFmtId="4" fontId="4" fillId="0" borderId="0" xfId="0" applyNumberFormat="1" applyFont="1" applyFill="1" applyAlignment="1">
      <alignment horizontal="center" vertical="center"/>
    </xf>
    <xf numFmtId="0" fontId="7" fillId="3" borderId="0" xfId="0" applyFont="1" applyFill="1" applyBorder="1" applyAlignment="1">
      <alignment wrapText="1"/>
    </xf>
    <xf numFmtId="0" fontId="7" fillId="0" borderId="11" xfId="0" applyFont="1" applyFill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164" fontId="6" fillId="3" borderId="5" xfId="1" applyNumberFormat="1" applyFont="1" applyFill="1" applyBorder="1" applyAlignment="1">
      <alignment horizontal="right" vertical="center"/>
    </xf>
    <xf numFmtId="0" fontId="7" fillId="0" borderId="10" xfId="0" applyFont="1" applyFill="1" applyBorder="1" applyAlignment="1">
      <alignment vertical="center"/>
    </xf>
    <xf numFmtId="0" fontId="7" fillId="0" borderId="4" xfId="0" applyFont="1" applyBorder="1" applyAlignment="1">
      <alignment horizontal="right" vertical="center"/>
    </xf>
    <xf numFmtId="164" fontId="6" fillId="3" borderId="6" xfId="0" applyNumberFormat="1" applyFont="1" applyFill="1" applyBorder="1" applyAlignment="1">
      <alignment horizontal="right" vertical="center"/>
    </xf>
    <xf numFmtId="3" fontId="7" fillId="0" borderId="14" xfId="0" applyNumberFormat="1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/>
    </xf>
    <xf numFmtId="0" fontId="5" fillId="4" borderId="8" xfId="0" applyFont="1" applyFill="1" applyBorder="1" applyAlignment="1">
      <alignment vertical="center" wrapText="1"/>
    </xf>
    <xf numFmtId="3" fontId="7" fillId="0" borderId="3" xfId="0" applyNumberFormat="1" applyFont="1" applyFill="1" applyBorder="1" applyAlignment="1">
      <alignment horizontal="right" vertical="center"/>
    </xf>
    <xf numFmtId="3" fontId="7" fillId="0" borderId="2" xfId="0" applyNumberFormat="1" applyFont="1" applyFill="1" applyBorder="1" applyAlignment="1">
      <alignment vertical="center" wrapText="1"/>
    </xf>
    <xf numFmtId="1" fontId="7" fillId="0" borderId="13" xfId="0" applyNumberFormat="1" applyFont="1" applyFill="1" applyBorder="1" applyAlignment="1">
      <alignment horizontal="right" vertical="center"/>
    </xf>
    <xf numFmtId="169" fontId="7" fillId="0" borderId="12" xfId="0" applyNumberFormat="1" applyFont="1" applyFill="1" applyBorder="1" applyAlignment="1">
      <alignment horizontal="right" vertical="center"/>
    </xf>
    <xf numFmtId="169" fontId="7" fillId="0" borderId="11" xfId="0" applyNumberFormat="1" applyFont="1" applyFill="1" applyBorder="1" applyAlignment="1">
      <alignment horizontal="right" vertical="center"/>
    </xf>
    <xf numFmtId="169" fontId="7" fillId="0" borderId="2" xfId="0" applyNumberFormat="1" applyFont="1" applyFill="1" applyBorder="1" applyAlignment="1">
      <alignment horizontal="right" vertical="center"/>
    </xf>
    <xf numFmtId="169" fontId="7" fillId="0" borderId="14" xfId="0" applyNumberFormat="1" applyFont="1" applyFill="1" applyBorder="1" applyAlignment="1">
      <alignment horizontal="right" vertical="center"/>
    </xf>
    <xf numFmtId="169" fontId="5" fillId="4" borderId="8" xfId="1" applyNumberFormat="1" applyFont="1" applyFill="1" applyBorder="1" applyAlignment="1">
      <alignment horizontal="right" vertical="center"/>
    </xf>
    <xf numFmtId="169" fontId="5" fillId="4" borderId="9" xfId="0" applyNumberFormat="1" applyFont="1" applyFill="1" applyBorder="1" applyAlignment="1">
      <alignment horizontal="right" vertical="center"/>
    </xf>
    <xf numFmtId="3" fontId="8" fillId="5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</cellXfs>
  <cellStyles count="5">
    <cellStyle name="Обычный" xfId="0" builtinId="0"/>
    <cellStyle name="Финансовый" xfId="2" builtinId="3"/>
    <cellStyle name="Финансовый 2" xfId="1"/>
    <cellStyle name="Финансовый 2 2" xfId="3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9"/>
  <sheetViews>
    <sheetView tabSelected="1" view="pageBreakPreview" zoomScale="75" zoomScaleNormal="90" zoomScaleSheetLayoutView="75" workbookViewId="0">
      <pane xSplit="2" ySplit="13" topLeftCell="E14" activePane="bottomRight" state="frozenSplit"/>
      <selection pane="topRight" activeCell="D1" sqref="D1"/>
      <selection pane="bottomLeft" activeCell="A14" sqref="A14"/>
      <selection pane="bottomRight" activeCell="B84" sqref="B84"/>
    </sheetView>
  </sheetViews>
  <sheetFormatPr defaultColWidth="11.140625" defaultRowHeight="15.75" x14ac:dyDescent="0.25"/>
  <cols>
    <col min="1" max="1" width="9" style="2" bestFit="1" customWidth="1"/>
    <col min="2" max="2" width="65.85546875" style="3" customWidth="1"/>
    <col min="3" max="3" width="17.5703125" style="4" bestFit="1" customWidth="1"/>
    <col min="4" max="9" width="15.85546875" style="4" bestFit="1" customWidth="1"/>
    <col min="10" max="10" width="14.7109375" style="4" bestFit="1" customWidth="1"/>
    <col min="11" max="11" width="15.85546875" style="8" bestFit="1" customWidth="1"/>
    <col min="12" max="16384" width="11.140625" style="2"/>
  </cols>
  <sheetData>
    <row r="1" spans="1:11" x14ac:dyDescent="0.25">
      <c r="K1" s="77" t="s">
        <v>78</v>
      </c>
    </row>
    <row r="2" spans="1:11" x14ac:dyDescent="0.25">
      <c r="K2" s="78" t="s">
        <v>79</v>
      </c>
    </row>
    <row r="3" spans="1:11" x14ac:dyDescent="0.25">
      <c r="K3" s="79" t="s">
        <v>80</v>
      </c>
    </row>
    <row r="4" spans="1:11" x14ac:dyDescent="0.25">
      <c r="K4" s="79" t="s">
        <v>81</v>
      </c>
    </row>
    <row r="5" spans="1:11" x14ac:dyDescent="0.25">
      <c r="K5" s="78" t="s">
        <v>64</v>
      </c>
    </row>
    <row r="7" spans="1:11" x14ac:dyDescent="0.25">
      <c r="H7" s="5"/>
      <c r="I7" s="81" t="s">
        <v>65</v>
      </c>
      <c r="J7" s="81"/>
      <c r="K7" s="81"/>
    </row>
    <row r="8" spans="1:11" x14ac:dyDescent="0.25">
      <c r="H8" s="81" t="s">
        <v>66</v>
      </c>
      <c r="I8" s="81"/>
      <c r="J8" s="81"/>
      <c r="K8" s="81"/>
    </row>
    <row r="9" spans="1:11" x14ac:dyDescent="0.25">
      <c r="H9" s="5"/>
      <c r="I9" s="81" t="s">
        <v>64</v>
      </c>
      <c r="J9" s="81"/>
      <c r="K9" s="81"/>
    </row>
    <row r="10" spans="1:11" x14ac:dyDescent="0.25">
      <c r="H10" s="5"/>
      <c r="I10" s="1"/>
      <c r="J10" s="1"/>
      <c r="K10" s="1"/>
    </row>
    <row r="11" spans="1:11" x14ac:dyDescent="0.25">
      <c r="A11" s="80" t="s">
        <v>70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</row>
    <row r="12" spans="1:11" ht="16.5" thickBot="1" x14ac:dyDescent="0.3">
      <c r="B12" s="6"/>
      <c r="C12" s="7"/>
      <c r="D12" s="7"/>
      <c r="E12" s="7"/>
      <c r="F12" s="7"/>
      <c r="G12" s="7"/>
      <c r="H12" s="7"/>
      <c r="I12" s="7"/>
      <c r="J12" s="7"/>
      <c r="K12" s="8" t="s">
        <v>0</v>
      </c>
    </row>
    <row r="13" spans="1:11" ht="16.5" thickBot="1" x14ac:dyDescent="0.3">
      <c r="A13" s="9" t="s">
        <v>1</v>
      </c>
      <c r="B13" s="10" t="s">
        <v>2</v>
      </c>
      <c r="C13" s="11" t="s">
        <v>3</v>
      </c>
      <c r="D13" s="11" t="s">
        <v>4</v>
      </c>
      <c r="E13" s="11" t="s">
        <v>5</v>
      </c>
      <c r="F13" s="11" t="s">
        <v>6</v>
      </c>
      <c r="G13" s="11" t="s">
        <v>7</v>
      </c>
      <c r="H13" s="11" t="s">
        <v>8</v>
      </c>
      <c r="I13" s="11" t="s">
        <v>9</v>
      </c>
      <c r="J13" s="11" t="s">
        <v>10</v>
      </c>
      <c r="K13" s="12" t="s">
        <v>11</v>
      </c>
    </row>
    <row r="14" spans="1:11" ht="16.5" thickBot="1" x14ac:dyDescent="0.3">
      <c r="A14" s="13">
        <v>1000000</v>
      </c>
      <c r="B14" s="14" t="s">
        <v>12</v>
      </c>
      <c r="C14" s="15">
        <f t="shared" ref="C14:J14" si="0">SUM(C15+C25+C31+C33+C43+C46)</f>
        <v>1083192030</v>
      </c>
      <c r="D14" s="16">
        <f t="shared" si="0"/>
        <v>225496723</v>
      </c>
      <c r="E14" s="16">
        <f t="shared" si="0"/>
        <v>260628778</v>
      </c>
      <c r="F14" s="16">
        <f t="shared" si="0"/>
        <v>218671345</v>
      </c>
      <c r="G14" s="16">
        <f t="shared" si="0"/>
        <v>103288952</v>
      </c>
      <c r="H14" s="16">
        <f t="shared" si="0"/>
        <v>138894869</v>
      </c>
      <c r="I14" s="16">
        <f t="shared" si="0"/>
        <v>67471572</v>
      </c>
      <c r="J14" s="16">
        <f t="shared" si="0"/>
        <v>36758441</v>
      </c>
      <c r="K14" s="17">
        <f>SUM(C14:J14)</f>
        <v>2134402710</v>
      </c>
    </row>
    <row r="15" spans="1:11" x14ac:dyDescent="0.25">
      <c r="A15" s="18">
        <v>1010000</v>
      </c>
      <c r="B15" s="19" t="s">
        <v>13</v>
      </c>
      <c r="C15" s="20">
        <f>C16+C17+C19+C20+C21+C22+C23</f>
        <v>640290797</v>
      </c>
      <c r="D15" s="20">
        <f t="shared" ref="D15:J15" si="1">D16+D17+D19+D20+D21+D22+D23</f>
        <v>214429988</v>
      </c>
      <c r="E15" s="20">
        <f t="shared" si="1"/>
        <v>220063890</v>
      </c>
      <c r="F15" s="20">
        <f t="shared" si="1"/>
        <v>166931273</v>
      </c>
      <c r="G15" s="20">
        <f t="shared" si="1"/>
        <v>78587876</v>
      </c>
      <c r="H15" s="20">
        <f t="shared" si="1"/>
        <v>98253954</v>
      </c>
      <c r="I15" s="20">
        <f t="shared" si="1"/>
        <v>42238154</v>
      </c>
      <c r="J15" s="20">
        <f t="shared" si="1"/>
        <v>25825120</v>
      </c>
      <c r="K15" s="21">
        <f t="shared" ref="K15:K78" si="2">SUM(C15:J15)</f>
        <v>1486621052</v>
      </c>
    </row>
    <row r="16" spans="1:11" x14ac:dyDescent="0.25">
      <c r="A16" s="22">
        <v>1010100</v>
      </c>
      <c r="B16" s="23" t="s">
        <v>14</v>
      </c>
      <c r="C16" s="24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6">
        <f t="shared" si="2"/>
        <v>0</v>
      </c>
    </row>
    <row r="17" spans="1:11" ht="31.5" x14ac:dyDescent="0.25">
      <c r="A17" s="22">
        <v>1010200</v>
      </c>
      <c r="B17" s="23" t="s">
        <v>15</v>
      </c>
      <c r="C17" s="24">
        <f>375042744-1112067-329408</f>
        <v>373601269</v>
      </c>
      <c r="D17" s="25">
        <f>160990611+19392000</f>
        <v>180382611</v>
      </c>
      <c r="E17" s="25">
        <f>112336697+108046+388966+1967046</f>
        <v>114800755</v>
      </c>
      <c r="F17" s="25">
        <f>83893901+39491+142169+400000</f>
        <v>84475561</v>
      </c>
      <c r="G17" s="25">
        <f>45067071+500547</f>
        <v>45567618</v>
      </c>
      <c r="H17" s="25">
        <f>54879106-25562-92025+322859</f>
        <v>55084378</v>
      </c>
      <c r="I17" s="25">
        <v>20656810</v>
      </c>
      <c r="J17" s="25">
        <v>13023709</v>
      </c>
      <c r="K17" s="26">
        <f t="shared" si="2"/>
        <v>887592711</v>
      </c>
    </row>
    <row r="18" spans="1:11" ht="31.5" x14ac:dyDescent="0.25">
      <c r="A18" s="27">
        <v>1010290</v>
      </c>
      <c r="B18" s="28" t="s">
        <v>16</v>
      </c>
      <c r="C18" s="29">
        <f>118028034-313364</f>
        <v>117714670</v>
      </c>
      <c r="D18" s="30">
        <f>33769006+4216000</f>
        <v>37985006</v>
      </c>
      <c r="E18" s="30">
        <f>18314136+108046</f>
        <v>18422182</v>
      </c>
      <c r="F18" s="30">
        <f>8480829+39491</f>
        <v>8520320</v>
      </c>
      <c r="G18" s="30">
        <v>3251851</v>
      </c>
      <c r="H18" s="30">
        <f>5297884-25562</f>
        <v>5272322</v>
      </c>
      <c r="I18" s="30">
        <v>1772138</v>
      </c>
      <c r="J18" s="30">
        <v>812619</v>
      </c>
      <c r="K18" s="31">
        <f t="shared" si="2"/>
        <v>193751108</v>
      </c>
    </row>
    <row r="19" spans="1:11" x14ac:dyDescent="0.25">
      <c r="A19" s="22">
        <v>1010400</v>
      </c>
      <c r="B19" s="23" t="s">
        <v>17</v>
      </c>
      <c r="C19" s="24">
        <v>2331600</v>
      </c>
      <c r="D19" s="25">
        <v>0</v>
      </c>
      <c r="E19" s="25">
        <v>1322400</v>
      </c>
      <c r="F19" s="25">
        <v>435000</v>
      </c>
      <c r="G19" s="25">
        <v>487200</v>
      </c>
      <c r="H19" s="25">
        <v>243600</v>
      </c>
      <c r="I19" s="25">
        <v>156600</v>
      </c>
      <c r="J19" s="25">
        <v>295800</v>
      </c>
      <c r="K19" s="26">
        <f t="shared" si="2"/>
        <v>5272200</v>
      </c>
    </row>
    <row r="20" spans="1:11" ht="31.5" x14ac:dyDescent="0.25">
      <c r="A20" s="22">
        <v>1010500</v>
      </c>
      <c r="B20" s="32" t="s">
        <v>18</v>
      </c>
      <c r="C20" s="24">
        <v>7731334</v>
      </c>
      <c r="D20" s="25">
        <v>241753</v>
      </c>
      <c r="E20" s="25">
        <v>4530940</v>
      </c>
      <c r="F20" s="25">
        <v>3273551</v>
      </c>
      <c r="G20" s="25">
        <v>1343247</v>
      </c>
      <c r="H20" s="25">
        <v>3320862</v>
      </c>
      <c r="I20" s="25">
        <f>1543724-126574</f>
        <v>1417150</v>
      </c>
      <c r="J20" s="25">
        <v>1139618</v>
      </c>
      <c r="K20" s="26">
        <f t="shared" si="2"/>
        <v>22998455</v>
      </c>
    </row>
    <row r="21" spans="1:11" ht="47.25" x14ac:dyDescent="0.25">
      <c r="A21" s="22">
        <v>1010600</v>
      </c>
      <c r="B21" s="23" t="s">
        <v>19</v>
      </c>
      <c r="C21" s="24">
        <v>16167883</v>
      </c>
      <c r="D21" s="25">
        <v>105221</v>
      </c>
      <c r="E21" s="25">
        <f>4546250+2070799</f>
        <v>6617049</v>
      </c>
      <c r="F21" s="25">
        <v>1191159</v>
      </c>
      <c r="G21" s="25">
        <v>550913</v>
      </c>
      <c r="H21" s="25">
        <f>932148+270872</f>
        <v>1203020</v>
      </c>
      <c r="I21" s="25">
        <v>87619</v>
      </c>
      <c r="J21" s="25">
        <v>12965</v>
      </c>
      <c r="K21" s="26">
        <f t="shared" si="2"/>
        <v>25935829</v>
      </c>
    </row>
    <row r="22" spans="1:11" ht="31.5" x14ac:dyDescent="0.25">
      <c r="A22" s="22">
        <v>1010601</v>
      </c>
      <c r="B22" s="23" t="s">
        <v>20</v>
      </c>
      <c r="C22" s="24">
        <f>8961083+3453935</f>
        <v>12415018</v>
      </c>
      <c r="D22" s="25">
        <v>69772</v>
      </c>
      <c r="E22" s="25">
        <v>3935501</v>
      </c>
      <c r="F22" s="25">
        <v>1145877</v>
      </c>
      <c r="G22" s="25">
        <v>944263</v>
      </c>
      <c r="H22" s="25">
        <f>1475719+741604</f>
        <v>2217323</v>
      </c>
      <c r="I22" s="25">
        <v>428668</v>
      </c>
      <c r="J22" s="25">
        <v>296654</v>
      </c>
      <c r="K22" s="26">
        <f t="shared" si="2"/>
        <v>21453076</v>
      </c>
    </row>
    <row r="23" spans="1:11" x14ac:dyDescent="0.25">
      <c r="A23" s="22">
        <v>1010700</v>
      </c>
      <c r="B23" s="23" t="s">
        <v>21</v>
      </c>
      <c r="C23" s="24">
        <f>206609004+10234397+2288596+8911696</f>
        <v>228043693</v>
      </c>
      <c r="D23" s="25">
        <f>32250048+1256943+123640</f>
        <v>33630631</v>
      </c>
      <c r="E23" s="25">
        <f>77076723+4945352+1575817+5259353</f>
        <v>88857245</v>
      </c>
      <c r="F23" s="25">
        <f>71906160+3667017+836948</f>
        <v>76410125</v>
      </c>
      <c r="G23" s="25">
        <f>25241353+1830752+644406+1978124</f>
        <v>29694635</v>
      </c>
      <c r="H23" s="25">
        <f>29796712+2409461+929374+3049224</f>
        <v>36184771</v>
      </c>
      <c r="I23" s="25">
        <f>18275605+974327+241375</f>
        <v>19491307</v>
      </c>
      <c r="J23" s="25">
        <f>9522683+622806+200270+710615</f>
        <v>11056374</v>
      </c>
      <c r="K23" s="26">
        <f t="shared" si="2"/>
        <v>523368781</v>
      </c>
    </row>
    <row r="24" spans="1:11" x14ac:dyDescent="0.25">
      <c r="A24" s="27"/>
      <c r="B24" s="23"/>
      <c r="C24" s="24"/>
      <c r="D24" s="25"/>
      <c r="E24" s="25"/>
      <c r="F24" s="25"/>
      <c r="G24" s="25"/>
      <c r="H24" s="25"/>
      <c r="I24" s="25"/>
      <c r="J24" s="25"/>
      <c r="K24" s="26">
        <f t="shared" si="2"/>
        <v>0</v>
      </c>
    </row>
    <row r="25" spans="1:11" ht="31.5" x14ac:dyDescent="0.25">
      <c r="A25" s="22">
        <v>1020000</v>
      </c>
      <c r="B25" s="23" t="s">
        <v>22</v>
      </c>
      <c r="C25" s="24">
        <f t="shared" ref="C25:J25" si="3">SUM(C26:C29)</f>
        <v>31557744</v>
      </c>
      <c r="D25" s="24">
        <f t="shared" si="3"/>
        <v>135532</v>
      </c>
      <c r="E25" s="24">
        <f t="shared" si="3"/>
        <v>12539734</v>
      </c>
      <c r="F25" s="24">
        <f t="shared" si="3"/>
        <v>296922</v>
      </c>
      <c r="G25" s="24">
        <f t="shared" si="3"/>
        <v>4354516</v>
      </c>
      <c r="H25" s="24">
        <f t="shared" si="3"/>
        <v>135736</v>
      </c>
      <c r="I25" s="24">
        <f t="shared" si="3"/>
        <v>27168</v>
      </c>
      <c r="J25" s="24">
        <f t="shared" si="3"/>
        <v>128229</v>
      </c>
      <c r="K25" s="26">
        <f t="shared" si="2"/>
        <v>49175581</v>
      </c>
    </row>
    <row r="26" spans="1:11" x14ac:dyDescent="0.25">
      <c r="A26" s="22">
        <v>1020100</v>
      </c>
      <c r="B26" s="23" t="s">
        <v>23</v>
      </c>
      <c r="C26" s="24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6">
        <f t="shared" si="2"/>
        <v>0</v>
      </c>
    </row>
    <row r="27" spans="1:11" x14ac:dyDescent="0.25">
      <c r="A27" s="22">
        <v>1020200</v>
      </c>
      <c r="B27" s="23" t="s">
        <v>24</v>
      </c>
      <c r="C27" s="24">
        <v>29254544</v>
      </c>
      <c r="D27" s="25">
        <v>0</v>
      </c>
      <c r="E27" s="25">
        <v>12345325</v>
      </c>
      <c r="F27" s="25">
        <v>128617</v>
      </c>
      <c r="G27" s="25">
        <v>4267814</v>
      </c>
      <c r="H27" s="25">
        <v>26417</v>
      </c>
      <c r="I27" s="25">
        <v>0</v>
      </c>
      <c r="J27" s="25">
        <v>79370</v>
      </c>
      <c r="K27" s="26">
        <f t="shared" si="2"/>
        <v>46102087</v>
      </c>
    </row>
    <row r="28" spans="1:11" ht="31.5" x14ac:dyDescent="0.25">
      <c r="A28" s="22">
        <v>1020400</v>
      </c>
      <c r="B28" s="23" t="s">
        <v>25</v>
      </c>
      <c r="C28" s="24">
        <v>675228</v>
      </c>
      <c r="D28" s="25">
        <v>0</v>
      </c>
      <c r="E28" s="25">
        <v>0</v>
      </c>
      <c r="F28" s="25">
        <v>0</v>
      </c>
      <c r="G28" s="25">
        <v>35031</v>
      </c>
      <c r="H28" s="25">
        <v>0</v>
      </c>
      <c r="I28" s="25">
        <v>0</v>
      </c>
      <c r="J28" s="25">
        <v>0</v>
      </c>
      <c r="K28" s="26">
        <f t="shared" si="2"/>
        <v>710259</v>
      </c>
    </row>
    <row r="29" spans="1:11" x14ac:dyDescent="0.25">
      <c r="A29" s="22">
        <v>1020500</v>
      </c>
      <c r="B29" s="23" t="s">
        <v>26</v>
      </c>
      <c r="C29" s="24">
        <v>1627972</v>
      </c>
      <c r="D29" s="25">
        <v>135532</v>
      </c>
      <c r="E29" s="25">
        <v>194409</v>
      </c>
      <c r="F29" s="25">
        <v>168305</v>
      </c>
      <c r="G29" s="25">
        <v>51671</v>
      </c>
      <c r="H29" s="25">
        <v>109319</v>
      </c>
      <c r="I29" s="25">
        <v>27168</v>
      </c>
      <c r="J29" s="25">
        <v>48859</v>
      </c>
      <c r="K29" s="26">
        <f t="shared" si="2"/>
        <v>2363235</v>
      </c>
    </row>
    <row r="30" spans="1:11" x14ac:dyDescent="0.25">
      <c r="A30" s="27"/>
      <c r="B30" s="23"/>
      <c r="C30" s="24"/>
      <c r="D30" s="25"/>
      <c r="E30" s="25"/>
      <c r="F30" s="25"/>
      <c r="G30" s="25"/>
      <c r="H30" s="25"/>
      <c r="I30" s="25"/>
      <c r="J30" s="25"/>
      <c r="K30" s="26"/>
    </row>
    <row r="31" spans="1:11" x14ac:dyDescent="0.25">
      <c r="A31" s="22">
        <v>1040000</v>
      </c>
      <c r="B31" s="23" t="s">
        <v>27</v>
      </c>
      <c r="C31" s="24">
        <v>3738259</v>
      </c>
      <c r="D31" s="25">
        <v>234017</v>
      </c>
      <c r="E31" s="25">
        <v>2860960</v>
      </c>
      <c r="F31" s="25">
        <v>2198827</v>
      </c>
      <c r="G31" s="25">
        <v>1554020</v>
      </c>
      <c r="H31" s="25">
        <v>2225319</v>
      </c>
      <c r="I31" s="25">
        <v>1141812</v>
      </c>
      <c r="J31" s="25">
        <v>700942</v>
      </c>
      <c r="K31" s="26">
        <f t="shared" si="2"/>
        <v>14654156</v>
      </c>
    </row>
    <row r="32" spans="1:11" x14ac:dyDescent="0.25">
      <c r="A32" s="22"/>
      <c r="B32" s="23"/>
      <c r="C32" s="24"/>
      <c r="D32" s="25"/>
      <c r="E32" s="25"/>
      <c r="F32" s="25"/>
      <c r="G32" s="25"/>
      <c r="H32" s="25"/>
      <c r="I32" s="25"/>
      <c r="J32" s="25"/>
      <c r="K32" s="26"/>
    </row>
    <row r="33" spans="1:11" x14ac:dyDescent="0.25">
      <c r="A33" s="22">
        <v>1050000</v>
      </c>
      <c r="B33" s="23" t="s">
        <v>28</v>
      </c>
      <c r="C33" s="24">
        <v>20065045</v>
      </c>
      <c r="D33" s="25">
        <v>2763451</v>
      </c>
      <c r="E33" s="25">
        <v>11115187</v>
      </c>
      <c r="F33" s="25">
        <f>38278827+22866</f>
        <v>38301693</v>
      </c>
      <c r="G33" s="25">
        <v>11629004</v>
      </c>
      <c r="H33" s="25">
        <v>28659660</v>
      </c>
      <c r="I33" s="25">
        <v>20270228</v>
      </c>
      <c r="J33" s="25">
        <v>6667007</v>
      </c>
      <c r="K33" s="26">
        <f t="shared" si="2"/>
        <v>139471275</v>
      </c>
    </row>
    <row r="34" spans="1:11" x14ac:dyDescent="0.25">
      <c r="A34" s="22">
        <v>1050100</v>
      </c>
      <c r="B34" s="23" t="s">
        <v>29</v>
      </c>
      <c r="C34" s="24">
        <f>SUM(C35:C37)</f>
        <v>11238337</v>
      </c>
      <c r="D34" s="24">
        <f t="shared" ref="D34:J34" si="4">SUM(D35:D37)</f>
        <v>106660</v>
      </c>
      <c r="E34" s="24">
        <f t="shared" si="4"/>
        <v>9251680</v>
      </c>
      <c r="F34" s="24">
        <f t="shared" si="4"/>
        <v>17481835</v>
      </c>
      <c r="G34" s="24">
        <f t="shared" si="4"/>
        <v>9482849</v>
      </c>
      <c r="H34" s="24">
        <f t="shared" si="4"/>
        <v>23416198</v>
      </c>
      <c r="I34" s="24">
        <f t="shared" si="4"/>
        <v>9859364</v>
      </c>
      <c r="J34" s="24">
        <f t="shared" si="4"/>
        <v>4512264</v>
      </c>
      <c r="K34" s="26">
        <f t="shared" si="2"/>
        <v>85349187</v>
      </c>
    </row>
    <row r="35" spans="1:11" x14ac:dyDescent="0.25">
      <c r="A35" s="27">
        <v>1050101</v>
      </c>
      <c r="B35" s="28" t="s">
        <v>30</v>
      </c>
      <c r="C35" s="29">
        <v>598415</v>
      </c>
      <c r="D35" s="30">
        <v>0</v>
      </c>
      <c r="E35" s="30">
        <v>931130</v>
      </c>
      <c r="F35" s="30">
        <f>8568637+22866</f>
        <v>8591503</v>
      </c>
      <c r="G35" s="30">
        <v>6992927</v>
      </c>
      <c r="H35" s="30">
        <v>14165856</v>
      </c>
      <c r="I35" s="30">
        <v>7298898</v>
      </c>
      <c r="J35" s="30">
        <v>3066862</v>
      </c>
      <c r="K35" s="31">
        <f t="shared" si="2"/>
        <v>41645591</v>
      </c>
    </row>
    <row r="36" spans="1:11" ht="31.5" x14ac:dyDescent="0.25">
      <c r="A36" s="27">
        <v>1050102</v>
      </c>
      <c r="B36" s="28" t="s">
        <v>31</v>
      </c>
      <c r="C36" s="29">
        <v>10572142</v>
      </c>
      <c r="D36" s="30">
        <v>105710</v>
      </c>
      <c r="E36" s="30">
        <v>8200350</v>
      </c>
      <c r="F36" s="30">
        <v>7837399</v>
      </c>
      <c r="G36" s="30">
        <v>1785329</v>
      </c>
      <c r="H36" s="30">
        <v>8560253</v>
      </c>
      <c r="I36" s="30">
        <v>2140000</v>
      </c>
      <c r="J36" s="30">
        <v>930200</v>
      </c>
      <c r="K36" s="31">
        <f t="shared" si="2"/>
        <v>40131383</v>
      </c>
    </row>
    <row r="37" spans="1:11" x14ac:dyDescent="0.25">
      <c r="A37" s="33">
        <v>1050103</v>
      </c>
      <c r="B37" s="34" t="s">
        <v>32</v>
      </c>
      <c r="C37" s="29">
        <v>67780</v>
      </c>
      <c r="D37" s="30">
        <v>950</v>
      </c>
      <c r="E37" s="30">
        <v>120200</v>
      </c>
      <c r="F37" s="30">
        <v>1052933</v>
      </c>
      <c r="G37" s="30">
        <v>704593</v>
      </c>
      <c r="H37" s="30">
        <v>690089</v>
      </c>
      <c r="I37" s="30">
        <v>420466</v>
      </c>
      <c r="J37" s="30">
        <v>515202</v>
      </c>
      <c r="K37" s="31">
        <f t="shared" si="2"/>
        <v>3572213</v>
      </c>
    </row>
    <row r="38" spans="1:11" ht="31.5" x14ac:dyDescent="0.25">
      <c r="A38" s="22">
        <v>1050200</v>
      </c>
      <c r="B38" s="23" t="s">
        <v>33</v>
      </c>
      <c r="C38" s="24">
        <v>7191514</v>
      </c>
      <c r="D38" s="25">
        <v>2655270</v>
      </c>
      <c r="E38" s="25">
        <v>1349030</v>
      </c>
      <c r="F38" s="25">
        <v>1223695</v>
      </c>
      <c r="G38" s="25">
        <v>14471</v>
      </c>
      <c r="H38" s="25">
        <v>453527</v>
      </c>
      <c r="I38" s="25">
        <v>229465</v>
      </c>
      <c r="J38" s="25">
        <v>403078</v>
      </c>
      <c r="K38" s="26">
        <f t="shared" si="2"/>
        <v>13520050</v>
      </c>
    </row>
    <row r="39" spans="1:11" ht="47.25" x14ac:dyDescent="0.25">
      <c r="A39" s="22">
        <v>1050400</v>
      </c>
      <c r="B39" s="23" t="s">
        <v>71</v>
      </c>
      <c r="C39" s="24">
        <v>0</v>
      </c>
      <c r="D39" s="25">
        <v>0</v>
      </c>
      <c r="E39" s="25">
        <v>205040</v>
      </c>
      <c r="F39" s="25">
        <v>8013032</v>
      </c>
      <c r="G39" s="25">
        <v>1246980</v>
      </c>
      <c r="H39" s="25">
        <v>1253885</v>
      </c>
      <c r="I39" s="25">
        <v>3191026</v>
      </c>
      <c r="J39" s="25">
        <v>153228</v>
      </c>
      <c r="K39" s="26">
        <f t="shared" si="2"/>
        <v>14063191</v>
      </c>
    </row>
    <row r="40" spans="1:11" ht="31.5" x14ac:dyDescent="0.25">
      <c r="A40" s="22">
        <v>1051100</v>
      </c>
      <c r="B40" s="23" t="s">
        <v>34</v>
      </c>
      <c r="C40" s="24">
        <v>1125333</v>
      </c>
      <c r="D40" s="25">
        <v>0</v>
      </c>
      <c r="E40" s="25">
        <v>224413</v>
      </c>
      <c r="F40" s="25">
        <v>4539086</v>
      </c>
      <c r="G40" s="25">
        <v>257523</v>
      </c>
      <c r="H40" s="25">
        <v>2862886</v>
      </c>
      <c r="I40" s="25">
        <v>5207686</v>
      </c>
      <c r="J40" s="25">
        <v>1506278</v>
      </c>
      <c r="K40" s="26">
        <f t="shared" si="2"/>
        <v>15723205</v>
      </c>
    </row>
    <row r="41" spans="1:11" ht="31.5" x14ac:dyDescent="0.25">
      <c r="A41" s="22">
        <v>1051200</v>
      </c>
      <c r="B41" s="23" t="s">
        <v>35</v>
      </c>
      <c r="C41" s="24">
        <v>0</v>
      </c>
      <c r="D41" s="25">
        <v>0</v>
      </c>
      <c r="E41" s="25">
        <v>68704</v>
      </c>
      <c r="F41" s="25">
        <v>6995036</v>
      </c>
      <c r="G41" s="25">
        <v>623182</v>
      </c>
      <c r="H41" s="25">
        <v>651666</v>
      </c>
      <c r="I41" s="25">
        <v>1781490</v>
      </c>
      <c r="J41" s="25">
        <v>91208</v>
      </c>
      <c r="K41" s="26">
        <f t="shared" si="2"/>
        <v>10211286</v>
      </c>
    </row>
    <row r="42" spans="1:11" x14ac:dyDescent="0.25">
      <c r="A42" s="27"/>
      <c r="B42" s="28"/>
      <c r="C42" s="24"/>
      <c r="D42" s="30"/>
      <c r="E42" s="30"/>
      <c r="F42" s="30"/>
      <c r="G42" s="25"/>
      <c r="H42" s="30"/>
      <c r="I42" s="30"/>
      <c r="J42" s="30"/>
      <c r="K42" s="26"/>
    </row>
    <row r="43" spans="1:11" s="35" customFormat="1" ht="31.5" x14ac:dyDescent="0.25">
      <c r="A43" s="22">
        <v>1060000</v>
      </c>
      <c r="B43" s="23" t="s">
        <v>36</v>
      </c>
      <c r="C43" s="24">
        <f>C44</f>
        <v>354440285</v>
      </c>
      <c r="D43" s="24">
        <f t="shared" ref="D43:J43" si="5">D44</f>
        <v>0</v>
      </c>
      <c r="E43" s="24">
        <f t="shared" si="5"/>
        <v>0</v>
      </c>
      <c r="F43" s="24">
        <f t="shared" si="5"/>
        <v>0</v>
      </c>
      <c r="G43" s="24">
        <f t="shared" si="5"/>
        <v>0</v>
      </c>
      <c r="H43" s="24">
        <f t="shared" si="5"/>
        <v>0</v>
      </c>
      <c r="I43" s="24">
        <f t="shared" si="5"/>
        <v>0</v>
      </c>
      <c r="J43" s="24">
        <f t="shared" si="5"/>
        <v>0</v>
      </c>
      <c r="K43" s="26">
        <f t="shared" si="2"/>
        <v>354440285</v>
      </c>
    </row>
    <row r="44" spans="1:11" s="35" customFormat="1" x14ac:dyDescent="0.25">
      <c r="A44" s="22">
        <v>1060400</v>
      </c>
      <c r="B44" s="23" t="s">
        <v>69</v>
      </c>
      <c r="C44" s="24">
        <f>348069020-4799749-10327977+8254720-12227488-2128848-483642-8142134-60603885+1527563-2000000+92302705+5000000</f>
        <v>354440285</v>
      </c>
      <c r="D44" s="24"/>
      <c r="E44" s="24"/>
      <c r="F44" s="24"/>
      <c r="G44" s="24"/>
      <c r="H44" s="24"/>
      <c r="I44" s="24"/>
      <c r="J44" s="24"/>
      <c r="K44" s="26">
        <f t="shared" si="2"/>
        <v>354440285</v>
      </c>
    </row>
    <row r="45" spans="1:11" x14ac:dyDescent="0.25">
      <c r="A45" s="27"/>
      <c r="B45" s="28"/>
      <c r="C45" s="24"/>
      <c r="D45" s="30"/>
      <c r="E45" s="30"/>
      <c r="F45" s="30"/>
      <c r="G45" s="25"/>
      <c r="H45" s="30"/>
      <c r="I45" s="30"/>
      <c r="J45" s="30"/>
      <c r="K45" s="26"/>
    </row>
    <row r="46" spans="1:11" s="35" customFormat="1" x14ac:dyDescent="0.25">
      <c r="A46" s="22">
        <v>1400000</v>
      </c>
      <c r="B46" s="23" t="s">
        <v>37</v>
      </c>
      <c r="C46" s="24">
        <f>SUM(C47:C48)</f>
        <v>33099900</v>
      </c>
      <c r="D46" s="24">
        <f t="shared" ref="D46:J46" si="6">SUM(D47:D48)</f>
        <v>7933735</v>
      </c>
      <c r="E46" s="24">
        <f t="shared" si="6"/>
        <v>14049007</v>
      </c>
      <c r="F46" s="24">
        <f t="shared" si="6"/>
        <v>10942630</v>
      </c>
      <c r="G46" s="24">
        <f t="shared" si="6"/>
        <v>7163536</v>
      </c>
      <c r="H46" s="24">
        <f t="shared" si="6"/>
        <v>9620200</v>
      </c>
      <c r="I46" s="24">
        <f t="shared" si="6"/>
        <v>3794210</v>
      </c>
      <c r="J46" s="24">
        <f t="shared" si="6"/>
        <v>3437143</v>
      </c>
      <c r="K46" s="26">
        <f t="shared" si="2"/>
        <v>90040361</v>
      </c>
    </row>
    <row r="47" spans="1:11" x14ac:dyDescent="0.25">
      <c r="A47" s="27">
        <v>1400100</v>
      </c>
      <c r="B47" s="28" t="s">
        <v>38</v>
      </c>
      <c r="C47" s="29">
        <v>14163554</v>
      </c>
      <c r="D47" s="30">
        <v>366976</v>
      </c>
      <c r="E47" s="30">
        <v>5851265</v>
      </c>
      <c r="F47" s="30">
        <v>5015467</v>
      </c>
      <c r="G47" s="30">
        <v>3811805</v>
      </c>
      <c r="H47" s="30">
        <v>3669550</v>
      </c>
      <c r="I47" s="30">
        <v>1247965</v>
      </c>
      <c r="J47" s="30">
        <v>1350428</v>
      </c>
      <c r="K47" s="31">
        <f t="shared" si="2"/>
        <v>35477010</v>
      </c>
    </row>
    <row r="48" spans="1:11" x14ac:dyDescent="0.25">
      <c r="A48" s="33">
        <v>1400400</v>
      </c>
      <c r="B48" s="34" t="s">
        <v>39</v>
      </c>
      <c r="C48" s="29">
        <f>17109296+1827050</f>
        <v>18936346</v>
      </c>
      <c r="D48" s="30">
        <f>6878503+688256</f>
        <v>7566759</v>
      </c>
      <c r="E48" s="30">
        <f>8152185+45557</f>
        <v>8197742</v>
      </c>
      <c r="F48" s="30">
        <v>5927163</v>
      </c>
      <c r="G48" s="30">
        <v>3351731</v>
      </c>
      <c r="H48" s="30">
        <v>5950650</v>
      </c>
      <c r="I48" s="30">
        <v>2546245</v>
      </c>
      <c r="J48" s="30">
        <v>2086715</v>
      </c>
      <c r="K48" s="31">
        <f t="shared" si="2"/>
        <v>54563351</v>
      </c>
    </row>
    <row r="49" spans="1:11" ht="16.5" thickBot="1" x14ac:dyDescent="0.3">
      <c r="A49" s="36"/>
      <c r="B49" s="37"/>
      <c r="C49" s="38"/>
      <c r="D49" s="39"/>
      <c r="E49" s="39"/>
      <c r="F49" s="39"/>
      <c r="G49" s="40"/>
      <c r="H49" s="39"/>
      <c r="I49" s="39"/>
      <c r="J49" s="39"/>
      <c r="K49" s="41"/>
    </row>
    <row r="50" spans="1:11" s="35" customFormat="1" ht="16.5" thickBot="1" x14ac:dyDescent="0.3">
      <c r="A50" s="13">
        <v>2000000</v>
      </c>
      <c r="B50" s="14" t="s">
        <v>40</v>
      </c>
      <c r="C50" s="42">
        <f>SUM(C51+C59+C62+C64+C66)</f>
        <v>109936849</v>
      </c>
      <c r="D50" s="42">
        <f t="shared" ref="D50:J50" si="7">SUM(D51+D59+D62+D64+D66)</f>
        <v>352512</v>
      </c>
      <c r="E50" s="42">
        <f t="shared" si="7"/>
        <v>14750704</v>
      </c>
      <c r="F50" s="42">
        <f t="shared" si="7"/>
        <v>7095893.9950000001</v>
      </c>
      <c r="G50" s="42">
        <f t="shared" si="7"/>
        <v>3329815</v>
      </c>
      <c r="H50" s="42">
        <f t="shared" si="7"/>
        <v>6452725</v>
      </c>
      <c r="I50" s="42">
        <f t="shared" si="7"/>
        <v>5199714</v>
      </c>
      <c r="J50" s="42">
        <f t="shared" si="7"/>
        <v>4480918</v>
      </c>
      <c r="K50" s="17">
        <f t="shared" si="2"/>
        <v>151599130.995</v>
      </c>
    </row>
    <row r="51" spans="1:11" ht="31.5" x14ac:dyDescent="0.25">
      <c r="A51" s="18">
        <v>2010000</v>
      </c>
      <c r="B51" s="43" t="s">
        <v>41</v>
      </c>
      <c r="C51" s="20">
        <f>24918435+662750+97620</f>
        <v>25678805</v>
      </c>
      <c r="D51" s="44">
        <f>51942+39865</f>
        <v>91807</v>
      </c>
      <c r="E51" s="44">
        <f>2042728+65636</f>
        <v>2108364</v>
      </c>
      <c r="F51" s="44">
        <v>1514532.9950000001</v>
      </c>
      <c r="G51" s="44">
        <f>995407-112500+4308</f>
        <v>887215</v>
      </c>
      <c r="H51" s="44">
        <f>1351574+6854</f>
        <v>1358428</v>
      </c>
      <c r="I51" s="44">
        <f>3483041+61224</f>
        <v>3544265</v>
      </c>
      <c r="J51" s="44">
        <v>2600976</v>
      </c>
      <c r="K51" s="21">
        <f t="shared" si="2"/>
        <v>37784392.995000005</v>
      </c>
    </row>
    <row r="52" spans="1:11" ht="31.5" x14ac:dyDescent="0.25">
      <c r="A52" s="22">
        <v>2010200</v>
      </c>
      <c r="B52" s="23" t="s">
        <v>42</v>
      </c>
      <c r="C52" s="24">
        <f>2131025+97620</f>
        <v>2228645</v>
      </c>
      <c r="D52" s="25">
        <f>46452+39865</f>
        <v>86317</v>
      </c>
      <c r="E52" s="25">
        <f>681269+65636</f>
        <v>746905</v>
      </c>
      <c r="F52" s="25">
        <v>688927</v>
      </c>
      <c r="G52" s="25">
        <f>272365+4308</f>
        <v>276673</v>
      </c>
      <c r="H52" s="25">
        <f>383246+6854</f>
        <v>390100</v>
      </c>
      <c r="I52" s="25">
        <v>516626</v>
      </c>
      <c r="J52" s="25">
        <v>416264</v>
      </c>
      <c r="K52" s="26">
        <f t="shared" si="2"/>
        <v>5350457</v>
      </c>
    </row>
    <row r="53" spans="1:11" ht="31.5" x14ac:dyDescent="0.25">
      <c r="A53" s="22">
        <v>2010300</v>
      </c>
      <c r="B53" s="23" t="s">
        <v>43</v>
      </c>
      <c r="C53" s="24">
        <v>5852315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6">
        <f t="shared" si="2"/>
        <v>5852315</v>
      </c>
    </row>
    <row r="54" spans="1:11" x14ac:dyDescent="0.25">
      <c r="A54" s="22">
        <v>2010400</v>
      </c>
      <c r="B54" s="23" t="s">
        <v>44</v>
      </c>
      <c r="C54" s="24">
        <v>908069</v>
      </c>
      <c r="D54" s="25">
        <v>0</v>
      </c>
      <c r="E54" s="25">
        <v>403338</v>
      </c>
      <c r="F54" s="25">
        <v>722089</v>
      </c>
      <c r="G54" s="25">
        <v>415835</v>
      </c>
      <c r="H54" s="25">
        <v>907267</v>
      </c>
      <c r="I54" s="25">
        <f>2882303+61224</f>
        <v>2943527</v>
      </c>
      <c r="J54" s="25">
        <v>2131270</v>
      </c>
      <c r="K54" s="26">
        <f t="shared" si="2"/>
        <v>8431395</v>
      </c>
    </row>
    <row r="55" spans="1:11" x14ac:dyDescent="0.25">
      <c r="A55" s="22">
        <v>2010500</v>
      </c>
      <c r="B55" s="23" t="s">
        <v>45</v>
      </c>
      <c r="C55" s="24">
        <v>62392</v>
      </c>
      <c r="D55" s="25">
        <v>0</v>
      </c>
      <c r="E55" s="25">
        <v>10221</v>
      </c>
      <c r="F55" s="25">
        <v>20341</v>
      </c>
      <c r="G55" s="25">
        <f>125000-112500</f>
        <v>12500</v>
      </c>
      <c r="H55" s="25">
        <v>9971</v>
      </c>
      <c r="I55" s="25">
        <v>30949</v>
      </c>
      <c r="J55" s="25">
        <v>23362</v>
      </c>
      <c r="K55" s="26">
        <f t="shared" si="2"/>
        <v>169736</v>
      </c>
    </row>
    <row r="56" spans="1:11" ht="16.5" customHeight="1" x14ac:dyDescent="0.25">
      <c r="A56" s="22">
        <v>2010900</v>
      </c>
      <c r="B56" s="23" t="s">
        <v>46</v>
      </c>
      <c r="C56" s="24">
        <v>1416701</v>
      </c>
      <c r="D56" s="25">
        <v>5491</v>
      </c>
      <c r="E56" s="25">
        <v>877721</v>
      </c>
      <c r="F56" s="25">
        <v>39295</v>
      </c>
      <c r="G56" s="25">
        <v>57000</v>
      </c>
      <c r="H56" s="25">
        <v>49495</v>
      </c>
      <c r="I56" s="25">
        <v>53163</v>
      </c>
      <c r="J56" s="25">
        <v>16841</v>
      </c>
      <c r="K56" s="26">
        <f t="shared" si="2"/>
        <v>2515707</v>
      </c>
    </row>
    <row r="57" spans="1:11" x14ac:dyDescent="0.25">
      <c r="A57" s="22">
        <v>2011000</v>
      </c>
      <c r="B57" s="23" t="s">
        <v>47</v>
      </c>
      <c r="C57" s="24">
        <f>13295000+662750</f>
        <v>13957750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6">
        <f t="shared" si="2"/>
        <v>13957750</v>
      </c>
    </row>
    <row r="58" spans="1:11" x14ac:dyDescent="0.25">
      <c r="A58" s="22"/>
      <c r="B58" s="23"/>
      <c r="C58" s="24"/>
      <c r="D58" s="25"/>
      <c r="E58" s="25"/>
      <c r="F58" s="25">
        <v>0</v>
      </c>
      <c r="G58" s="25"/>
      <c r="H58" s="25"/>
      <c r="I58" s="25"/>
      <c r="J58" s="25"/>
      <c r="K58" s="26"/>
    </row>
    <row r="59" spans="1:11" ht="31.5" x14ac:dyDescent="0.25">
      <c r="A59" s="22">
        <v>2020000</v>
      </c>
      <c r="B59" s="23" t="s">
        <v>48</v>
      </c>
      <c r="C59" s="24">
        <f>54894714+6000000+3779405+5300000-3651119</f>
        <v>66323000</v>
      </c>
      <c r="D59" s="25">
        <v>57012</v>
      </c>
      <c r="E59" s="25">
        <v>1684529</v>
      </c>
      <c r="F59" s="25">
        <v>2062272</v>
      </c>
      <c r="G59" s="25">
        <v>108397</v>
      </c>
      <c r="H59" s="25">
        <v>84503</v>
      </c>
      <c r="I59" s="25">
        <v>58437</v>
      </c>
      <c r="J59" s="25">
        <f>58374+415362+358708</f>
        <v>832444</v>
      </c>
      <c r="K59" s="26">
        <f t="shared" si="2"/>
        <v>71210594</v>
      </c>
    </row>
    <row r="60" spans="1:11" ht="31.5" x14ac:dyDescent="0.25">
      <c r="A60" s="27">
        <v>2020100</v>
      </c>
      <c r="B60" s="28" t="s">
        <v>49</v>
      </c>
      <c r="C60" s="29">
        <f>33050000+6000000+3000000+5300000+35119</f>
        <v>47385119</v>
      </c>
      <c r="D60" s="30">
        <v>53138</v>
      </c>
      <c r="E60" s="30">
        <v>1500000</v>
      </c>
      <c r="F60" s="30">
        <v>2000000</v>
      </c>
      <c r="G60" s="30">
        <v>80000</v>
      </c>
      <c r="H60" s="30">
        <v>50000</v>
      </c>
      <c r="I60" s="30">
        <v>0</v>
      </c>
      <c r="J60" s="30">
        <f>44836+415362+358708</f>
        <v>818906</v>
      </c>
      <c r="K60" s="31">
        <f t="shared" si="2"/>
        <v>51887163</v>
      </c>
    </row>
    <row r="61" spans="1:11" x14ac:dyDescent="0.25">
      <c r="A61" s="27"/>
      <c r="B61" s="28"/>
      <c r="C61" s="24"/>
      <c r="D61" s="30"/>
      <c r="E61" s="30"/>
      <c r="F61" s="30"/>
      <c r="G61" s="25"/>
      <c r="H61" s="30"/>
      <c r="I61" s="30"/>
      <c r="J61" s="30"/>
      <c r="K61" s="26"/>
    </row>
    <row r="62" spans="1:11" x14ac:dyDescent="0.25">
      <c r="A62" s="22">
        <v>2060000</v>
      </c>
      <c r="B62" s="23" t="s">
        <v>50</v>
      </c>
      <c r="C62" s="24">
        <f>5122812+290163</f>
        <v>5412975</v>
      </c>
      <c r="D62" s="25">
        <f>139112+8991</f>
        <v>148103</v>
      </c>
      <c r="E62" s="25">
        <f>1454677+222500</f>
        <v>1677177</v>
      </c>
      <c r="F62" s="25">
        <v>689409</v>
      </c>
      <c r="G62" s="25">
        <v>532521</v>
      </c>
      <c r="H62" s="25">
        <f>592938+2372631</f>
        <v>2965569</v>
      </c>
      <c r="I62" s="25">
        <v>264460</v>
      </c>
      <c r="J62" s="25">
        <v>275242</v>
      </c>
      <c r="K62" s="26">
        <f t="shared" si="2"/>
        <v>11965456</v>
      </c>
    </row>
    <row r="63" spans="1:11" x14ac:dyDescent="0.25">
      <c r="A63" s="27"/>
      <c r="B63" s="28"/>
      <c r="C63" s="24"/>
      <c r="D63" s="30"/>
      <c r="E63" s="30"/>
      <c r="F63" s="30">
        <v>0</v>
      </c>
      <c r="G63" s="25"/>
      <c r="H63" s="30"/>
      <c r="I63" s="30">
        <v>0</v>
      </c>
      <c r="J63" s="30"/>
      <c r="K63" s="26"/>
    </row>
    <row r="64" spans="1:11" x14ac:dyDescent="0.25">
      <c r="A64" s="22">
        <v>2070000</v>
      </c>
      <c r="B64" s="23" t="s">
        <v>51</v>
      </c>
      <c r="C64" s="24">
        <v>12522069</v>
      </c>
      <c r="D64" s="25">
        <v>55590</v>
      </c>
      <c r="E64" s="25">
        <f>9180021+100613</f>
        <v>9280634</v>
      </c>
      <c r="F64" s="25">
        <v>2829680</v>
      </c>
      <c r="G64" s="25">
        <v>1801682</v>
      </c>
      <c r="H64" s="25">
        <v>2044225</v>
      </c>
      <c r="I64" s="25">
        <v>1332552</v>
      </c>
      <c r="J64" s="25">
        <v>772256</v>
      </c>
      <c r="K64" s="26">
        <f t="shared" si="2"/>
        <v>30638688</v>
      </c>
    </row>
    <row r="65" spans="1:11" x14ac:dyDescent="0.25">
      <c r="A65" s="27"/>
      <c r="B65" s="28"/>
      <c r="C65" s="24"/>
      <c r="D65" s="25"/>
      <c r="E65" s="25"/>
      <c r="F65" s="25"/>
      <c r="G65" s="25"/>
      <c r="H65" s="25"/>
      <c r="I65" s="25"/>
      <c r="J65" s="25"/>
      <c r="K65" s="26"/>
    </row>
    <row r="66" spans="1:11" x14ac:dyDescent="0.25">
      <c r="A66" s="22">
        <v>2090000</v>
      </c>
      <c r="B66" s="23" t="s">
        <v>52</v>
      </c>
      <c r="C66" s="24">
        <v>0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6">
        <f t="shared" si="2"/>
        <v>0</v>
      </c>
    </row>
    <row r="67" spans="1:11" ht="16.5" thickBot="1" x14ac:dyDescent="0.3">
      <c r="A67" s="45"/>
      <c r="B67" s="46"/>
      <c r="C67" s="38"/>
      <c r="D67" s="40"/>
      <c r="E67" s="40"/>
      <c r="F67" s="40"/>
      <c r="G67" s="40"/>
      <c r="H67" s="40"/>
      <c r="I67" s="40"/>
      <c r="J67" s="40"/>
      <c r="K67" s="47">
        <f t="shared" si="2"/>
        <v>0</v>
      </c>
    </row>
    <row r="68" spans="1:11" s="58" customFormat="1" ht="16.5" thickBot="1" x14ac:dyDescent="0.3">
      <c r="A68" s="66">
        <v>3000000</v>
      </c>
      <c r="B68" s="67" t="s">
        <v>73</v>
      </c>
      <c r="C68" s="75">
        <f t="shared" ref="C68:J68" si="8">SUM(C69:C72)</f>
        <v>66037790</v>
      </c>
      <c r="D68" s="75">
        <f t="shared" si="8"/>
        <v>0</v>
      </c>
      <c r="E68" s="75">
        <f t="shared" si="8"/>
        <v>0</v>
      </c>
      <c r="F68" s="75">
        <f t="shared" si="8"/>
        <v>0</v>
      </c>
      <c r="G68" s="75">
        <f t="shared" si="8"/>
        <v>0</v>
      </c>
      <c r="H68" s="75">
        <f t="shared" si="8"/>
        <v>0</v>
      </c>
      <c r="I68" s="75">
        <f t="shared" si="8"/>
        <v>0</v>
      </c>
      <c r="J68" s="75">
        <f t="shared" si="8"/>
        <v>0</v>
      </c>
      <c r="K68" s="76">
        <f>SUM(C68:J68)</f>
        <v>66037790</v>
      </c>
    </row>
    <row r="69" spans="1:11" s="58" customFormat="1" x14ac:dyDescent="0.25">
      <c r="A69" s="62">
        <v>3010000</v>
      </c>
      <c r="B69" s="59" t="s">
        <v>76</v>
      </c>
      <c r="C69" s="72">
        <f>0+21245763+4594200</f>
        <v>25839963</v>
      </c>
      <c r="D69" s="72">
        <v>0</v>
      </c>
      <c r="E69" s="72">
        <v>0</v>
      </c>
      <c r="F69" s="72">
        <v>0</v>
      </c>
      <c r="G69" s="72">
        <v>0</v>
      </c>
      <c r="H69" s="72">
        <v>0</v>
      </c>
      <c r="I69" s="72">
        <v>0</v>
      </c>
      <c r="J69" s="72">
        <v>0</v>
      </c>
      <c r="K69" s="71">
        <f>SUM(C69:J69)</f>
        <v>25839963</v>
      </c>
    </row>
    <row r="70" spans="1:11" s="58" customFormat="1" ht="31.5" x14ac:dyDescent="0.25">
      <c r="A70" s="68" t="s">
        <v>74</v>
      </c>
      <c r="B70" s="69" t="s">
        <v>75</v>
      </c>
      <c r="C70" s="73">
        <f>0+7086783</f>
        <v>7086783</v>
      </c>
      <c r="D70" s="73"/>
      <c r="E70" s="73"/>
      <c r="F70" s="73"/>
      <c r="G70" s="73"/>
      <c r="H70" s="73"/>
      <c r="I70" s="73"/>
      <c r="J70" s="73"/>
      <c r="K70" s="31">
        <f t="shared" si="2"/>
        <v>7086783</v>
      </c>
    </row>
    <row r="71" spans="1:11" s="58" customFormat="1" x14ac:dyDescent="0.25">
      <c r="A71" s="70">
        <v>3060000</v>
      </c>
      <c r="B71" s="65" t="s">
        <v>77</v>
      </c>
      <c r="C71" s="74">
        <f>0+93044+33018000</f>
        <v>33111044</v>
      </c>
      <c r="D71" s="74"/>
      <c r="E71" s="74"/>
      <c r="F71" s="74"/>
      <c r="G71" s="74"/>
      <c r="H71" s="74"/>
      <c r="I71" s="74"/>
      <c r="J71" s="74"/>
      <c r="K71" s="31">
        <f t="shared" si="2"/>
        <v>33111044</v>
      </c>
    </row>
    <row r="72" spans="1:11" ht="16.5" thickBot="1" x14ac:dyDescent="0.3">
      <c r="A72" s="63"/>
      <c r="B72" s="60"/>
      <c r="C72" s="61"/>
      <c r="D72" s="61"/>
      <c r="E72" s="61"/>
      <c r="F72" s="61"/>
      <c r="G72" s="61"/>
      <c r="H72" s="61"/>
      <c r="I72" s="61"/>
      <c r="J72" s="61"/>
      <c r="K72" s="64">
        <f>SUM(C72:J72)</f>
        <v>0</v>
      </c>
    </row>
    <row r="73" spans="1:11" ht="16.5" thickBot="1" x14ac:dyDescent="0.3">
      <c r="A73" s="13">
        <v>4000000</v>
      </c>
      <c r="B73" s="14" t="s">
        <v>53</v>
      </c>
      <c r="C73" s="42">
        <f>C74+C77+C81+C83+C85+C87+C89+C91</f>
        <v>557411557</v>
      </c>
      <c r="D73" s="42">
        <f t="shared" ref="D73:J73" si="9">D74+D77+D81+D83+D85+D87+D89+D91</f>
        <v>21282261</v>
      </c>
      <c r="E73" s="42">
        <f t="shared" si="9"/>
        <v>25069666</v>
      </c>
      <c r="F73" s="42">
        <f t="shared" si="9"/>
        <v>35366591</v>
      </c>
      <c r="G73" s="42">
        <f t="shared" si="9"/>
        <v>15158206</v>
      </c>
      <c r="H73" s="42">
        <f t="shared" si="9"/>
        <v>25037396</v>
      </c>
      <c r="I73" s="42">
        <f t="shared" si="9"/>
        <v>18604332</v>
      </c>
      <c r="J73" s="42">
        <f t="shared" si="9"/>
        <v>7363394</v>
      </c>
      <c r="K73" s="17">
        <f t="shared" si="2"/>
        <v>705293403</v>
      </c>
    </row>
    <row r="74" spans="1:11" x14ac:dyDescent="0.25">
      <c r="A74" s="18">
        <v>4010000</v>
      </c>
      <c r="B74" s="43" t="s">
        <v>54</v>
      </c>
      <c r="C74" s="20">
        <f>122917412+380000+993480+483642+20826564</f>
        <v>145601098</v>
      </c>
      <c r="D74" s="44">
        <f>13803564+1686000</f>
        <v>15489564</v>
      </c>
      <c r="E74" s="44">
        <f>15239585+43218</f>
        <v>15282803</v>
      </c>
      <c r="F74" s="44">
        <f>11623510+15797</f>
        <v>11639307</v>
      </c>
      <c r="G74" s="44">
        <v>6082795</v>
      </c>
      <c r="H74" s="44">
        <f>3128590-10225</f>
        <v>3118365</v>
      </c>
      <c r="I74" s="44">
        <v>1078860</v>
      </c>
      <c r="J74" s="44">
        <v>931353</v>
      </c>
      <c r="K74" s="21">
        <f t="shared" si="2"/>
        <v>199224145</v>
      </c>
    </row>
    <row r="75" spans="1:11" x14ac:dyDescent="0.25">
      <c r="A75" s="27">
        <v>4010104</v>
      </c>
      <c r="B75" s="28" t="s">
        <v>55</v>
      </c>
      <c r="C75" s="29">
        <f>47232122-125346</f>
        <v>47106776</v>
      </c>
      <c r="D75" s="30">
        <f>13513004+1686000</f>
        <v>15199004</v>
      </c>
      <c r="E75" s="30">
        <f>7403153+43218</f>
        <v>7446371</v>
      </c>
      <c r="F75" s="30">
        <f>3261494+15797</f>
        <v>3277291</v>
      </c>
      <c r="G75" s="30">
        <v>1302289</v>
      </c>
      <c r="H75" s="30">
        <f>2114978-10225</f>
        <v>2104753</v>
      </c>
      <c r="I75" s="30">
        <v>718444</v>
      </c>
      <c r="J75" s="30">
        <v>325090</v>
      </c>
      <c r="K75" s="31">
        <f t="shared" si="2"/>
        <v>77480018</v>
      </c>
    </row>
    <row r="76" spans="1:11" x14ac:dyDescent="0.25">
      <c r="A76" s="27"/>
      <c r="B76" s="28"/>
      <c r="C76" s="24"/>
      <c r="D76" s="30"/>
      <c r="E76" s="30"/>
      <c r="F76" s="30">
        <v>0</v>
      </c>
      <c r="G76" s="25"/>
      <c r="H76" s="30">
        <v>0</v>
      </c>
      <c r="I76" s="30">
        <v>0</v>
      </c>
      <c r="J76" s="30"/>
      <c r="K76" s="26">
        <f t="shared" si="2"/>
        <v>0</v>
      </c>
    </row>
    <row r="77" spans="1:11" x14ac:dyDescent="0.25">
      <c r="A77" s="22">
        <v>4020000</v>
      </c>
      <c r="B77" s="23" t="s">
        <v>56</v>
      </c>
      <c r="C77" s="24">
        <f>SUM(C78:C79)</f>
        <v>7169283</v>
      </c>
      <c r="D77" s="24">
        <f t="shared" ref="D77:J77" si="10">SUM(D78:D79)</f>
        <v>3003944</v>
      </c>
      <c r="E77" s="24">
        <f t="shared" si="10"/>
        <v>2205038</v>
      </c>
      <c r="F77" s="24">
        <f t="shared" si="10"/>
        <v>3420950</v>
      </c>
      <c r="G77" s="24">
        <f t="shared" si="10"/>
        <v>986804</v>
      </c>
      <c r="H77" s="24">
        <f t="shared" si="10"/>
        <v>2910697</v>
      </c>
      <c r="I77" s="24">
        <f t="shared" si="10"/>
        <v>793026</v>
      </c>
      <c r="J77" s="24">
        <f t="shared" si="10"/>
        <v>567157</v>
      </c>
      <c r="K77" s="26">
        <f t="shared" si="2"/>
        <v>21056899</v>
      </c>
    </row>
    <row r="78" spans="1:11" x14ac:dyDescent="0.25">
      <c r="A78" s="27">
        <v>4020100</v>
      </c>
      <c r="B78" s="28" t="s">
        <v>57</v>
      </c>
      <c r="C78" s="29">
        <v>2103291</v>
      </c>
      <c r="D78" s="30">
        <v>919121</v>
      </c>
      <c r="E78" s="30">
        <v>560814</v>
      </c>
      <c r="F78" s="30">
        <v>367923</v>
      </c>
      <c r="G78" s="30">
        <v>327344</v>
      </c>
      <c r="H78" s="30">
        <v>1040483</v>
      </c>
      <c r="I78" s="30">
        <v>250820</v>
      </c>
      <c r="J78" s="30">
        <v>150366</v>
      </c>
      <c r="K78" s="31">
        <f t="shared" si="2"/>
        <v>5720162</v>
      </c>
    </row>
    <row r="79" spans="1:11" x14ac:dyDescent="0.25">
      <c r="A79" s="27">
        <v>4020200</v>
      </c>
      <c r="B79" s="28" t="s">
        <v>58</v>
      </c>
      <c r="C79" s="29">
        <f>4662929+403063</f>
        <v>5065992</v>
      </c>
      <c r="D79" s="30">
        <v>2084823</v>
      </c>
      <c r="E79" s="30">
        <v>1644224</v>
      </c>
      <c r="F79" s="30">
        <v>3053027</v>
      </c>
      <c r="G79" s="30">
        <v>659460</v>
      </c>
      <c r="H79" s="30">
        <v>1870214</v>
      </c>
      <c r="I79" s="30">
        <v>542206</v>
      </c>
      <c r="J79" s="30">
        <v>416791</v>
      </c>
      <c r="K79" s="31">
        <f t="shared" ref="K79:K94" si="11">SUM(C79:J79)</f>
        <v>15336737</v>
      </c>
    </row>
    <row r="80" spans="1:11" x14ac:dyDescent="0.25">
      <c r="A80" s="22"/>
      <c r="B80" s="23"/>
      <c r="C80" s="24"/>
      <c r="D80" s="30"/>
      <c r="E80" s="30"/>
      <c r="F80" s="30">
        <v>0</v>
      </c>
      <c r="G80" s="25"/>
      <c r="H80" s="30">
        <v>0</v>
      </c>
      <c r="I80" s="30">
        <v>0</v>
      </c>
      <c r="J80" s="30"/>
      <c r="K80" s="26">
        <f t="shared" si="11"/>
        <v>0</v>
      </c>
    </row>
    <row r="81" spans="1:11" ht="47.25" x14ac:dyDescent="0.25">
      <c r="A81" s="22">
        <v>4080000</v>
      </c>
      <c r="B81" s="23" t="s">
        <v>59</v>
      </c>
      <c r="C81" s="24">
        <v>519248</v>
      </c>
      <c r="D81" s="25">
        <v>0</v>
      </c>
      <c r="E81" s="25">
        <v>636894</v>
      </c>
      <c r="F81" s="25">
        <v>11657740</v>
      </c>
      <c r="G81" s="25">
        <v>5234178</v>
      </c>
      <c r="H81" s="25">
        <v>13517479</v>
      </c>
      <c r="I81" s="25">
        <v>12521634</v>
      </c>
      <c r="J81" s="25">
        <v>3874977</v>
      </c>
      <c r="K81" s="26">
        <f t="shared" si="11"/>
        <v>47962150</v>
      </c>
    </row>
    <row r="82" spans="1:11" x14ac:dyDescent="0.25">
      <c r="A82" s="22"/>
      <c r="B82" s="23"/>
      <c r="C82" s="24"/>
      <c r="D82" s="25"/>
      <c r="E82" s="25"/>
      <c r="F82" s="25"/>
      <c r="G82" s="25"/>
      <c r="H82" s="25"/>
      <c r="I82" s="25"/>
      <c r="J82" s="25"/>
      <c r="K82" s="26"/>
    </row>
    <row r="83" spans="1:11" x14ac:dyDescent="0.25">
      <c r="A83" s="22">
        <v>4100000</v>
      </c>
      <c r="B83" s="23" t="s">
        <v>60</v>
      </c>
      <c r="C83" s="24">
        <f>202239581+4799749+10327977-380000-12589119+23155241+8142134+60603885-1527563+29115442-5000000</f>
        <v>318887327</v>
      </c>
      <c r="D83" s="25">
        <v>2788753</v>
      </c>
      <c r="E83" s="25">
        <v>6785836</v>
      </c>
      <c r="F83" s="25">
        <v>5887622</v>
      </c>
      <c r="G83" s="25">
        <v>1648730</v>
      </c>
      <c r="H83" s="25">
        <v>2492040</v>
      </c>
      <c r="I83" s="25">
        <v>1439463</v>
      </c>
      <c r="J83" s="25">
        <v>873782</v>
      </c>
      <c r="K83" s="26">
        <f t="shared" si="11"/>
        <v>340803553</v>
      </c>
    </row>
    <row r="84" spans="1:11" x14ac:dyDescent="0.25">
      <c r="A84" s="22"/>
      <c r="B84" s="23"/>
      <c r="C84" s="24"/>
      <c r="D84" s="25"/>
      <c r="E84" s="25"/>
      <c r="F84" s="25"/>
      <c r="G84" s="25"/>
      <c r="H84" s="25"/>
      <c r="I84" s="25"/>
      <c r="J84" s="25"/>
      <c r="K84" s="26">
        <f t="shared" si="11"/>
        <v>0</v>
      </c>
    </row>
    <row r="85" spans="1:11" x14ac:dyDescent="0.25">
      <c r="A85" s="22">
        <v>4110000</v>
      </c>
      <c r="B85" s="23" t="s">
        <v>61</v>
      </c>
      <c r="C85" s="24">
        <f>5026949+4334399+2252311+2179285</f>
        <v>13792944</v>
      </c>
      <c r="D85" s="25"/>
      <c r="E85" s="25"/>
      <c r="F85" s="25"/>
      <c r="G85" s="25"/>
      <c r="H85" s="25"/>
      <c r="I85" s="25"/>
      <c r="J85" s="25"/>
      <c r="K85" s="26">
        <f t="shared" si="11"/>
        <v>13792944</v>
      </c>
    </row>
    <row r="86" spans="1:11" x14ac:dyDescent="0.25">
      <c r="A86" s="22"/>
      <c r="B86" s="23"/>
      <c r="C86" s="24"/>
      <c r="D86" s="25"/>
      <c r="E86" s="25"/>
      <c r="F86" s="25"/>
      <c r="G86" s="25"/>
      <c r="H86" s="25"/>
      <c r="I86" s="25"/>
      <c r="J86" s="25"/>
      <c r="K86" s="26">
        <f t="shared" si="11"/>
        <v>0</v>
      </c>
    </row>
    <row r="87" spans="1:11" x14ac:dyDescent="0.25">
      <c r="A87" s="22">
        <v>4120000</v>
      </c>
      <c r="B87" s="23" t="s">
        <v>62</v>
      </c>
      <c r="C87" s="24">
        <f>12000000+2793552</f>
        <v>14793552</v>
      </c>
      <c r="D87" s="25"/>
      <c r="E87" s="25"/>
      <c r="F87" s="25"/>
      <c r="G87" s="25"/>
      <c r="H87" s="25"/>
      <c r="I87" s="25"/>
      <c r="J87" s="25"/>
      <c r="K87" s="26">
        <f t="shared" si="11"/>
        <v>14793552</v>
      </c>
    </row>
    <row r="88" spans="1:11" x14ac:dyDescent="0.25">
      <c r="A88" s="22"/>
      <c r="B88" s="23"/>
      <c r="C88" s="24"/>
      <c r="D88" s="25"/>
      <c r="E88" s="25"/>
      <c r="F88" s="25"/>
      <c r="G88" s="25"/>
      <c r="H88" s="25"/>
      <c r="I88" s="25"/>
      <c r="J88" s="25"/>
      <c r="K88" s="26">
        <f t="shared" si="11"/>
        <v>0</v>
      </c>
    </row>
    <row r="89" spans="1:11" x14ac:dyDescent="0.25">
      <c r="A89" s="22">
        <v>4130000</v>
      </c>
      <c r="B89" s="23" t="s">
        <v>68</v>
      </c>
      <c r="C89" s="24">
        <f>20500000+2000000+5237910</f>
        <v>27737910</v>
      </c>
      <c r="D89" s="25"/>
      <c r="E89" s="25"/>
      <c r="F89" s="25"/>
      <c r="G89" s="25"/>
      <c r="H89" s="25"/>
      <c r="I89" s="25"/>
      <c r="J89" s="25"/>
      <c r="K89" s="26">
        <f t="shared" si="11"/>
        <v>27737910</v>
      </c>
    </row>
    <row r="90" spans="1:11" x14ac:dyDescent="0.25">
      <c r="A90" s="45"/>
      <c r="B90" s="46"/>
      <c r="C90" s="38"/>
      <c r="D90" s="40"/>
      <c r="E90" s="40"/>
      <c r="F90" s="40"/>
      <c r="G90" s="40"/>
      <c r="H90" s="40"/>
      <c r="I90" s="40"/>
      <c r="J90" s="40"/>
      <c r="K90" s="47"/>
    </row>
    <row r="91" spans="1:11" x14ac:dyDescent="0.25">
      <c r="A91" s="22">
        <v>4140000</v>
      </c>
      <c r="B91" s="23" t="s">
        <v>67</v>
      </c>
      <c r="C91" s="24">
        <f>32352240+2128848-11012055+5441162</f>
        <v>28910195</v>
      </c>
      <c r="D91" s="25"/>
      <c r="E91" s="25">
        <f>0+159095</f>
        <v>159095</v>
      </c>
      <c r="F91" s="25">
        <f>0+2760972</f>
        <v>2760972</v>
      </c>
      <c r="G91" s="25">
        <f>0+1205699</f>
        <v>1205699</v>
      </c>
      <c r="H91" s="25">
        <f>0+2998815</f>
        <v>2998815</v>
      </c>
      <c r="I91" s="25">
        <f>0+2771349</f>
        <v>2771349</v>
      </c>
      <c r="J91" s="25">
        <f>0+1116125</f>
        <v>1116125</v>
      </c>
      <c r="K91" s="26">
        <f t="shared" ref="K91" si="12">SUM(C91:J91)</f>
        <v>39922250</v>
      </c>
    </row>
    <row r="92" spans="1:11" ht="16.5" thickBot="1" x14ac:dyDescent="0.3">
      <c r="A92" s="45"/>
      <c r="B92" s="46"/>
      <c r="C92" s="38"/>
      <c r="D92" s="40"/>
      <c r="E92" s="40"/>
      <c r="F92" s="40"/>
      <c r="G92" s="40"/>
      <c r="H92" s="40"/>
      <c r="I92" s="40"/>
      <c r="J92" s="40"/>
      <c r="K92" s="47">
        <f t="shared" si="11"/>
        <v>0</v>
      </c>
    </row>
    <row r="93" spans="1:11" ht="32.25" thickBot="1" x14ac:dyDescent="0.3">
      <c r="A93" s="13">
        <v>5000000</v>
      </c>
      <c r="B93" s="49" t="s">
        <v>63</v>
      </c>
      <c r="C93" s="42">
        <f>179049991+930847-5486353</f>
        <v>174494485</v>
      </c>
      <c r="D93" s="48">
        <f>6849151+712232</f>
        <v>7561383</v>
      </c>
      <c r="E93" s="48">
        <f>61728125+124139-15256</f>
        <v>61837008</v>
      </c>
      <c r="F93" s="48">
        <f>29481853+210000</f>
        <v>29691853</v>
      </c>
      <c r="G93" s="48">
        <f>12750844+54264+60625</f>
        <v>12865733</v>
      </c>
      <c r="H93" s="48">
        <f>12792769+66250+8892</f>
        <v>12867911</v>
      </c>
      <c r="I93" s="48">
        <f>11553506+155000-61224</f>
        <v>11647282</v>
      </c>
      <c r="J93" s="48">
        <f>6088924+37500</f>
        <v>6126424</v>
      </c>
      <c r="K93" s="17">
        <f t="shared" si="11"/>
        <v>317092079</v>
      </c>
    </row>
    <row r="94" spans="1:11" ht="16.5" thickBot="1" x14ac:dyDescent="0.3">
      <c r="A94" s="50"/>
      <c r="B94" s="51" t="s">
        <v>72</v>
      </c>
      <c r="C94" s="52">
        <f t="shared" ref="C94:J94" si="13">C14+C50+C73+C93+C68</f>
        <v>1991072711</v>
      </c>
      <c r="D94" s="52">
        <f t="shared" si="13"/>
        <v>254692879</v>
      </c>
      <c r="E94" s="52">
        <f t="shared" si="13"/>
        <v>362286156</v>
      </c>
      <c r="F94" s="52">
        <f t="shared" si="13"/>
        <v>290825682.995</v>
      </c>
      <c r="G94" s="52">
        <f t="shared" si="13"/>
        <v>134642706</v>
      </c>
      <c r="H94" s="52">
        <f t="shared" si="13"/>
        <v>183252901</v>
      </c>
      <c r="I94" s="52">
        <f t="shared" si="13"/>
        <v>102922900</v>
      </c>
      <c r="J94" s="52">
        <f t="shared" si="13"/>
        <v>54729177</v>
      </c>
      <c r="K94" s="53">
        <f t="shared" si="11"/>
        <v>3374425112.9949999</v>
      </c>
    </row>
    <row r="98" spans="1:11" x14ac:dyDescent="0.25">
      <c r="A98" s="54"/>
      <c r="B98" s="55"/>
      <c r="C98" s="56"/>
      <c r="D98" s="56"/>
      <c r="E98" s="56"/>
      <c r="F98" s="56"/>
      <c r="G98" s="56"/>
      <c r="H98" s="56"/>
      <c r="I98" s="56"/>
      <c r="J98" s="56"/>
      <c r="K98" s="57"/>
    </row>
    <row r="99" spans="1:11" x14ac:dyDescent="0.25">
      <c r="A99" s="54"/>
      <c r="B99" s="55"/>
      <c r="C99" s="56"/>
      <c r="D99" s="56"/>
      <c r="E99" s="56"/>
      <c r="F99" s="56"/>
      <c r="G99" s="56"/>
      <c r="H99" s="56"/>
      <c r="I99" s="56"/>
      <c r="J99" s="56"/>
      <c r="K99" s="57"/>
    </row>
    <row r="102" spans="1:11" x14ac:dyDescent="0.25">
      <c r="A102" s="54"/>
      <c r="B102" s="55"/>
      <c r="C102" s="56"/>
      <c r="D102" s="56"/>
      <c r="E102" s="56"/>
      <c r="F102" s="56"/>
      <c r="G102" s="56"/>
      <c r="H102" s="56"/>
      <c r="I102" s="56"/>
      <c r="J102" s="56"/>
      <c r="K102" s="57"/>
    </row>
    <row r="141" spans="1:11" x14ac:dyDescent="0.25">
      <c r="A141" s="54"/>
      <c r="B141" s="55"/>
      <c r="C141" s="56"/>
      <c r="D141" s="56"/>
      <c r="E141" s="56"/>
      <c r="F141" s="56"/>
      <c r="G141" s="56"/>
      <c r="H141" s="56"/>
      <c r="I141" s="56"/>
      <c r="J141" s="56"/>
      <c r="K141" s="57"/>
    </row>
    <row r="155" spans="1:11" x14ac:dyDescent="0.25">
      <c r="A155" s="54"/>
      <c r="B155" s="55"/>
      <c r="C155" s="56"/>
      <c r="D155" s="56"/>
      <c r="E155" s="56"/>
      <c r="F155" s="56"/>
      <c r="G155" s="56"/>
      <c r="H155" s="56"/>
      <c r="I155" s="56"/>
      <c r="J155" s="56"/>
      <c r="K155" s="57"/>
    </row>
    <row r="164" spans="1:11" x14ac:dyDescent="0.25">
      <c r="A164" s="54"/>
      <c r="B164" s="55"/>
      <c r="C164" s="56"/>
      <c r="D164" s="56"/>
      <c r="E164" s="56"/>
      <c r="F164" s="56"/>
      <c r="G164" s="56"/>
      <c r="H164" s="56"/>
      <c r="I164" s="56"/>
      <c r="J164" s="56"/>
      <c r="K164" s="57"/>
    </row>
    <row r="165" spans="1:11" x14ac:dyDescent="0.25">
      <c r="A165" s="54"/>
      <c r="B165" s="55"/>
      <c r="C165" s="56"/>
      <c r="D165" s="56"/>
      <c r="E165" s="56"/>
      <c r="F165" s="56"/>
      <c r="G165" s="56"/>
      <c r="H165" s="56"/>
      <c r="I165" s="56"/>
      <c r="J165" s="56"/>
      <c r="K165" s="57"/>
    </row>
    <row r="166" spans="1:11" x14ac:dyDescent="0.25">
      <c r="A166" s="54"/>
      <c r="B166" s="55"/>
      <c r="C166" s="56"/>
      <c r="D166" s="56"/>
      <c r="E166" s="56"/>
      <c r="F166" s="56"/>
      <c r="G166" s="56"/>
      <c r="H166" s="56"/>
      <c r="I166" s="56"/>
      <c r="J166" s="56"/>
      <c r="K166" s="57"/>
    </row>
    <row r="200" spans="1:11" x14ac:dyDescent="0.25">
      <c r="A200" s="54"/>
      <c r="B200" s="55"/>
      <c r="C200" s="56"/>
      <c r="D200" s="56"/>
      <c r="E200" s="56"/>
      <c r="F200" s="56"/>
      <c r="G200" s="56"/>
      <c r="H200" s="56"/>
      <c r="I200" s="56"/>
      <c r="J200" s="56"/>
      <c r="K200" s="57"/>
    </row>
    <row r="223" spans="2:11" x14ac:dyDescent="0.25">
      <c r="B223" s="55"/>
      <c r="C223" s="56"/>
      <c r="D223" s="56"/>
      <c r="E223" s="56"/>
      <c r="F223" s="56"/>
      <c r="G223" s="56"/>
      <c r="H223" s="56"/>
      <c r="I223" s="56"/>
      <c r="J223" s="56"/>
      <c r="K223" s="57"/>
    </row>
    <row r="224" spans="2:11" x14ac:dyDescent="0.25">
      <c r="B224" s="55"/>
      <c r="C224" s="56"/>
      <c r="D224" s="56"/>
      <c r="E224" s="56"/>
      <c r="F224" s="56"/>
      <c r="G224" s="56"/>
      <c r="H224" s="56"/>
      <c r="I224" s="56"/>
      <c r="J224" s="56"/>
      <c r="K224" s="57"/>
    </row>
    <row r="248" spans="2:11" x14ac:dyDescent="0.25">
      <c r="B248" s="55"/>
      <c r="C248" s="56"/>
      <c r="D248" s="56"/>
      <c r="E248" s="56"/>
      <c r="F248" s="56"/>
      <c r="G248" s="56"/>
      <c r="H248" s="56"/>
      <c r="I248" s="56"/>
      <c r="J248" s="56"/>
      <c r="K248" s="57"/>
    </row>
    <row r="249" spans="2:11" x14ac:dyDescent="0.25">
      <c r="B249" s="55"/>
      <c r="C249" s="56"/>
      <c r="D249" s="56"/>
      <c r="E249" s="56"/>
      <c r="F249" s="56"/>
      <c r="G249" s="56"/>
      <c r="H249" s="56"/>
      <c r="I249" s="56"/>
      <c r="J249" s="56"/>
      <c r="K249" s="57"/>
    </row>
    <row r="250" spans="2:11" x14ac:dyDescent="0.25">
      <c r="B250" s="55"/>
      <c r="C250" s="56"/>
      <c r="D250" s="56"/>
      <c r="E250" s="56"/>
      <c r="F250" s="56"/>
      <c r="G250" s="56"/>
      <c r="H250" s="56"/>
      <c r="I250" s="56"/>
      <c r="J250" s="56"/>
      <c r="K250" s="57"/>
    </row>
    <row r="251" spans="2:11" x14ac:dyDescent="0.25">
      <c r="B251" s="55"/>
      <c r="C251" s="56"/>
      <c r="D251" s="56"/>
      <c r="E251" s="56"/>
      <c r="F251" s="56"/>
      <c r="G251" s="56"/>
      <c r="H251" s="56"/>
      <c r="I251" s="56"/>
      <c r="J251" s="56"/>
      <c r="K251" s="57"/>
    </row>
    <row r="257" spans="1:11" x14ac:dyDescent="0.25">
      <c r="A257" s="54"/>
      <c r="B257" s="55"/>
      <c r="C257" s="56"/>
      <c r="D257" s="56"/>
      <c r="E257" s="56"/>
      <c r="F257" s="56"/>
      <c r="G257" s="56"/>
      <c r="H257" s="56"/>
      <c r="I257" s="56"/>
      <c r="J257" s="56"/>
      <c r="K257" s="57"/>
    </row>
    <row r="258" spans="1:11" x14ac:dyDescent="0.25">
      <c r="B258" s="55"/>
      <c r="C258" s="56"/>
      <c r="D258" s="56"/>
      <c r="E258" s="56"/>
      <c r="F258" s="56"/>
      <c r="G258" s="56"/>
      <c r="H258" s="56"/>
      <c r="I258" s="56"/>
      <c r="J258" s="56"/>
      <c r="K258" s="57"/>
    </row>
    <row r="259" spans="1:11" x14ac:dyDescent="0.25">
      <c r="B259" s="55"/>
      <c r="C259" s="56"/>
      <c r="D259" s="56"/>
      <c r="E259" s="56"/>
      <c r="F259" s="56"/>
      <c r="G259" s="56"/>
      <c r="H259" s="56"/>
      <c r="I259" s="56"/>
      <c r="J259" s="56"/>
      <c r="K259" s="57"/>
    </row>
  </sheetData>
  <mergeCells count="4">
    <mergeCell ref="A11:K11"/>
    <mergeCell ref="I7:K7"/>
    <mergeCell ref="H8:K8"/>
    <mergeCell ref="I9:K9"/>
  </mergeCells>
  <printOptions horizontalCentered="1"/>
  <pageMargins left="0.19685039370078741" right="0.15748031496062992" top="0.59055118110236227" bottom="0.19685039370078741" header="0" footer="0"/>
  <pageSetup paperSize="9" scale="65" firstPageNumber="7" orientation="landscape" useFirstPageNumber="1" r:id="rId1"/>
  <headerFooter>
    <oddHeader>&amp;C&amp;P</oddHeader>
  </headerFooter>
  <rowBreaks count="1" manualBreakCount="1">
    <brk id="8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№1.1 (422)</vt:lpstr>
      <vt:lpstr>'Приложение №1.1 (422)'!Заголовки_для_печати</vt:lpstr>
      <vt:lpstr>'Приложение №1.1 (422)'!Область_печати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2022-03-21T15:23:49Z</dcterms:modified>
</cp:coreProperties>
</file>