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37" yWindow="1386" windowWidth="22293" windowHeight="14223"/>
  </bookViews>
  <sheets>
    <sheet name="Приложение №1.1 (365)" sheetId="1" r:id="rId1"/>
  </sheets>
  <definedNames>
    <definedName name="_xlnm.Print_Titles" localSheetId="0">'Приложение №1.1 (365)'!$A:$B,'Приложение №1.1 (365)'!$13:$13</definedName>
    <definedName name="_xlnm.Print_Area" localSheetId="0">'Приложение №1.1 (365)'!$A$1:$K$94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89" i="1"/>
  <c r="C87" i="1"/>
  <c r="C85" i="1"/>
  <c r="C83" i="1"/>
  <c r="C74" i="1"/>
  <c r="C44" i="1"/>
  <c r="E62" i="1" l="1"/>
  <c r="E64" i="1"/>
  <c r="C60" i="1" l="1"/>
  <c r="J93" i="1" l="1"/>
  <c r="J23" i="1" l="1"/>
  <c r="H93" i="1"/>
  <c r="G93" i="1"/>
  <c r="E93" i="1"/>
  <c r="C93" i="1"/>
  <c r="J91" i="1"/>
  <c r="I91" i="1"/>
  <c r="H91" i="1"/>
  <c r="G91" i="1"/>
  <c r="F91" i="1"/>
  <c r="E91" i="1"/>
  <c r="C79" i="1"/>
  <c r="C71" i="1"/>
  <c r="K71" i="1"/>
  <c r="H62" i="1"/>
  <c r="D62" i="1"/>
  <c r="C62" i="1"/>
  <c r="C59" i="1"/>
  <c r="H52" i="1"/>
  <c r="G52" i="1"/>
  <c r="E52" i="1"/>
  <c r="D52" i="1"/>
  <c r="C52" i="1"/>
  <c r="E51" i="1"/>
  <c r="G51" i="1"/>
  <c r="H51" i="1"/>
  <c r="D51" i="1"/>
  <c r="C51" i="1"/>
  <c r="E48" i="1"/>
  <c r="C48" i="1"/>
  <c r="G23" i="1"/>
  <c r="H23" i="1"/>
  <c r="E23" i="1"/>
  <c r="C23" i="1"/>
  <c r="H22" i="1"/>
  <c r="C22" i="1"/>
  <c r="H21" i="1"/>
  <c r="E21" i="1"/>
  <c r="I20" i="1"/>
  <c r="G17" i="1"/>
  <c r="F17" i="1"/>
  <c r="E17" i="1"/>
  <c r="F93" i="1" l="1"/>
  <c r="I93" i="1"/>
  <c r="J60" i="1" l="1"/>
  <c r="J59" i="1"/>
  <c r="H17" i="1" l="1"/>
  <c r="C17" i="1"/>
  <c r="H75" i="1"/>
  <c r="H74" i="1"/>
  <c r="F75" i="1"/>
  <c r="F74" i="1"/>
  <c r="E75" i="1"/>
  <c r="E74" i="1"/>
  <c r="C75" i="1"/>
  <c r="H18" i="1"/>
  <c r="F18" i="1"/>
  <c r="E18" i="1"/>
  <c r="C18" i="1"/>
  <c r="C57" i="1"/>
  <c r="K70" i="1" l="1"/>
  <c r="D93" i="1" l="1"/>
  <c r="D75" i="1"/>
  <c r="D74" i="1"/>
  <c r="C69" i="1"/>
  <c r="J68" i="1"/>
  <c r="I68" i="1"/>
  <c r="H68" i="1"/>
  <c r="G68" i="1"/>
  <c r="F68" i="1"/>
  <c r="E68" i="1"/>
  <c r="D68" i="1"/>
  <c r="C68" i="1"/>
  <c r="K72" i="1"/>
  <c r="K69" i="1"/>
  <c r="G55" i="1"/>
  <c r="D48" i="1"/>
  <c r="I23" i="1"/>
  <c r="F23" i="1"/>
  <c r="D23" i="1"/>
  <c r="D18" i="1"/>
  <c r="D17" i="1"/>
  <c r="K68" i="1" l="1"/>
  <c r="D50" i="1"/>
  <c r="E50" i="1"/>
  <c r="F50" i="1"/>
  <c r="G50" i="1"/>
  <c r="H50" i="1"/>
  <c r="I50" i="1"/>
  <c r="J50" i="1"/>
  <c r="C50" i="1"/>
  <c r="D25" i="1" l="1"/>
  <c r="E25" i="1"/>
  <c r="F25" i="1"/>
  <c r="G25" i="1"/>
  <c r="H25" i="1"/>
  <c r="I25" i="1"/>
  <c r="J25" i="1"/>
  <c r="C25" i="1"/>
  <c r="D15" i="1"/>
  <c r="E15" i="1"/>
  <c r="F15" i="1"/>
  <c r="G15" i="1"/>
  <c r="H15" i="1"/>
  <c r="I15" i="1"/>
  <c r="J15" i="1"/>
  <c r="C15" i="1"/>
  <c r="D46" i="1" l="1"/>
  <c r="E46" i="1"/>
  <c r="F46" i="1"/>
  <c r="G46" i="1"/>
  <c r="H46" i="1"/>
  <c r="I46" i="1"/>
  <c r="J46" i="1"/>
  <c r="C46" i="1"/>
  <c r="I43" i="1"/>
  <c r="G43" i="1"/>
  <c r="E43" i="1"/>
  <c r="J43" i="1"/>
  <c r="H43" i="1"/>
  <c r="F43" i="1"/>
  <c r="D43" i="1"/>
  <c r="C43" i="1"/>
  <c r="D34" i="1"/>
  <c r="E34" i="1"/>
  <c r="F34" i="1"/>
  <c r="G34" i="1"/>
  <c r="H34" i="1"/>
  <c r="I34" i="1"/>
  <c r="J34" i="1"/>
  <c r="C34" i="1"/>
  <c r="J77" i="1"/>
  <c r="J73" i="1" s="1"/>
  <c r="I77" i="1"/>
  <c r="I73" i="1" s="1"/>
  <c r="H77" i="1"/>
  <c r="H73" i="1" s="1"/>
  <c r="G77" i="1"/>
  <c r="G73" i="1" s="1"/>
  <c r="F77" i="1"/>
  <c r="F73" i="1" s="1"/>
  <c r="E77" i="1"/>
  <c r="E73" i="1" s="1"/>
  <c r="D77" i="1"/>
  <c r="D73" i="1" s="1"/>
  <c r="C77" i="1"/>
  <c r="C73" i="1" s="1"/>
  <c r="K91" i="1"/>
  <c r="K93" i="1"/>
  <c r="K92" i="1"/>
  <c r="K89" i="1"/>
  <c r="K88" i="1"/>
  <c r="K87" i="1"/>
  <c r="K86" i="1"/>
  <c r="K85" i="1"/>
  <c r="K84" i="1"/>
  <c r="K83" i="1"/>
  <c r="K81" i="1"/>
  <c r="K80" i="1"/>
  <c r="K79" i="1"/>
  <c r="K78" i="1"/>
  <c r="K76" i="1"/>
  <c r="K75" i="1"/>
  <c r="K74" i="1"/>
  <c r="K67" i="1"/>
  <c r="K66" i="1"/>
  <c r="K64" i="1"/>
  <c r="K62" i="1"/>
  <c r="K60" i="1"/>
  <c r="K59" i="1"/>
  <c r="K57" i="1"/>
  <c r="K56" i="1"/>
  <c r="K55" i="1"/>
  <c r="K54" i="1"/>
  <c r="K53" i="1"/>
  <c r="K52" i="1"/>
  <c r="K51" i="1"/>
  <c r="K48" i="1"/>
  <c r="K47" i="1"/>
  <c r="K41" i="1"/>
  <c r="K40" i="1"/>
  <c r="K39" i="1"/>
  <c r="K38" i="1"/>
  <c r="K37" i="1"/>
  <c r="K36" i="1"/>
  <c r="K35" i="1"/>
  <c r="K33" i="1"/>
  <c r="K31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46" i="1" l="1"/>
  <c r="C14" i="1"/>
  <c r="F14" i="1"/>
  <c r="J14" i="1"/>
  <c r="J94" i="1" s="1"/>
  <c r="G14" i="1"/>
  <c r="G94" i="1" s="1"/>
  <c r="K77" i="1"/>
  <c r="D14" i="1"/>
  <c r="D94" i="1" s="1"/>
  <c r="H14" i="1"/>
  <c r="E14" i="1"/>
  <c r="I14" i="1"/>
  <c r="I94" i="1" s="1"/>
  <c r="K44" i="1"/>
  <c r="K50" i="1"/>
  <c r="K43" i="1"/>
  <c r="K34" i="1"/>
  <c r="K73" i="1"/>
  <c r="H94" i="1" l="1"/>
  <c r="F94" i="1"/>
  <c r="E94" i="1"/>
  <c r="C94" i="1"/>
  <c r="K14" i="1"/>
  <c r="K94" i="1" l="1"/>
</calcChain>
</file>

<file path=xl/sharedStrings.xml><?xml version="1.0" encoding="utf-8"?>
<sst xmlns="http://schemas.openxmlformats.org/spreadsheetml/2006/main" count="83" uniqueCount="82">
  <si>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</si>
  <si>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</si>
  <si>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</si>
  <si>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</si>
  <si>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</si>
  <si>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</si>
  <si>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</si>
  <si>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</si>
  <si>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</si>
  <si>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</si>
  <si>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</si>
  <si>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</si>
  <si>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</si>
  <si>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</si>
  <si>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</si>
  <si>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</si>
  <si>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</si>
  <si>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</si>
  <si>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</si>
  <si>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</si>
  <si>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</si>
  <si>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</si>
  <si>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</si>
  <si>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</si>
  <si>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</si>
  <si>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</si>
  <si>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</si>
  <si>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</si>
  <si>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</si>
  <si>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</si>
  <si>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</si>
  <si>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</si>
  <si>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</si>
  <si>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</si>
  <si>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</si>
  <si>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</si>
  <si>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</si>
  <si>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</si>
  <si>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</si>
  <si>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</si>
  <si>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</si>
  <si>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</si>
  <si>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</si>
  <si>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</si>
  <si>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</si>
  <si>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</si>
  <si>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</si>
  <si>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</si>
  <si>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</si>
  <si>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</si>
  <si>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</si>
  <si>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</si>
  <si>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</si>
  <si>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</si>
  <si>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</si>
  <si>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</si>
  <si>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</si>
  <si>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</si>
  <si>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</si>
  <si>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</si>
  <si>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</si>
  <si>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</si>
  <si>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</si>
  <si>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</si>
  <si>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</si>
  <si>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>Приложение № 1.1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</si>
  <si>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</si>
  <si>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</si>
  <si>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</si>
  <si>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</si>
  <si>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</si>
  <si>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</si>
  <si>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</si>
  <si>
    <t>Безвозмездные перечисления</t>
  </si>
  <si>
    <t>3011000</t>
  </si>
  <si>
    <t>От нерезидентов на цели субсидирования хозяйствующих субъектов</t>
  </si>
  <si>
    <t>От нерезидентов</t>
  </si>
  <si>
    <t>Прочие безвозмездные перечисления</t>
  </si>
  <si>
    <t>к Закону Приднестровской Молдавской Республики</t>
  </si>
  <si>
    <t xml:space="preserve">"О внесении изменений </t>
  </si>
  <si>
    <t xml:space="preserve">в Закон Приднестровской Молдавской Республики 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</si>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</sst>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-* #,##0\ _₽_-;\-* #,##0\ _₽_-;_-* &quot;-&quot;??\ _₽_-;_-@_-"/>
    <numFmt numFmtId="168" formatCode="_-* #,##0_-;\-* #,##0_-;_-* &quot;-&quot;??_-;_-@_-"/>
    <numFmt numFmtId="169" formatCode="_-* #,##0_р_._-;\-* #,##0_р_._-;_-* &quot;-&quot;??_р_._-;_-@_-"/>
    <numFmt numFmtId="170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8" xfId="2" applyNumberFormat="1" applyFont="1" applyFill="1" applyBorder="1" applyAlignment="1">
      <alignment horizontal="center" vertical="center"/>
    </xf>
    <xf numFmtId="168" fontId="4" fillId="2" borderId="9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164" fontId="4" fillId="0" borderId="11" xfId="1" applyNumberFormat="1" applyFont="1" applyFill="1" applyBorder="1" applyAlignment="1">
      <alignment horizontal="center" vertical="center"/>
    </xf>
    <xf numFmtId="168" fontId="4" fillId="0" borderId="12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8" fontId="4" fillId="0" borderId="2" xfId="2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8" fontId="2" fillId="0" borderId="2" xfId="2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8" fontId="2" fillId="0" borderId="5" xfId="2" applyNumberFormat="1" applyFont="1" applyFill="1" applyBorder="1" applyAlignment="1">
      <alignment horizontal="center" vertical="center"/>
    </xf>
    <xf numFmtId="168" fontId="4" fillId="0" borderId="5" xfId="2" applyNumberFormat="1" applyFont="1" applyFill="1" applyBorder="1" applyAlignment="1">
      <alignment horizontal="center" vertical="center"/>
    </xf>
    <xf numFmtId="168" fontId="2" fillId="0" borderId="6" xfId="2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168" fontId="4" fillId="0" borderId="11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68" fontId="4" fillId="0" borderId="6" xfId="2" applyNumberFormat="1" applyFont="1" applyFill="1" applyBorder="1" applyAlignment="1">
      <alignment horizontal="center" vertical="center"/>
    </xf>
    <xf numFmtId="168" fontId="4" fillId="2" borderId="8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8" fontId="4" fillId="0" borderId="9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horizontal="center" vertical="center"/>
    </xf>
    <xf numFmtId="170" fontId="7" fillId="3" borderId="0" xfId="0" applyNumberFormat="1" applyFont="1" applyFill="1" applyAlignment="1">
      <alignment horizontal="left" vertical="center" wrapText="1"/>
    </xf>
    <xf numFmtId="0" fontId="8" fillId="3" borderId="0" xfId="0" applyFont="1" applyFill="1" applyBorder="1" applyAlignment="1">
      <alignment wrapText="1"/>
    </xf>
    <xf numFmtId="0" fontId="8" fillId="0" borderId="1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4" fontId="6" fillId="3" borderId="5" xfId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164" fontId="6" fillId="3" borderId="6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right" vertical="center"/>
    </xf>
    <xf numFmtId="169" fontId="8" fillId="0" borderId="12" xfId="0" applyNumberFormat="1" applyFont="1" applyFill="1" applyBorder="1" applyAlignment="1">
      <alignment horizontal="right" vertical="center"/>
    </xf>
    <xf numFmtId="170" fontId="2" fillId="3" borderId="0" xfId="0" applyNumberFormat="1" applyFont="1" applyFill="1" applyAlignment="1">
      <alignment horizontal="left" vertical="center" wrapText="1"/>
    </xf>
    <xf numFmtId="169" fontId="8" fillId="0" borderId="11" xfId="0" applyNumberFormat="1" applyFont="1" applyFill="1" applyBorder="1" applyAlignment="1">
      <alignment horizontal="right" vertical="center"/>
    </xf>
    <xf numFmtId="169" fontId="8" fillId="0" borderId="2" xfId="0" applyNumberFormat="1" applyFont="1" applyFill="1" applyBorder="1" applyAlignment="1">
      <alignment horizontal="right" vertical="center"/>
    </xf>
    <xf numFmtId="169" fontId="8" fillId="0" borderId="14" xfId="0" applyNumberFormat="1" applyFont="1" applyFill="1" applyBorder="1" applyAlignment="1">
      <alignment horizontal="right" vertical="center"/>
    </xf>
    <xf numFmtId="169" fontId="5" fillId="4" borderId="8" xfId="1" applyNumberFormat="1" applyFont="1" applyFill="1" applyBorder="1" applyAlignment="1">
      <alignment horizontal="right" vertical="center"/>
    </xf>
    <xf numFmtId="169" fontId="5" fillId="4" borderId="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U259"/>
  <sheetViews>
    <sheetView tabSelected="1" view="pageBreakPreview" zoomScale="50" zoomScaleNormal="90" zoomScaleSheetLayoutView="50" workbookViewId="0">
      <pane xSplit="2" ySplit="13" topLeftCell="C84" activePane="bottomRight" state="frozenSplit"/>
      <selection pane="topRight" activeCell="D1" sqref="D1"/>
      <selection pane="bottomLeft" activeCell="A14" sqref="A14"/>
      <selection pane="bottomRight" activeCell="K1" sqref="K1:K5"/>
    </sheetView>
  </sheetViews>
  <sheetFormatPr defaultColWidth="58.25" defaultRowHeight="15.65" x14ac:dyDescent="0.25"/>
  <cols>
    <col min="1" max="1" width="10.375" style="2" customWidth="1"/>
    <col min="2" max="2" width="54.125" style="3" bestFit="1" customWidth="1"/>
    <col min="3" max="3" width="17.875" style="4" customWidth="1"/>
    <col min="4" max="8" width="15.875" style="4" customWidth="1"/>
    <col min="9" max="9" width="15.75" style="4" customWidth="1"/>
    <col min="10" max="10" width="14.75" style="4" customWidth="1"/>
    <col min="11" max="11" width="16" style="8" customWidth="1"/>
    <col min="12" max="12" width="3.875" style="2" customWidth="1"/>
    <col min="13" max="173" width="58.25" style="2"/>
    <col min="174" max="174" width="8" style="2" customWidth="1"/>
    <col min="175" max="175" width="67" style="2" customWidth="1"/>
    <col min="176" max="176" width="13.875" style="2" customWidth="1"/>
    <col min="177" max="179" width="13.875" style="2" bestFit="1" customWidth="1"/>
    <col min="180" max="180" width="12.75" style="2" bestFit="1" customWidth="1"/>
    <col min="181" max="181" width="14.25" style="2" customWidth="1"/>
    <col min="182" max="182" width="15.25" style="2" bestFit="1" customWidth="1"/>
    <col min="183" max="183" width="12.75" style="2" bestFit="1" customWidth="1"/>
    <col min="184" max="184" width="15.375" style="2" bestFit="1" customWidth="1"/>
    <col min="185" max="185" width="17.75" style="2" bestFit="1" customWidth="1"/>
    <col min="186" max="186" width="7.75" style="2" bestFit="1" customWidth="1"/>
    <col min="187" max="187" width="13.25" style="2" customWidth="1"/>
    <col min="188" max="188" width="23.625" style="2" customWidth="1"/>
    <col min="189" max="429" width="58.25" style="2"/>
    <col min="430" max="430" width="8" style="2" customWidth="1"/>
    <col min="431" max="431" width="67" style="2" customWidth="1"/>
    <col min="432" max="432" width="13.875" style="2" customWidth="1"/>
    <col min="433" max="435" width="13.875" style="2" bestFit="1" customWidth="1"/>
    <col min="436" max="436" width="12.75" style="2" bestFit="1" customWidth="1"/>
    <col min="437" max="437" width="14.25" style="2" customWidth="1"/>
    <col min="438" max="438" width="15.25" style="2" bestFit="1" customWidth="1"/>
    <col min="439" max="439" width="12.75" style="2" bestFit="1" customWidth="1"/>
    <col min="440" max="440" width="15.375" style="2" bestFit="1" customWidth="1"/>
    <col min="441" max="441" width="17.75" style="2" bestFit="1" customWidth="1"/>
    <col min="442" max="442" width="7.75" style="2" bestFit="1" customWidth="1"/>
    <col min="443" max="443" width="13.25" style="2" customWidth="1"/>
    <col min="444" max="444" width="23.625" style="2" customWidth="1"/>
    <col min="445" max="685" width="58.25" style="2"/>
    <col min="686" max="686" width="8" style="2" customWidth="1"/>
    <col min="687" max="687" width="67" style="2" customWidth="1"/>
    <col min="688" max="688" width="13.875" style="2" customWidth="1"/>
    <col min="689" max="691" width="13.875" style="2" bestFit="1" customWidth="1"/>
    <col min="692" max="692" width="12.75" style="2" bestFit="1" customWidth="1"/>
    <col min="693" max="693" width="14.25" style="2" customWidth="1"/>
    <col min="694" max="694" width="15.25" style="2" bestFit="1" customWidth="1"/>
    <col min="695" max="695" width="12.75" style="2" bestFit="1" customWidth="1"/>
    <col min="696" max="696" width="15.375" style="2" bestFit="1" customWidth="1"/>
    <col min="697" max="697" width="17.75" style="2" bestFit="1" customWidth="1"/>
    <col min="698" max="698" width="7.75" style="2" bestFit="1" customWidth="1"/>
    <col min="699" max="699" width="13.25" style="2" customWidth="1"/>
    <col min="700" max="700" width="23.625" style="2" customWidth="1"/>
    <col min="701" max="941" width="58.25" style="2"/>
    <col min="942" max="942" width="8" style="2" customWidth="1"/>
    <col min="943" max="943" width="67" style="2" customWidth="1"/>
    <col min="944" max="944" width="13.875" style="2" customWidth="1"/>
    <col min="945" max="947" width="13.875" style="2" bestFit="1" customWidth="1"/>
    <col min="948" max="948" width="12.75" style="2" bestFit="1" customWidth="1"/>
    <col min="949" max="949" width="14.25" style="2" customWidth="1"/>
    <col min="950" max="950" width="15.25" style="2" bestFit="1" customWidth="1"/>
    <col min="951" max="951" width="12.75" style="2" bestFit="1" customWidth="1"/>
    <col min="952" max="952" width="15.375" style="2" bestFit="1" customWidth="1"/>
    <col min="953" max="953" width="17.75" style="2" bestFit="1" customWidth="1"/>
    <col min="954" max="954" width="7.75" style="2" bestFit="1" customWidth="1"/>
    <col min="955" max="955" width="13.25" style="2" customWidth="1"/>
    <col min="956" max="956" width="23.625" style="2" customWidth="1"/>
    <col min="957" max="1197" width="58.25" style="2"/>
    <col min="1198" max="1198" width="8" style="2" customWidth="1"/>
    <col min="1199" max="1199" width="67" style="2" customWidth="1"/>
    <col min="1200" max="1200" width="13.875" style="2" customWidth="1"/>
    <col min="1201" max="1203" width="13.875" style="2" bestFit="1" customWidth="1"/>
    <col min="1204" max="1204" width="12.75" style="2" bestFit="1" customWidth="1"/>
    <col min="1205" max="1205" width="14.25" style="2" customWidth="1"/>
    <col min="1206" max="1206" width="15.25" style="2" bestFit="1" customWidth="1"/>
    <col min="1207" max="1207" width="12.75" style="2" bestFit="1" customWidth="1"/>
    <col min="1208" max="1208" width="15.375" style="2" bestFit="1" customWidth="1"/>
    <col min="1209" max="1209" width="17.75" style="2" bestFit="1" customWidth="1"/>
    <col min="1210" max="1210" width="7.75" style="2" bestFit="1" customWidth="1"/>
    <col min="1211" max="1211" width="13.25" style="2" customWidth="1"/>
    <col min="1212" max="1212" width="23.625" style="2" customWidth="1"/>
    <col min="1213" max="1344" width="58.25" style="2"/>
    <col min="1345" max="1345" width="0" style="2" hidden="1" customWidth="1"/>
    <col min="1346" max="1347" width="58.25" style="2" hidden="1" customWidth="1"/>
    <col min="1348" max="1350" width="11.25" style="2" customWidth="1"/>
    <col min="1351" max="1353" width="11.375" style="2" customWidth="1"/>
    <col min="1354" max="1356" width="12.75" style="2" customWidth="1"/>
    <col min="1357" max="1453" width="58.25" style="2"/>
    <col min="1454" max="1454" width="8" style="2" customWidth="1"/>
    <col min="1455" max="1455" width="67" style="2" customWidth="1"/>
    <col min="1456" max="1456" width="13.875" style="2" customWidth="1"/>
    <col min="1457" max="1459" width="13.875" style="2" bestFit="1" customWidth="1"/>
    <col min="1460" max="1460" width="12.75" style="2" bestFit="1" customWidth="1"/>
    <col min="1461" max="1461" width="14.25" style="2" customWidth="1"/>
    <col min="1462" max="1462" width="15.25" style="2" bestFit="1" customWidth="1"/>
    <col min="1463" max="1463" width="12.75" style="2" bestFit="1" customWidth="1"/>
    <col min="1464" max="1464" width="15.375" style="2" bestFit="1" customWidth="1"/>
    <col min="1465" max="1465" width="17.75" style="2" bestFit="1" customWidth="1"/>
    <col min="1466" max="1466" width="7.75" style="2" bestFit="1" customWidth="1"/>
    <col min="1467" max="1467" width="13.25" style="2" customWidth="1"/>
    <col min="1468" max="1468" width="23.625" style="2" customWidth="1"/>
    <col min="1469" max="1709" width="58.25" style="2"/>
    <col min="1710" max="1710" width="8" style="2" customWidth="1"/>
    <col min="1711" max="1711" width="67" style="2" customWidth="1"/>
    <col min="1712" max="1712" width="13.875" style="2" customWidth="1"/>
    <col min="1713" max="1715" width="13.875" style="2" bestFit="1" customWidth="1"/>
    <col min="1716" max="1716" width="12.75" style="2" bestFit="1" customWidth="1"/>
    <col min="1717" max="1717" width="14.25" style="2" customWidth="1"/>
    <col min="1718" max="1718" width="15.25" style="2" bestFit="1" customWidth="1"/>
    <col min="1719" max="1719" width="12.75" style="2" bestFit="1" customWidth="1"/>
    <col min="1720" max="1720" width="15.375" style="2" bestFit="1" customWidth="1"/>
    <col min="1721" max="1721" width="17.75" style="2" bestFit="1" customWidth="1"/>
    <col min="1722" max="1722" width="7.75" style="2" bestFit="1" customWidth="1"/>
    <col min="1723" max="1723" width="13.25" style="2" customWidth="1"/>
    <col min="1724" max="1724" width="23.625" style="2" customWidth="1"/>
    <col min="1725" max="1965" width="58.25" style="2"/>
    <col min="1966" max="1966" width="8" style="2" customWidth="1"/>
    <col min="1967" max="1967" width="67" style="2" customWidth="1"/>
    <col min="1968" max="1968" width="13.875" style="2" customWidth="1"/>
    <col min="1969" max="1971" width="13.875" style="2" bestFit="1" customWidth="1"/>
    <col min="1972" max="1972" width="12.75" style="2" bestFit="1" customWidth="1"/>
    <col min="1973" max="1973" width="14.25" style="2" customWidth="1"/>
    <col min="1974" max="1974" width="15.25" style="2" bestFit="1" customWidth="1"/>
    <col min="1975" max="1975" width="12.75" style="2" bestFit="1" customWidth="1"/>
    <col min="1976" max="1976" width="15.375" style="2" bestFit="1" customWidth="1"/>
    <col min="1977" max="1977" width="17.75" style="2" bestFit="1" customWidth="1"/>
    <col min="1978" max="1978" width="7.75" style="2" bestFit="1" customWidth="1"/>
    <col min="1979" max="1979" width="13.25" style="2" customWidth="1"/>
    <col min="1980" max="1980" width="23.625" style="2" customWidth="1"/>
    <col min="1981" max="2221" width="58.25" style="2"/>
    <col min="2222" max="2222" width="8" style="2" customWidth="1"/>
    <col min="2223" max="2223" width="67" style="2" customWidth="1"/>
    <col min="2224" max="2224" width="13.875" style="2" customWidth="1"/>
    <col min="2225" max="2227" width="13.875" style="2" bestFit="1" customWidth="1"/>
    <col min="2228" max="2228" width="12.75" style="2" bestFit="1" customWidth="1"/>
    <col min="2229" max="2229" width="14.25" style="2" customWidth="1"/>
    <col min="2230" max="2230" width="15.25" style="2" bestFit="1" customWidth="1"/>
    <col min="2231" max="2231" width="12.75" style="2" bestFit="1" customWidth="1"/>
    <col min="2232" max="2232" width="15.375" style="2" bestFit="1" customWidth="1"/>
    <col min="2233" max="2233" width="17.75" style="2" bestFit="1" customWidth="1"/>
    <col min="2234" max="2234" width="7.75" style="2" bestFit="1" customWidth="1"/>
    <col min="2235" max="2235" width="13.25" style="2" customWidth="1"/>
    <col min="2236" max="2236" width="23.625" style="2" customWidth="1"/>
    <col min="2237" max="2477" width="58.25" style="2"/>
    <col min="2478" max="2478" width="8" style="2" customWidth="1"/>
    <col min="2479" max="2479" width="67" style="2" customWidth="1"/>
    <col min="2480" max="2480" width="13.875" style="2" customWidth="1"/>
    <col min="2481" max="2483" width="13.875" style="2" bestFit="1" customWidth="1"/>
    <col min="2484" max="2484" width="12.75" style="2" bestFit="1" customWidth="1"/>
    <col min="2485" max="2485" width="14.25" style="2" customWidth="1"/>
    <col min="2486" max="2486" width="15.25" style="2" bestFit="1" customWidth="1"/>
    <col min="2487" max="2487" width="12.75" style="2" bestFit="1" customWidth="1"/>
    <col min="2488" max="2488" width="15.375" style="2" bestFit="1" customWidth="1"/>
    <col min="2489" max="2489" width="17.75" style="2" bestFit="1" customWidth="1"/>
    <col min="2490" max="2490" width="7.75" style="2" bestFit="1" customWidth="1"/>
    <col min="2491" max="2491" width="13.25" style="2" customWidth="1"/>
    <col min="2492" max="2492" width="23.625" style="2" customWidth="1"/>
    <col min="2493" max="2733" width="58.25" style="2"/>
    <col min="2734" max="2734" width="8" style="2" customWidth="1"/>
    <col min="2735" max="2735" width="67" style="2" customWidth="1"/>
    <col min="2736" max="2736" width="13.875" style="2" customWidth="1"/>
    <col min="2737" max="2739" width="13.875" style="2" bestFit="1" customWidth="1"/>
    <col min="2740" max="2740" width="12.75" style="2" bestFit="1" customWidth="1"/>
    <col min="2741" max="2741" width="14.25" style="2" customWidth="1"/>
    <col min="2742" max="2742" width="15.25" style="2" bestFit="1" customWidth="1"/>
    <col min="2743" max="2743" width="12.75" style="2" bestFit="1" customWidth="1"/>
    <col min="2744" max="2744" width="15.375" style="2" bestFit="1" customWidth="1"/>
    <col min="2745" max="2745" width="17.75" style="2" bestFit="1" customWidth="1"/>
    <col min="2746" max="2746" width="7.75" style="2" bestFit="1" customWidth="1"/>
    <col min="2747" max="2747" width="13.25" style="2" customWidth="1"/>
    <col min="2748" max="2748" width="23.625" style="2" customWidth="1"/>
    <col min="2749" max="2989" width="58.25" style="2"/>
    <col min="2990" max="2990" width="8" style="2" customWidth="1"/>
    <col min="2991" max="2991" width="67" style="2" customWidth="1"/>
    <col min="2992" max="2992" width="13.875" style="2" customWidth="1"/>
    <col min="2993" max="2995" width="13.875" style="2" bestFit="1" customWidth="1"/>
    <col min="2996" max="2996" width="12.75" style="2" bestFit="1" customWidth="1"/>
    <col min="2997" max="2997" width="14.25" style="2" customWidth="1"/>
    <col min="2998" max="2998" width="15.25" style="2" bestFit="1" customWidth="1"/>
    <col min="2999" max="2999" width="12.75" style="2" bestFit="1" customWidth="1"/>
    <col min="3000" max="3000" width="15.375" style="2" bestFit="1" customWidth="1"/>
    <col min="3001" max="3001" width="17.75" style="2" bestFit="1" customWidth="1"/>
    <col min="3002" max="3002" width="7.75" style="2" bestFit="1" customWidth="1"/>
    <col min="3003" max="3003" width="13.25" style="2" customWidth="1"/>
    <col min="3004" max="3004" width="23.625" style="2" customWidth="1"/>
    <col min="3005" max="3245" width="58.25" style="2"/>
    <col min="3246" max="3246" width="8" style="2" customWidth="1"/>
    <col min="3247" max="3247" width="67" style="2" customWidth="1"/>
    <col min="3248" max="3248" width="13.875" style="2" customWidth="1"/>
    <col min="3249" max="3251" width="13.875" style="2" bestFit="1" customWidth="1"/>
    <col min="3252" max="3252" width="12.75" style="2" bestFit="1" customWidth="1"/>
    <col min="3253" max="3253" width="14.25" style="2" customWidth="1"/>
    <col min="3254" max="3254" width="15.25" style="2" bestFit="1" customWidth="1"/>
    <col min="3255" max="3255" width="12.75" style="2" bestFit="1" customWidth="1"/>
    <col min="3256" max="3256" width="15.375" style="2" bestFit="1" customWidth="1"/>
    <col min="3257" max="3257" width="17.75" style="2" bestFit="1" customWidth="1"/>
    <col min="3258" max="3258" width="7.75" style="2" bestFit="1" customWidth="1"/>
    <col min="3259" max="3259" width="13.25" style="2" customWidth="1"/>
    <col min="3260" max="3260" width="23.625" style="2" customWidth="1"/>
    <col min="3261" max="3501" width="58.25" style="2"/>
    <col min="3502" max="3502" width="8" style="2" customWidth="1"/>
    <col min="3503" max="3503" width="67" style="2" customWidth="1"/>
    <col min="3504" max="3504" width="13.875" style="2" customWidth="1"/>
    <col min="3505" max="3507" width="13.875" style="2" bestFit="1" customWidth="1"/>
    <col min="3508" max="3508" width="12.75" style="2" bestFit="1" customWidth="1"/>
    <col min="3509" max="3509" width="14.25" style="2" customWidth="1"/>
    <col min="3510" max="3510" width="15.25" style="2" bestFit="1" customWidth="1"/>
    <col min="3511" max="3511" width="12.75" style="2" bestFit="1" customWidth="1"/>
    <col min="3512" max="3512" width="15.375" style="2" bestFit="1" customWidth="1"/>
    <col min="3513" max="3513" width="17.75" style="2" bestFit="1" customWidth="1"/>
    <col min="3514" max="3514" width="7.75" style="2" bestFit="1" customWidth="1"/>
    <col min="3515" max="3515" width="13.25" style="2" customWidth="1"/>
    <col min="3516" max="3516" width="23.625" style="2" customWidth="1"/>
    <col min="3517" max="3757" width="58.25" style="2"/>
    <col min="3758" max="3758" width="8" style="2" customWidth="1"/>
    <col min="3759" max="3759" width="67" style="2" customWidth="1"/>
    <col min="3760" max="3760" width="13.875" style="2" customWidth="1"/>
    <col min="3761" max="3763" width="13.875" style="2" bestFit="1" customWidth="1"/>
    <col min="3764" max="3764" width="12.75" style="2" bestFit="1" customWidth="1"/>
    <col min="3765" max="3765" width="14.25" style="2" customWidth="1"/>
    <col min="3766" max="3766" width="15.25" style="2" bestFit="1" customWidth="1"/>
    <col min="3767" max="3767" width="12.75" style="2" bestFit="1" customWidth="1"/>
    <col min="3768" max="3768" width="15.375" style="2" bestFit="1" customWidth="1"/>
    <col min="3769" max="3769" width="17.75" style="2" bestFit="1" customWidth="1"/>
    <col min="3770" max="3770" width="7.75" style="2" bestFit="1" customWidth="1"/>
    <col min="3771" max="3771" width="13.25" style="2" customWidth="1"/>
    <col min="3772" max="3772" width="23.625" style="2" customWidth="1"/>
    <col min="3773" max="4013" width="58.25" style="2"/>
    <col min="4014" max="4014" width="8" style="2" customWidth="1"/>
    <col min="4015" max="4015" width="67" style="2" customWidth="1"/>
    <col min="4016" max="4016" width="13.875" style="2" customWidth="1"/>
    <col min="4017" max="4019" width="13.875" style="2" bestFit="1" customWidth="1"/>
    <col min="4020" max="4020" width="12.75" style="2" bestFit="1" customWidth="1"/>
    <col min="4021" max="4021" width="14.25" style="2" customWidth="1"/>
    <col min="4022" max="4022" width="15.25" style="2" bestFit="1" customWidth="1"/>
    <col min="4023" max="4023" width="12.75" style="2" bestFit="1" customWidth="1"/>
    <col min="4024" max="4024" width="15.375" style="2" bestFit="1" customWidth="1"/>
    <col min="4025" max="4025" width="17.75" style="2" bestFit="1" customWidth="1"/>
    <col min="4026" max="4026" width="7.75" style="2" bestFit="1" customWidth="1"/>
    <col min="4027" max="4027" width="13.25" style="2" customWidth="1"/>
    <col min="4028" max="4028" width="23.625" style="2" customWidth="1"/>
    <col min="4029" max="4269" width="58.25" style="2"/>
    <col min="4270" max="4270" width="8" style="2" customWidth="1"/>
    <col min="4271" max="4271" width="67" style="2" customWidth="1"/>
    <col min="4272" max="4272" width="13.875" style="2" customWidth="1"/>
    <col min="4273" max="4275" width="13.875" style="2" bestFit="1" customWidth="1"/>
    <col min="4276" max="4276" width="12.75" style="2" bestFit="1" customWidth="1"/>
    <col min="4277" max="4277" width="14.25" style="2" customWidth="1"/>
    <col min="4278" max="4278" width="15.25" style="2" bestFit="1" customWidth="1"/>
    <col min="4279" max="4279" width="12.75" style="2" bestFit="1" customWidth="1"/>
    <col min="4280" max="4280" width="15.375" style="2" bestFit="1" customWidth="1"/>
    <col min="4281" max="4281" width="17.75" style="2" bestFit="1" customWidth="1"/>
    <col min="4282" max="4282" width="7.75" style="2" bestFit="1" customWidth="1"/>
    <col min="4283" max="4283" width="13.25" style="2" customWidth="1"/>
    <col min="4284" max="4284" width="23.625" style="2" customWidth="1"/>
    <col min="4285" max="4525" width="58.25" style="2"/>
    <col min="4526" max="4526" width="8" style="2" customWidth="1"/>
    <col min="4527" max="4527" width="67" style="2" customWidth="1"/>
    <col min="4528" max="4528" width="13.875" style="2" customWidth="1"/>
    <col min="4529" max="4531" width="13.875" style="2" bestFit="1" customWidth="1"/>
    <col min="4532" max="4532" width="12.75" style="2" bestFit="1" customWidth="1"/>
    <col min="4533" max="4533" width="14.25" style="2" customWidth="1"/>
    <col min="4534" max="4534" width="15.25" style="2" bestFit="1" customWidth="1"/>
    <col min="4535" max="4535" width="12.75" style="2" bestFit="1" customWidth="1"/>
    <col min="4536" max="4536" width="15.375" style="2" bestFit="1" customWidth="1"/>
    <col min="4537" max="4537" width="17.75" style="2" bestFit="1" customWidth="1"/>
    <col min="4538" max="4538" width="7.75" style="2" bestFit="1" customWidth="1"/>
    <col min="4539" max="4539" width="13.25" style="2" customWidth="1"/>
    <col min="4540" max="4540" width="23.625" style="2" customWidth="1"/>
    <col min="4541" max="4781" width="58.25" style="2"/>
    <col min="4782" max="4782" width="8" style="2" customWidth="1"/>
    <col min="4783" max="4783" width="67" style="2" customWidth="1"/>
    <col min="4784" max="4784" width="13.875" style="2" customWidth="1"/>
    <col min="4785" max="4787" width="13.875" style="2" bestFit="1" customWidth="1"/>
    <col min="4788" max="4788" width="12.75" style="2" bestFit="1" customWidth="1"/>
    <col min="4789" max="4789" width="14.25" style="2" customWidth="1"/>
    <col min="4790" max="4790" width="15.25" style="2" bestFit="1" customWidth="1"/>
    <col min="4791" max="4791" width="12.75" style="2" bestFit="1" customWidth="1"/>
    <col min="4792" max="4792" width="15.375" style="2" bestFit="1" customWidth="1"/>
    <col min="4793" max="4793" width="17.75" style="2" bestFit="1" customWidth="1"/>
    <col min="4794" max="4794" width="7.75" style="2" bestFit="1" customWidth="1"/>
    <col min="4795" max="4795" width="13.25" style="2" customWidth="1"/>
    <col min="4796" max="4796" width="23.625" style="2" customWidth="1"/>
    <col min="4797" max="5037" width="58.25" style="2"/>
    <col min="5038" max="5038" width="8" style="2" customWidth="1"/>
    <col min="5039" max="5039" width="67" style="2" customWidth="1"/>
    <col min="5040" max="5040" width="13.875" style="2" customWidth="1"/>
    <col min="5041" max="5043" width="13.875" style="2" bestFit="1" customWidth="1"/>
    <col min="5044" max="5044" width="12.75" style="2" bestFit="1" customWidth="1"/>
    <col min="5045" max="5045" width="14.25" style="2" customWidth="1"/>
    <col min="5046" max="5046" width="15.25" style="2" bestFit="1" customWidth="1"/>
    <col min="5047" max="5047" width="12.75" style="2" bestFit="1" customWidth="1"/>
    <col min="5048" max="5048" width="15.375" style="2" bestFit="1" customWidth="1"/>
    <col min="5049" max="5049" width="17.75" style="2" bestFit="1" customWidth="1"/>
    <col min="5050" max="5050" width="7.75" style="2" bestFit="1" customWidth="1"/>
    <col min="5051" max="5051" width="13.25" style="2" customWidth="1"/>
    <col min="5052" max="5052" width="23.625" style="2" customWidth="1"/>
    <col min="5053" max="5293" width="58.25" style="2"/>
    <col min="5294" max="5294" width="8" style="2" customWidth="1"/>
    <col min="5295" max="5295" width="67" style="2" customWidth="1"/>
    <col min="5296" max="5296" width="13.875" style="2" customWidth="1"/>
    <col min="5297" max="5299" width="13.875" style="2" bestFit="1" customWidth="1"/>
    <col min="5300" max="5300" width="12.75" style="2" bestFit="1" customWidth="1"/>
    <col min="5301" max="5301" width="14.25" style="2" customWidth="1"/>
    <col min="5302" max="5302" width="15.25" style="2" bestFit="1" customWidth="1"/>
    <col min="5303" max="5303" width="12.75" style="2" bestFit="1" customWidth="1"/>
    <col min="5304" max="5304" width="15.375" style="2" bestFit="1" customWidth="1"/>
    <col min="5305" max="5305" width="17.75" style="2" bestFit="1" customWidth="1"/>
    <col min="5306" max="5306" width="7.75" style="2" bestFit="1" customWidth="1"/>
    <col min="5307" max="5307" width="13.25" style="2" customWidth="1"/>
    <col min="5308" max="5308" width="23.625" style="2" customWidth="1"/>
    <col min="5309" max="5549" width="58.25" style="2"/>
    <col min="5550" max="5550" width="8" style="2" customWidth="1"/>
    <col min="5551" max="5551" width="67" style="2" customWidth="1"/>
    <col min="5552" max="5552" width="13.875" style="2" customWidth="1"/>
    <col min="5553" max="5555" width="13.875" style="2" bestFit="1" customWidth="1"/>
    <col min="5556" max="5556" width="12.75" style="2" bestFit="1" customWidth="1"/>
    <col min="5557" max="5557" width="14.25" style="2" customWidth="1"/>
    <col min="5558" max="5558" width="15.25" style="2" bestFit="1" customWidth="1"/>
    <col min="5559" max="5559" width="12.75" style="2" bestFit="1" customWidth="1"/>
    <col min="5560" max="5560" width="15.375" style="2" bestFit="1" customWidth="1"/>
    <col min="5561" max="5561" width="17.75" style="2" bestFit="1" customWidth="1"/>
    <col min="5562" max="5562" width="7.75" style="2" bestFit="1" customWidth="1"/>
    <col min="5563" max="5563" width="13.25" style="2" customWidth="1"/>
    <col min="5564" max="5564" width="23.625" style="2" customWidth="1"/>
    <col min="5565" max="5805" width="58.25" style="2"/>
    <col min="5806" max="5806" width="8" style="2" customWidth="1"/>
    <col min="5807" max="5807" width="67" style="2" customWidth="1"/>
    <col min="5808" max="5808" width="13.875" style="2" customWidth="1"/>
    <col min="5809" max="5811" width="13.875" style="2" bestFit="1" customWidth="1"/>
    <col min="5812" max="5812" width="12.75" style="2" bestFit="1" customWidth="1"/>
    <col min="5813" max="5813" width="14.25" style="2" customWidth="1"/>
    <col min="5814" max="5814" width="15.25" style="2" bestFit="1" customWidth="1"/>
    <col min="5815" max="5815" width="12.75" style="2" bestFit="1" customWidth="1"/>
    <col min="5816" max="5816" width="15.375" style="2" bestFit="1" customWidth="1"/>
    <col min="5817" max="5817" width="17.75" style="2" bestFit="1" customWidth="1"/>
    <col min="5818" max="5818" width="7.75" style="2" bestFit="1" customWidth="1"/>
    <col min="5819" max="5819" width="13.25" style="2" customWidth="1"/>
    <col min="5820" max="5820" width="23.625" style="2" customWidth="1"/>
    <col min="5821" max="6061" width="58.25" style="2"/>
    <col min="6062" max="6062" width="8" style="2" customWidth="1"/>
    <col min="6063" max="6063" width="67" style="2" customWidth="1"/>
    <col min="6064" max="6064" width="13.875" style="2" customWidth="1"/>
    <col min="6065" max="6067" width="13.875" style="2" bestFit="1" customWidth="1"/>
    <col min="6068" max="6068" width="12.75" style="2" bestFit="1" customWidth="1"/>
    <col min="6069" max="6069" width="14.25" style="2" customWidth="1"/>
    <col min="6070" max="6070" width="15.25" style="2" bestFit="1" customWidth="1"/>
    <col min="6071" max="6071" width="12.75" style="2" bestFit="1" customWidth="1"/>
    <col min="6072" max="6072" width="15.375" style="2" bestFit="1" customWidth="1"/>
    <col min="6073" max="6073" width="17.75" style="2" bestFit="1" customWidth="1"/>
    <col min="6074" max="6074" width="7.75" style="2" bestFit="1" customWidth="1"/>
    <col min="6075" max="6075" width="13.25" style="2" customWidth="1"/>
    <col min="6076" max="6076" width="23.625" style="2" customWidth="1"/>
    <col min="6077" max="6317" width="58.25" style="2"/>
    <col min="6318" max="6318" width="8" style="2" customWidth="1"/>
    <col min="6319" max="6319" width="67" style="2" customWidth="1"/>
    <col min="6320" max="6320" width="13.875" style="2" customWidth="1"/>
    <col min="6321" max="6323" width="13.875" style="2" bestFit="1" customWidth="1"/>
    <col min="6324" max="6324" width="12.75" style="2" bestFit="1" customWidth="1"/>
    <col min="6325" max="6325" width="14.25" style="2" customWidth="1"/>
    <col min="6326" max="6326" width="15.25" style="2" bestFit="1" customWidth="1"/>
    <col min="6327" max="6327" width="12.75" style="2" bestFit="1" customWidth="1"/>
    <col min="6328" max="6328" width="15.375" style="2" bestFit="1" customWidth="1"/>
    <col min="6329" max="6329" width="17.75" style="2" bestFit="1" customWidth="1"/>
    <col min="6330" max="6330" width="7.75" style="2" bestFit="1" customWidth="1"/>
    <col min="6331" max="6331" width="13.25" style="2" customWidth="1"/>
    <col min="6332" max="6332" width="23.625" style="2" customWidth="1"/>
    <col min="6333" max="6573" width="58.25" style="2"/>
    <col min="6574" max="6574" width="8" style="2" customWidth="1"/>
    <col min="6575" max="6575" width="67" style="2" customWidth="1"/>
    <col min="6576" max="6576" width="13.875" style="2" customWidth="1"/>
    <col min="6577" max="6579" width="13.875" style="2" bestFit="1" customWidth="1"/>
    <col min="6580" max="6580" width="12.75" style="2" bestFit="1" customWidth="1"/>
    <col min="6581" max="6581" width="14.25" style="2" customWidth="1"/>
    <col min="6582" max="6582" width="15.25" style="2" bestFit="1" customWidth="1"/>
    <col min="6583" max="6583" width="12.75" style="2" bestFit="1" customWidth="1"/>
    <col min="6584" max="6584" width="15.375" style="2" bestFit="1" customWidth="1"/>
    <col min="6585" max="6585" width="17.75" style="2" bestFit="1" customWidth="1"/>
    <col min="6586" max="6586" width="7.75" style="2" bestFit="1" customWidth="1"/>
    <col min="6587" max="6587" width="13.25" style="2" customWidth="1"/>
    <col min="6588" max="6588" width="23.625" style="2" customWidth="1"/>
    <col min="6589" max="6829" width="58.25" style="2"/>
    <col min="6830" max="6830" width="8" style="2" customWidth="1"/>
    <col min="6831" max="6831" width="67" style="2" customWidth="1"/>
    <col min="6832" max="6832" width="13.875" style="2" customWidth="1"/>
    <col min="6833" max="6835" width="13.875" style="2" bestFit="1" customWidth="1"/>
    <col min="6836" max="6836" width="12.75" style="2" bestFit="1" customWidth="1"/>
    <col min="6837" max="6837" width="14.25" style="2" customWidth="1"/>
    <col min="6838" max="6838" width="15.25" style="2" bestFit="1" customWidth="1"/>
    <col min="6839" max="6839" width="12.75" style="2" bestFit="1" customWidth="1"/>
    <col min="6840" max="6840" width="15.375" style="2" bestFit="1" customWidth="1"/>
    <col min="6841" max="6841" width="17.75" style="2" bestFit="1" customWidth="1"/>
    <col min="6842" max="6842" width="7.75" style="2" bestFit="1" customWidth="1"/>
    <col min="6843" max="6843" width="13.25" style="2" customWidth="1"/>
    <col min="6844" max="6844" width="23.625" style="2" customWidth="1"/>
    <col min="6845" max="7085" width="58.25" style="2"/>
    <col min="7086" max="7086" width="8" style="2" customWidth="1"/>
    <col min="7087" max="7087" width="67" style="2" customWidth="1"/>
    <col min="7088" max="7088" width="13.875" style="2" customWidth="1"/>
    <col min="7089" max="7091" width="13.875" style="2" bestFit="1" customWidth="1"/>
    <col min="7092" max="7092" width="12.75" style="2" bestFit="1" customWidth="1"/>
    <col min="7093" max="7093" width="14.25" style="2" customWidth="1"/>
    <col min="7094" max="7094" width="15.25" style="2" bestFit="1" customWidth="1"/>
    <col min="7095" max="7095" width="12.75" style="2" bestFit="1" customWidth="1"/>
    <col min="7096" max="7096" width="15.375" style="2" bestFit="1" customWidth="1"/>
    <col min="7097" max="7097" width="17.75" style="2" bestFit="1" customWidth="1"/>
    <col min="7098" max="7098" width="7.75" style="2" bestFit="1" customWidth="1"/>
    <col min="7099" max="7099" width="13.25" style="2" customWidth="1"/>
    <col min="7100" max="7100" width="23.625" style="2" customWidth="1"/>
    <col min="7101" max="7341" width="58.25" style="2"/>
    <col min="7342" max="7342" width="8" style="2" customWidth="1"/>
    <col min="7343" max="7343" width="67" style="2" customWidth="1"/>
    <col min="7344" max="7344" width="13.875" style="2" customWidth="1"/>
    <col min="7345" max="7347" width="13.875" style="2" bestFit="1" customWidth="1"/>
    <col min="7348" max="7348" width="12.75" style="2" bestFit="1" customWidth="1"/>
    <col min="7349" max="7349" width="14.25" style="2" customWidth="1"/>
    <col min="7350" max="7350" width="15.25" style="2" bestFit="1" customWidth="1"/>
    <col min="7351" max="7351" width="12.75" style="2" bestFit="1" customWidth="1"/>
    <col min="7352" max="7352" width="15.375" style="2" bestFit="1" customWidth="1"/>
    <col min="7353" max="7353" width="17.75" style="2" bestFit="1" customWidth="1"/>
    <col min="7354" max="7354" width="7.75" style="2" bestFit="1" customWidth="1"/>
    <col min="7355" max="7355" width="13.25" style="2" customWidth="1"/>
    <col min="7356" max="7356" width="23.625" style="2" customWidth="1"/>
    <col min="7357" max="7597" width="58.25" style="2"/>
    <col min="7598" max="7598" width="8" style="2" customWidth="1"/>
    <col min="7599" max="7599" width="67" style="2" customWidth="1"/>
    <col min="7600" max="7600" width="13.875" style="2" customWidth="1"/>
    <col min="7601" max="7603" width="13.875" style="2" bestFit="1" customWidth="1"/>
    <col min="7604" max="7604" width="12.75" style="2" bestFit="1" customWidth="1"/>
    <col min="7605" max="7605" width="14.25" style="2" customWidth="1"/>
    <col min="7606" max="7606" width="15.25" style="2" bestFit="1" customWidth="1"/>
    <col min="7607" max="7607" width="12.75" style="2" bestFit="1" customWidth="1"/>
    <col min="7608" max="7608" width="15.375" style="2" bestFit="1" customWidth="1"/>
    <col min="7609" max="7609" width="17.75" style="2" bestFit="1" customWidth="1"/>
    <col min="7610" max="7610" width="7.75" style="2" bestFit="1" customWidth="1"/>
    <col min="7611" max="7611" width="13.25" style="2" customWidth="1"/>
    <col min="7612" max="7612" width="23.625" style="2" customWidth="1"/>
    <col min="7613" max="7853" width="58.25" style="2"/>
    <col min="7854" max="7854" width="8" style="2" customWidth="1"/>
    <col min="7855" max="7855" width="67" style="2" customWidth="1"/>
    <col min="7856" max="7856" width="13.875" style="2" customWidth="1"/>
    <col min="7857" max="7859" width="13.875" style="2" bestFit="1" customWidth="1"/>
    <col min="7860" max="7860" width="12.75" style="2" bestFit="1" customWidth="1"/>
    <col min="7861" max="7861" width="14.25" style="2" customWidth="1"/>
    <col min="7862" max="7862" width="15.25" style="2" bestFit="1" customWidth="1"/>
    <col min="7863" max="7863" width="12.75" style="2" bestFit="1" customWidth="1"/>
    <col min="7864" max="7864" width="15.375" style="2" bestFit="1" customWidth="1"/>
    <col min="7865" max="7865" width="17.75" style="2" bestFit="1" customWidth="1"/>
    <col min="7866" max="7866" width="7.75" style="2" bestFit="1" customWidth="1"/>
    <col min="7867" max="7867" width="13.25" style="2" customWidth="1"/>
    <col min="7868" max="7868" width="23.625" style="2" customWidth="1"/>
    <col min="7869" max="8109" width="58.25" style="2"/>
    <col min="8110" max="8110" width="8" style="2" customWidth="1"/>
    <col min="8111" max="8111" width="67" style="2" customWidth="1"/>
    <col min="8112" max="8112" width="13.875" style="2" customWidth="1"/>
    <col min="8113" max="8115" width="13.875" style="2" bestFit="1" customWidth="1"/>
    <col min="8116" max="8116" width="12.75" style="2" bestFit="1" customWidth="1"/>
    <col min="8117" max="8117" width="14.25" style="2" customWidth="1"/>
    <col min="8118" max="8118" width="15.25" style="2" bestFit="1" customWidth="1"/>
    <col min="8119" max="8119" width="12.75" style="2" bestFit="1" customWidth="1"/>
    <col min="8120" max="8120" width="15.375" style="2" bestFit="1" customWidth="1"/>
    <col min="8121" max="8121" width="17.75" style="2" bestFit="1" customWidth="1"/>
    <col min="8122" max="8122" width="7.75" style="2" bestFit="1" customWidth="1"/>
    <col min="8123" max="8123" width="13.25" style="2" customWidth="1"/>
    <col min="8124" max="8124" width="23.625" style="2" customWidth="1"/>
    <col min="8125" max="8365" width="58.25" style="2"/>
    <col min="8366" max="8366" width="8" style="2" customWidth="1"/>
    <col min="8367" max="8367" width="67" style="2" customWidth="1"/>
    <col min="8368" max="8368" width="13.875" style="2" customWidth="1"/>
    <col min="8369" max="8371" width="13.875" style="2" bestFit="1" customWidth="1"/>
    <col min="8372" max="8372" width="12.75" style="2" bestFit="1" customWidth="1"/>
    <col min="8373" max="8373" width="14.25" style="2" customWidth="1"/>
    <col min="8374" max="8374" width="15.25" style="2" bestFit="1" customWidth="1"/>
    <col min="8375" max="8375" width="12.75" style="2" bestFit="1" customWidth="1"/>
    <col min="8376" max="8376" width="15.375" style="2" bestFit="1" customWidth="1"/>
    <col min="8377" max="8377" width="17.75" style="2" bestFit="1" customWidth="1"/>
    <col min="8378" max="8378" width="7.75" style="2" bestFit="1" customWidth="1"/>
    <col min="8379" max="8379" width="13.25" style="2" customWidth="1"/>
    <col min="8380" max="8380" width="23.625" style="2" customWidth="1"/>
    <col min="8381" max="8621" width="58.25" style="2"/>
    <col min="8622" max="8622" width="8" style="2" customWidth="1"/>
    <col min="8623" max="8623" width="67" style="2" customWidth="1"/>
    <col min="8624" max="8624" width="13.875" style="2" customWidth="1"/>
    <col min="8625" max="8627" width="13.875" style="2" bestFit="1" customWidth="1"/>
    <col min="8628" max="8628" width="12.75" style="2" bestFit="1" customWidth="1"/>
    <col min="8629" max="8629" width="14.25" style="2" customWidth="1"/>
    <col min="8630" max="8630" width="15.25" style="2" bestFit="1" customWidth="1"/>
    <col min="8631" max="8631" width="12.75" style="2" bestFit="1" customWidth="1"/>
    <col min="8632" max="8632" width="15.375" style="2" bestFit="1" customWidth="1"/>
    <col min="8633" max="8633" width="17.75" style="2" bestFit="1" customWidth="1"/>
    <col min="8634" max="8634" width="7.75" style="2" bestFit="1" customWidth="1"/>
    <col min="8635" max="8635" width="13.25" style="2" customWidth="1"/>
    <col min="8636" max="8636" width="23.625" style="2" customWidth="1"/>
    <col min="8637" max="8877" width="58.25" style="2"/>
    <col min="8878" max="8878" width="8" style="2" customWidth="1"/>
    <col min="8879" max="8879" width="67" style="2" customWidth="1"/>
    <col min="8880" max="8880" width="13.875" style="2" customWidth="1"/>
    <col min="8881" max="8883" width="13.875" style="2" bestFit="1" customWidth="1"/>
    <col min="8884" max="8884" width="12.75" style="2" bestFit="1" customWidth="1"/>
    <col min="8885" max="8885" width="14.25" style="2" customWidth="1"/>
    <col min="8886" max="8886" width="15.25" style="2" bestFit="1" customWidth="1"/>
    <col min="8887" max="8887" width="12.75" style="2" bestFit="1" customWidth="1"/>
    <col min="8888" max="8888" width="15.375" style="2" bestFit="1" customWidth="1"/>
    <col min="8889" max="8889" width="17.75" style="2" bestFit="1" customWidth="1"/>
    <col min="8890" max="8890" width="7.75" style="2" bestFit="1" customWidth="1"/>
    <col min="8891" max="8891" width="13.25" style="2" customWidth="1"/>
    <col min="8892" max="8892" width="23.625" style="2" customWidth="1"/>
    <col min="8893" max="9133" width="58.25" style="2"/>
    <col min="9134" max="9134" width="8" style="2" customWidth="1"/>
    <col min="9135" max="9135" width="67" style="2" customWidth="1"/>
    <col min="9136" max="9136" width="13.875" style="2" customWidth="1"/>
    <col min="9137" max="9139" width="13.875" style="2" bestFit="1" customWidth="1"/>
    <col min="9140" max="9140" width="12.75" style="2" bestFit="1" customWidth="1"/>
    <col min="9141" max="9141" width="14.25" style="2" customWidth="1"/>
    <col min="9142" max="9142" width="15.25" style="2" bestFit="1" customWidth="1"/>
    <col min="9143" max="9143" width="12.75" style="2" bestFit="1" customWidth="1"/>
    <col min="9144" max="9144" width="15.375" style="2" bestFit="1" customWidth="1"/>
    <col min="9145" max="9145" width="17.75" style="2" bestFit="1" customWidth="1"/>
    <col min="9146" max="9146" width="7.75" style="2" bestFit="1" customWidth="1"/>
    <col min="9147" max="9147" width="13.25" style="2" customWidth="1"/>
    <col min="9148" max="9148" width="23.625" style="2" customWidth="1"/>
    <col min="9149" max="9389" width="58.25" style="2"/>
    <col min="9390" max="9390" width="8" style="2" customWidth="1"/>
    <col min="9391" max="9391" width="67" style="2" customWidth="1"/>
    <col min="9392" max="9392" width="13.875" style="2" customWidth="1"/>
    <col min="9393" max="9395" width="13.875" style="2" bestFit="1" customWidth="1"/>
    <col min="9396" max="9396" width="12.75" style="2" bestFit="1" customWidth="1"/>
    <col min="9397" max="9397" width="14.25" style="2" customWidth="1"/>
    <col min="9398" max="9398" width="15.25" style="2" bestFit="1" customWidth="1"/>
    <col min="9399" max="9399" width="12.75" style="2" bestFit="1" customWidth="1"/>
    <col min="9400" max="9400" width="15.375" style="2" bestFit="1" customWidth="1"/>
    <col min="9401" max="9401" width="17.75" style="2" bestFit="1" customWidth="1"/>
    <col min="9402" max="9402" width="7.75" style="2" bestFit="1" customWidth="1"/>
    <col min="9403" max="9403" width="13.25" style="2" customWidth="1"/>
    <col min="9404" max="9404" width="23.625" style="2" customWidth="1"/>
    <col min="9405" max="9645" width="58.25" style="2"/>
    <col min="9646" max="9646" width="8" style="2" customWidth="1"/>
    <col min="9647" max="9647" width="67" style="2" customWidth="1"/>
    <col min="9648" max="9648" width="13.875" style="2" customWidth="1"/>
    <col min="9649" max="9651" width="13.875" style="2" bestFit="1" customWidth="1"/>
    <col min="9652" max="9652" width="12.75" style="2" bestFit="1" customWidth="1"/>
    <col min="9653" max="9653" width="14.25" style="2" customWidth="1"/>
    <col min="9654" max="9654" width="15.25" style="2" bestFit="1" customWidth="1"/>
    <col min="9655" max="9655" width="12.75" style="2" bestFit="1" customWidth="1"/>
    <col min="9656" max="9656" width="15.375" style="2" bestFit="1" customWidth="1"/>
    <col min="9657" max="9657" width="17.75" style="2" bestFit="1" customWidth="1"/>
    <col min="9658" max="9658" width="7.75" style="2" bestFit="1" customWidth="1"/>
    <col min="9659" max="9659" width="13.25" style="2" customWidth="1"/>
    <col min="9660" max="9660" width="23.625" style="2" customWidth="1"/>
    <col min="9661" max="9901" width="58.25" style="2"/>
    <col min="9902" max="9902" width="8" style="2" customWidth="1"/>
    <col min="9903" max="9903" width="67" style="2" customWidth="1"/>
    <col min="9904" max="9904" width="13.875" style="2" customWidth="1"/>
    <col min="9905" max="9907" width="13.875" style="2" bestFit="1" customWidth="1"/>
    <col min="9908" max="9908" width="12.75" style="2" bestFit="1" customWidth="1"/>
    <col min="9909" max="9909" width="14.25" style="2" customWidth="1"/>
    <col min="9910" max="9910" width="15.25" style="2" bestFit="1" customWidth="1"/>
    <col min="9911" max="9911" width="12.75" style="2" bestFit="1" customWidth="1"/>
    <col min="9912" max="9912" width="15.375" style="2" bestFit="1" customWidth="1"/>
    <col min="9913" max="9913" width="17.75" style="2" bestFit="1" customWidth="1"/>
    <col min="9914" max="9914" width="7.75" style="2" bestFit="1" customWidth="1"/>
    <col min="9915" max="9915" width="13.25" style="2" customWidth="1"/>
    <col min="9916" max="9916" width="23.625" style="2" customWidth="1"/>
    <col min="9917" max="10157" width="58.25" style="2"/>
    <col min="10158" max="10158" width="8" style="2" customWidth="1"/>
    <col min="10159" max="10159" width="67" style="2" customWidth="1"/>
    <col min="10160" max="10160" width="13.875" style="2" customWidth="1"/>
    <col min="10161" max="10163" width="13.875" style="2" bestFit="1" customWidth="1"/>
    <col min="10164" max="10164" width="12.75" style="2" bestFit="1" customWidth="1"/>
    <col min="10165" max="10165" width="14.25" style="2" customWidth="1"/>
    <col min="10166" max="10166" width="15.25" style="2" bestFit="1" customWidth="1"/>
    <col min="10167" max="10167" width="12.75" style="2" bestFit="1" customWidth="1"/>
    <col min="10168" max="10168" width="15.375" style="2" bestFit="1" customWidth="1"/>
    <col min="10169" max="10169" width="17.75" style="2" bestFit="1" customWidth="1"/>
    <col min="10170" max="10170" width="7.75" style="2" bestFit="1" customWidth="1"/>
    <col min="10171" max="10171" width="13.25" style="2" customWidth="1"/>
    <col min="10172" max="10172" width="23.625" style="2" customWidth="1"/>
    <col min="10173" max="10413" width="58.25" style="2"/>
    <col min="10414" max="10414" width="8" style="2" customWidth="1"/>
    <col min="10415" max="10415" width="67" style="2" customWidth="1"/>
    <col min="10416" max="10416" width="13.875" style="2" customWidth="1"/>
    <col min="10417" max="10419" width="13.875" style="2" bestFit="1" customWidth="1"/>
    <col min="10420" max="10420" width="12.75" style="2" bestFit="1" customWidth="1"/>
    <col min="10421" max="10421" width="14.25" style="2" customWidth="1"/>
    <col min="10422" max="10422" width="15.25" style="2" bestFit="1" customWidth="1"/>
    <col min="10423" max="10423" width="12.75" style="2" bestFit="1" customWidth="1"/>
    <col min="10424" max="10424" width="15.375" style="2" bestFit="1" customWidth="1"/>
    <col min="10425" max="10425" width="17.75" style="2" bestFit="1" customWidth="1"/>
    <col min="10426" max="10426" width="7.75" style="2" bestFit="1" customWidth="1"/>
    <col min="10427" max="10427" width="13.25" style="2" customWidth="1"/>
    <col min="10428" max="10428" width="23.625" style="2" customWidth="1"/>
    <col min="10429" max="10669" width="58.25" style="2"/>
    <col min="10670" max="10670" width="8" style="2" customWidth="1"/>
    <col min="10671" max="10671" width="67" style="2" customWidth="1"/>
    <col min="10672" max="10672" width="13.875" style="2" customWidth="1"/>
    <col min="10673" max="10675" width="13.875" style="2" bestFit="1" customWidth="1"/>
    <col min="10676" max="10676" width="12.75" style="2" bestFit="1" customWidth="1"/>
    <col min="10677" max="10677" width="14.25" style="2" customWidth="1"/>
    <col min="10678" max="10678" width="15.25" style="2" bestFit="1" customWidth="1"/>
    <col min="10679" max="10679" width="12.75" style="2" bestFit="1" customWidth="1"/>
    <col min="10680" max="10680" width="15.375" style="2" bestFit="1" customWidth="1"/>
    <col min="10681" max="10681" width="17.75" style="2" bestFit="1" customWidth="1"/>
    <col min="10682" max="10682" width="7.75" style="2" bestFit="1" customWidth="1"/>
    <col min="10683" max="10683" width="13.25" style="2" customWidth="1"/>
    <col min="10684" max="10684" width="23.625" style="2" customWidth="1"/>
    <col min="10685" max="10925" width="58.25" style="2"/>
    <col min="10926" max="10926" width="8" style="2" customWidth="1"/>
    <col min="10927" max="10927" width="67" style="2" customWidth="1"/>
    <col min="10928" max="10928" width="13.875" style="2" customWidth="1"/>
    <col min="10929" max="10931" width="13.875" style="2" bestFit="1" customWidth="1"/>
    <col min="10932" max="10932" width="12.75" style="2" bestFit="1" customWidth="1"/>
    <col min="10933" max="10933" width="14.25" style="2" customWidth="1"/>
    <col min="10934" max="10934" width="15.25" style="2" bestFit="1" customWidth="1"/>
    <col min="10935" max="10935" width="12.75" style="2" bestFit="1" customWidth="1"/>
    <col min="10936" max="10936" width="15.375" style="2" bestFit="1" customWidth="1"/>
    <col min="10937" max="10937" width="17.75" style="2" bestFit="1" customWidth="1"/>
    <col min="10938" max="10938" width="7.75" style="2" bestFit="1" customWidth="1"/>
    <col min="10939" max="10939" width="13.25" style="2" customWidth="1"/>
    <col min="10940" max="10940" width="23.625" style="2" customWidth="1"/>
    <col min="10941" max="11181" width="58.25" style="2"/>
    <col min="11182" max="11182" width="8" style="2" customWidth="1"/>
    <col min="11183" max="11183" width="67" style="2" customWidth="1"/>
    <col min="11184" max="11184" width="13.875" style="2" customWidth="1"/>
    <col min="11185" max="11187" width="13.875" style="2" bestFit="1" customWidth="1"/>
    <col min="11188" max="11188" width="12.75" style="2" bestFit="1" customWidth="1"/>
    <col min="11189" max="11189" width="14.25" style="2" customWidth="1"/>
    <col min="11190" max="11190" width="15.25" style="2" bestFit="1" customWidth="1"/>
    <col min="11191" max="11191" width="12.75" style="2" bestFit="1" customWidth="1"/>
    <col min="11192" max="11192" width="15.375" style="2" bestFit="1" customWidth="1"/>
    <col min="11193" max="11193" width="17.75" style="2" bestFit="1" customWidth="1"/>
    <col min="11194" max="11194" width="7.75" style="2" bestFit="1" customWidth="1"/>
    <col min="11195" max="11195" width="13.25" style="2" customWidth="1"/>
    <col min="11196" max="11196" width="23.625" style="2" customWidth="1"/>
    <col min="11197" max="11437" width="58.25" style="2"/>
    <col min="11438" max="11438" width="8" style="2" customWidth="1"/>
    <col min="11439" max="11439" width="67" style="2" customWidth="1"/>
    <col min="11440" max="11440" width="13.875" style="2" customWidth="1"/>
    <col min="11441" max="11443" width="13.875" style="2" bestFit="1" customWidth="1"/>
    <col min="11444" max="11444" width="12.75" style="2" bestFit="1" customWidth="1"/>
    <col min="11445" max="11445" width="14.25" style="2" customWidth="1"/>
    <col min="11446" max="11446" width="15.25" style="2" bestFit="1" customWidth="1"/>
    <col min="11447" max="11447" width="12.75" style="2" bestFit="1" customWidth="1"/>
    <col min="11448" max="11448" width="15.375" style="2" bestFit="1" customWidth="1"/>
    <col min="11449" max="11449" width="17.75" style="2" bestFit="1" customWidth="1"/>
    <col min="11450" max="11450" width="7.75" style="2" bestFit="1" customWidth="1"/>
    <col min="11451" max="11451" width="13.25" style="2" customWidth="1"/>
    <col min="11452" max="11452" width="23.625" style="2" customWidth="1"/>
    <col min="11453" max="11693" width="58.25" style="2"/>
    <col min="11694" max="11694" width="8" style="2" customWidth="1"/>
    <col min="11695" max="11695" width="67" style="2" customWidth="1"/>
    <col min="11696" max="11696" width="13.875" style="2" customWidth="1"/>
    <col min="11697" max="11699" width="13.875" style="2" bestFit="1" customWidth="1"/>
    <col min="11700" max="11700" width="12.75" style="2" bestFit="1" customWidth="1"/>
    <col min="11701" max="11701" width="14.25" style="2" customWidth="1"/>
    <col min="11702" max="11702" width="15.25" style="2" bestFit="1" customWidth="1"/>
    <col min="11703" max="11703" width="12.75" style="2" bestFit="1" customWidth="1"/>
    <col min="11704" max="11704" width="15.375" style="2" bestFit="1" customWidth="1"/>
    <col min="11705" max="11705" width="17.75" style="2" bestFit="1" customWidth="1"/>
    <col min="11706" max="11706" width="7.75" style="2" bestFit="1" customWidth="1"/>
    <col min="11707" max="11707" width="13.25" style="2" customWidth="1"/>
    <col min="11708" max="11708" width="23.625" style="2" customWidth="1"/>
    <col min="11709" max="11949" width="58.25" style="2"/>
    <col min="11950" max="11950" width="8" style="2" customWidth="1"/>
    <col min="11951" max="11951" width="67" style="2" customWidth="1"/>
    <col min="11952" max="11952" width="13.875" style="2" customWidth="1"/>
    <col min="11953" max="11955" width="13.875" style="2" bestFit="1" customWidth="1"/>
    <col min="11956" max="11956" width="12.75" style="2" bestFit="1" customWidth="1"/>
    <col min="11957" max="11957" width="14.25" style="2" customWidth="1"/>
    <col min="11958" max="11958" width="15.25" style="2" bestFit="1" customWidth="1"/>
    <col min="11959" max="11959" width="12.75" style="2" bestFit="1" customWidth="1"/>
    <col min="11960" max="11960" width="15.375" style="2" bestFit="1" customWidth="1"/>
    <col min="11961" max="11961" width="17.75" style="2" bestFit="1" customWidth="1"/>
    <col min="11962" max="11962" width="7.75" style="2" bestFit="1" customWidth="1"/>
    <col min="11963" max="11963" width="13.25" style="2" customWidth="1"/>
    <col min="11964" max="11964" width="23.625" style="2" customWidth="1"/>
    <col min="11965" max="12205" width="58.25" style="2"/>
    <col min="12206" max="12206" width="8" style="2" customWidth="1"/>
    <col min="12207" max="12207" width="67" style="2" customWidth="1"/>
    <col min="12208" max="12208" width="13.875" style="2" customWidth="1"/>
    <col min="12209" max="12211" width="13.875" style="2" bestFit="1" customWidth="1"/>
    <col min="12212" max="12212" width="12.75" style="2" bestFit="1" customWidth="1"/>
    <col min="12213" max="12213" width="14.25" style="2" customWidth="1"/>
    <col min="12214" max="12214" width="15.25" style="2" bestFit="1" customWidth="1"/>
    <col min="12215" max="12215" width="12.75" style="2" bestFit="1" customWidth="1"/>
    <col min="12216" max="12216" width="15.375" style="2" bestFit="1" customWidth="1"/>
    <col min="12217" max="12217" width="17.75" style="2" bestFit="1" customWidth="1"/>
    <col min="12218" max="12218" width="7.75" style="2" bestFit="1" customWidth="1"/>
    <col min="12219" max="12219" width="13.25" style="2" customWidth="1"/>
    <col min="12220" max="12220" width="23.625" style="2" customWidth="1"/>
    <col min="12221" max="12461" width="58.25" style="2"/>
    <col min="12462" max="12462" width="8" style="2" customWidth="1"/>
    <col min="12463" max="12463" width="67" style="2" customWidth="1"/>
    <col min="12464" max="12464" width="13.875" style="2" customWidth="1"/>
    <col min="12465" max="12467" width="13.875" style="2" bestFit="1" customWidth="1"/>
    <col min="12468" max="12468" width="12.75" style="2" bestFit="1" customWidth="1"/>
    <col min="12469" max="12469" width="14.25" style="2" customWidth="1"/>
    <col min="12470" max="12470" width="15.25" style="2" bestFit="1" customWidth="1"/>
    <col min="12471" max="12471" width="12.75" style="2" bestFit="1" customWidth="1"/>
    <col min="12472" max="12472" width="15.375" style="2" bestFit="1" customWidth="1"/>
    <col min="12473" max="12473" width="17.75" style="2" bestFit="1" customWidth="1"/>
    <col min="12474" max="12474" width="7.75" style="2" bestFit="1" customWidth="1"/>
    <col min="12475" max="12475" width="13.25" style="2" customWidth="1"/>
    <col min="12476" max="12476" width="23.625" style="2" customWidth="1"/>
    <col min="12477" max="12717" width="58.25" style="2"/>
    <col min="12718" max="12718" width="8" style="2" customWidth="1"/>
    <col min="12719" max="12719" width="67" style="2" customWidth="1"/>
    <col min="12720" max="12720" width="13.875" style="2" customWidth="1"/>
    <col min="12721" max="12723" width="13.875" style="2" bestFit="1" customWidth="1"/>
    <col min="12724" max="12724" width="12.75" style="2" bestFit="1" customWidth="1"/>
    <col min="12725" max="12725" width="14.25" style="2" customWidth="1"/>
    <col min="12726" max="12726" width="15.25" style="2" bestFit="1" customWidth="1"/>
    <col min="12727" max="12727" width="12.75" style="2" bestFit="1" customWidth="1"/>
    <col min="12728" max="12728" width="15.375" style="2" bestFit="1" customWidth="1"/>
    <col min="12729" max="12729" width="17.75" style="2" bestFit="1" customWidth="1"/>
    <col min="12730" max="12730" width="7.75" style="2" bestFit="1" customWidth="1"/>
    <col min="12731" max="12731" width="13.25" style="2" customWidth="1"/>
    <col min="12732" max="12732" width="23.625" style="2" customWidth="1"/>
    <col min="12733" max="12973" width="58.25" style="2"/>
    <col min="12974" max="12974" width="8" style="2" customWidth="1"/>
    <col min="12975" max="12975" width="67" style="2" customWidth="1"/>
    <col min="12976" max="12976" width="13.875" style="2" customWidth="1"/>
    <col min="12977" max="12979" width="13.875" style="2" bestFit="1" customWidth="1"/>
    <col min="12980" max="12980" width="12.75" style="2" bestFit="1" customWidth="1"/>
    <col min="12981" max="12981" width="14.25" style="2" customWidth="1"/>
    <col min="12982" max="12982" width="15.25" style="2" bestFit="1" customWidth="1"/>
    <col min="12983" max="12983" width="12.75" style="2" bestFit="1" customWidth="1"/>
    <col min="12984" max="12984" width="15.375" style="2" bestFit="1" customWidth="1"/>
    <col min="12985" max="12985" width="17.75" style="2" bestFit="1" customWidth="1"/>
    <col min="12986" max="12986" width="7.75" style="2" bestFit="1" customWidth="1"/>
    <col min="12987" max="12987" width="13.25" style="2" customWidth="1"/>
    <col min="12988" max="12988" width="23.625" style="2" customWidth="1"/>
    <col min="12989" max="13229" width="58.25" style="2"/>
    <col min="13230" max="13230" width="8" style="2" customWidth="1"/>
    <col min="13231" max="13231" width="67" style="2" customWidth="1"/>
    <col min="13232" max="13232" width="13.875" style="2" customWidth="1"/>
    <col min="13233" max="13235" width="13.875" style="2" bestFit="1" customWidth="1"/>
    <col min="13236" max="13236" width="12.75" style="2" bestFit="1" customWidth="1"/>
    <col min="13237" max="13237" width="14.25" style="2" customWidth="1"/>
    <col min="13238" max="13238" width="15.25" style="2" bestFit="1" customWidth="1"/>
    <col min="13239" max="13239" width="12.75" style="2" bestFit="1" customWidth="1"/>
    <col min="13240" max="13240" width="15.375" style="2" bestFit="1" customWidth="1"/>
    <col min="13241" max="13241" width="17.75" style="2" bestFit="1" customWidth="1"/>
    <col min="13242" max="13242" width="7.75" style="2" bestFit="1" customWidth="1"/>
    <col min="13243" max="13243" width="13.25" style="2" customWidth="1"/>
    <col min="13244" max="13244" width="23.625" style="2" customWidth="1"/>
    <col min="13245" max="13485" width="58.25" style="2"/>
    <col min="13486" max="13486" width="8" style="2" customWidth="1"/>
    <col min="13487" max="13487" width="67" style="2" customWidth="1"/>
    <col min="13488" max="13488" width="13.875" style="2" customWidth="1"/>
    <col min="13489" max="13491" width="13.875" style="2" bestFit="1" customWidth="1"/>
    <col min="13492" max="13492" width="12.75" style="2" bestFit="1" customWidth="1"/>
    <col min="13493" max="13493" width="14.25" style="2" customWidth="1"/>
    <col min="13494" max="13494" width="15.25" style="2" bestFit="1" customWidth="1"/>
    <col min="13495" max="13495" width="12.75" style="2" bestFit="1" customWidth="1"/>
    <col min="13496" max="13496" width="15.375" style="2" bestFit="1" customWidth="1"/>
    <col min="13497" max="13497" width="17.75" style="2" bestFit="1" customWidth="1"/>
    <col min="13498" max="13498" width="7.75" style="2" bestFit="1" customWidth="1"/>
    <col min="13499" max="13499" width="13.25" style="2" customWidth="1"/>
    <col min="13500" max="13500" width="23.625" style="2" customWidth="1"/>
    <col min="13501" max="13741" width="58.25" style="2"/>
    <col min="13742" max="13742" width="8" style="2" customWidth="1"/>
    <col min="13743" max="13743" width="67" style="2" customWidth="1"/>
    <col min="13744" max="13744" width="13.875" style="2" customWidth="1"/>
    <col min="13745" max="13747" width="13.875" style="2" bestFit="1" customWidth="1"/>
    <col min="13748" max="13748" width="12.75" style="2" bestFit="1" customWidth="1"/>
    <col min="13749" max="13749" width="14.25" style="2" customWidth="1"/>
    <col min="13750" max="13750" width="15.25" style="2" bestFit="1" customWidth="1"/>
    <col min="13751" max="13751" width="12.75" style="2" bestFit="1" customWidth="1"/>
    <col min="13752" max="13752" width="15.375" style="2" bestFit="1" customWidth="1"/>
    <col min="13753" max="13753" width="17.75" style="2" bestFit="1" customWidth="1"/>
    <col min="13754" max="13754" width="7.75" style="2" bestFit="1" customWidth="1"/>
    <col min="13755" max="13755" width="13.25" style="2" customWidth="1"/>
    <col min="13756" max="13756" width="23.625" style="2" customWidth="1"/>
    <col min="13757" max="13997" width="58.25" style="2"/>
    <col min="13998" max="13998" width="8" style="2" customWidth="1"/>
    <col min="13999" max="13999" width="67" style="2" customWidth="1"/>
    <col min="14000" max="14000" width="13.875" style="2" customWidth="1"/>
    <col min="14001" max="14003" width="13.875" style="2" bestFit="1" customWidth="1"/>
    <col min="14004" max="14004" width="12.75" style="2" bestFit="1" customWidth="1"/>
    <col min="14005" max="14005" width="14.25" style="2" customWidth="1"/>
    <col min="14006" max="14006" width="15.25" style="2" bestFit="1" customWidth="1"/>
    <col min="14007" max="14007" width="12.75" style="2" bestFit="1" customWidth="1"/>
    <col min="14008" max="14008" width="15.375" style="2" bestFit="1" customWidth="1"/>
    <col min="14009" max="14009" width="17.75" style="2" bestFit="1" customWidth="1"/>
    <col min="14010" max="14010" width="7.75" style="2" bestFit="1" customWidth="1"/>
    <col min="14011" max="14011" width="13.25" style="2" customWidth="1"/>
    <col min="14012" max="14012" width="23.625" style="2" customWidth="1"/>
    <col min="14013" max="14253" width="58.25" style="2"/>
    <col min="14254" max="14254" width="8" style="2" customWidth="1"/>
    <col min="14255" max="14255" width="67" style="2" customWidth="1"/>
    <col min="14256" max="14256" width="13.875" style="2" customWidth="1"/>
    <col min="14257" max="14259" width="13.875" style="2" bestFit="1" customWidth="1"/>
    <col min="14260" max="14260" width="12.75" style="2" bestFit="1" customWidth="1"/>
    <col min="14261" max="14261" width="14.25" style="2" customWidth="1"/>
    <col min="14262" max="14262" width="15.25" style="2" bestFit="1" customWidth="1"/>
    <col min="14263" max="14263" width="12.75" style="2" bestFit="1" customWidth="1"/>
    <col min="14264" max="14264" width="15.375" style="2" bestFit="1" customWidth="1"/>
    <col min="14265" max="14265" width="17.75" style="2" bestFit="1" customWidth="1"/>
    <col min="14266" max="14266" width="7.75" style="2" bestFit="1" customWidth="1"/>
    <col min="14267" max="14267" width="13.25" style="2" customWidth="1"/>
    <col min="14268" max="14268" width="23.625" style="2" customWidth="1"/>
    <col min="14269" max="14509" width="58.25" style="2"/>
    <col min="14510" max="14510" width="8" style="2" customWidth="1"/>
    <col min="14511" max="14511" width="67" style="2" customWidth="1"/>
    <col min="14512" max="14512" width="13.875" style="2" customWidth="1"/>
    <col min="14513" max="14515" width="13.875" style="2" bestFit="1" customWidth="1"/>
    <col min="14516" max="14516" width="12.75" style="2" bestFit="1" customWidth="1"/>
    <col min="14517" max="14517" width="14.25" style="2" customWidth="1"/>
    <col min="14518" max="14518" width="15.25" style="2" bestFit="1" customWidth="1"/>
    <col min="14519" max="14519" width="12.75" style="2" bestFit="1" customWidth="1"/>
    <col min="14520" max="14520" width="15.375" style="2" bestFit="1" customWidth="1"/>
    <col min="14521" max="14521" width="17.75" style="2" bestFit="1" customWidth="1"/>
    <col min="14522" max="14522" width="7.75" style="2" bestFit="1" customWidth="1"/>
    <col min="14523" max="14523" width="13.25" style="2" customWidth="1"/>
    <col min="14524" max="14524" width="23.625" style="2" customWidth="1"/>
    <col min="14525" max="14765" width="58.25" style="2"/>
    <col min="14766" max="14766" width="8" style="2" customWidth="1"/>
    <col min="14767" max="14767" width="67" style="2" customWidth="1"/>
    <col min="14768" max="14768" width="13.875" style="2" customWidth="1"/>
    <col min="14769" max="14771" width="13.875" style="2" bestFit="1" customWidth="1"/>
    <col min="14772" max="14772" width="12.75" style="2" bestFit="1" customWidth="1"/>
    <col min="14773" max="14773" width="14.25" style="2" customWidth="1"/>
    <col min="14774" max="14774" width="15.25" style="2" bestFit="1" customWidth="1"/>
    <col min="14775" max="14775" width="12.75" style="2" bestFit="1" customWidth="1"/>
    <col min="14776" max="14776" width="15.375" style="2" bestFit="1" customWidth="1"/>
    <col min="14777" max="14777" width="17.75" style="2" bestFit="1" customWidth="1"/>
    <col min="14778" max="14778" width="7.75" style="2" bestFit="1" customWidth="1"/>
    <col min="14779" max="14779" width="13.25" style="2" customWidth="1"/>
    <col min="14780" max="14780" width="23.625" style="2" customWidth="1"/>
    <col min="14781" max="15021" width="58.25" style="2"/>
    <col min="15022" max="15022" width="8" style="2" customWidth="1"/>
    <col min="15023" max="15023" width="67" style="2" customWidth="1"/>
    <col min="15024" max="15024" width="13.875" style="2" customWidth="1"/>
    <col min="15025" max="15027" width="13.875" style="2" bestFit="1" customWidth="1"/>
    <col min="15028" max="15028" width="12.75" style="2" bestFit="1" customWidth="1"/>
    <col min="15029" max="15029" width="14.25" style="2" customWidth="1"/>
    <col min="15030" max="15030" width="15.25" style="2" bestFit="1" customWidth="1"/>
    <col min="15031" max="15031" width="12.75" style="2" bestFit="1" customWidth="1"/>
    <col min="15032" max="15032" width="15.375" style="2" bestFit="1" customWidth="1"/>
    <col min="15033" max="15033" width="17.75" style="2" bestFit="1" customWidth="1"/>
    <col min="15034" max="15034" width="7.75" style="2" bestFit="1" customWidth="1"/>
    <col min="15035" max="15035" width="13.25" style="2" customWidth="1"/>
    <col min="15036" max="15036" width="23.625" style="2" customWidth="1"/>
    <col min="15037" max="15277" width="58.25" style="2"/>
    <col min="15278" max="15278" width="8" style="2" customWidth="1"/>
    <col min="15279" max="15279" width="67" style="2" customWidth="1"/>
    <col min="15280" max="15280" width="13.875" style="2" customWidth="1"/>
    <col min="15281" max="15283" width="13.875" style="2" bestFit="1" customWidth="1"/>
    <col min="15284" max="15284" width="12.75" style="2" bestFit="1" customWidth="1"/>
    <col min="15285" max="15285" width="14.25" style="2" customWidth="1"/>
    <col min="15286" max="15286" width="15.25" style="2" bestFit="1" customWidth="1"/>
    <col min="15287" max="15287" width="12.75" style="2" bestFit="1" customWidth="1"/>
    <col min="15288" max="15288" width="15.375" style="2" bestFit="1" customWidth="1"/>
    <col min="15289" max="15289" width="17.75" style="2" bestFit="1" customWidth="1"/>
    <col min="15290" max="15290" width="7.75" style="2" bestFit="1" customWidth="1"/>
    <col min="15291" max="15291" width="13.25" style="2" customWidth="1"/>
    <col min="15292" max="15292" width="23.625" style="2" customWidth="1"/>
    <col min="15293" max="15533" width="58.25" style="2"/>
    <col min="15534" max="15534" width="8" style="2" customWidth="1"/>
    <col min="15535" max="15535" width="67" style="2" customWidth="1"/>
    <col min="15536" max="15536" width="13.875" style="2" customWidth="1"/>
    <col min="15537" max="15539" width="13.875" style="2" bestFit="1" customWidth="1"/>
    <col min="15540" max="15540" width="12.75" style="2" bestFit="1" customWidth="1"/>
    <col min="15541" max="15541" width="14.25" style="2" customWidth="1"/>
    <col min="15542" max="15542" width="15.25" style="2" bestFit="1" customWidth="1"/>
    <col min="15543" max="15543" width="12.75" style="2" bestFit="1" customWidth="1"/>
    <col min="15544" max="15544" width="15.375" style="2" bestFit="1" customWidth="1"/>
    <col min="15545" max="15545" width="17.75" style="2" bestFit="1" customWidth="1"/>
    <col min="15546" max="15546" width="7.75" style="2" bestFit="1" customWidth="1"/>
    <col min="15547" max="15547" width="13.25" style="2" customWidth="1"/>
    <col min="15548" max="15548" width="23.625" style="2" customWidth="1"/>
    <col min="15549" max="15789" width="58.25" style="2"/>
    <col min="15790" max="15790" width="8" style="2" customWidth="1"/>
    <col min="15791" max="15791" width="67" style="2" customWidth="1"/>
    <col min="15792" max="15792" width="13.875" style="2" customWidth="1"/>
    <col min="15793" max="15795" width="13.875" style="2" bestFit="1" customWidth="1"/>
    <col min="15796" max="15796" width="12.75" style="2" bestFit="1" customWidth="1"/>
    <col min="15797" max="15797" width="14.25" style="2" customWidth="1"/>
    <col min="15798" max="15798" width="15.25" style="2" bestFit="1" customWidth="1"/>
    <col min="15799" max="15799" width="12.75" style="2" bestFit="1" customWidth="1"/>
    <col min="15800" max="15800" width="15.375" style="2" bestFit="1" customWidth="1"/>
    <col min="15801" max="15801" width="17.75" style="2" bestFit="1" customWidth="1"/>
    <col min="15802" max="15802" width="7.75" style="2" bestFit="1" customWidth="1"/>
    <col min="15803" max="15803" width="13.25" style="2" customWidth="1"/>
    <col min="15804" max="15804" width="23.625" style="2" customWidth="1"/>
    <col min="15805" max="16045" width="58.25" style="2"/>
    <col min="16046" max="16046" width="8" style="2" customWidth="1"/>
    <col min="16047" max="16047" width="67" style="2" customWidth="1"/>
    <col min="16048" max="16048" width="13.875" style="2" customWidth="1"/>
    <col min="16049" max="16051" width="13.875" style="2" bestFit="1" customWidth="1"/>
    <col min="16052" max="16052" width="12.75" style="2" bestFit="1" customWidth="1"/>
    <col min="16053" max="16053" width="14.25" style="2" customWidth="1"/>
    <col min="16054" max="16054" width="15.25" style="2" bestFit="1" customWidth="1"/>
    <col min="16055" max="16055" width="12.75" style="2" bestFit="1" customWidth="1"/>
    <col min="16056" max="16056" width="15.375" style="2" bestFit="1" customWidth="1"/>
    <col min="16057" max="16057" width="17.75" style="2" bestFit="1" customWidth="1"/>
    <col min="16058" max="16058" width="7.75" style="2" bestFit="1" customWidth="1"/>
    <col min="16059" max="16059" width="13.25" style="2" customWidth="1"/>
    <col min="16060" max="16060" width="23.625" style="2" customWidth="1"/>
    <col min="16061" max="16384" width="58.25" style="2"/>
  </cols>
  <sheetData>
    <row r="1" spans="1:11" x14ac:dyDescent="0.25">
      <c r="K1" s="81" t="s">
        <v>81</v>
      </c>
    </row>
    <row r="2" spans="1:11" x14ac:dyDescent="0.25">
      <c r="K2" s="81" t="s">
        <v>78</v>
      </c>
    </row>
    <row r="3" spans="1:11" x14ac:dyDescent="0.25">
      <c r="K3" s="82" t="s">
        <v>79</v>
      </c>
    </row>
    <row r="4" spans="1:11" x14ac:dyDescent="0.25">
      <c r="K4" s="82" t="s">
        <v>80</v>
      </c>
    </row>
    <row r="5" spans="1:11" x14ac:dyDescent="0.25">
      <c r="K5" s="81" t="s">
        <v>64</v>
      </c>
    </row>
    <row r="7" spans="1:11" x14ac:dyDescent="0.25">
      <c r="H7" s="5"/>
      <c r="I7" s="80" t="s">
        <v>65</v>
      </c>
      <c r="J7" s="80"/>
      <c r="K7" s="80"/>
    </row>
    <row r="8" spans="1:11" x14ac:dyDescent="0.25">
      <c r="H8" s="80" t="s">
        <v>66</v>
      </c>
      <c r="I8" s="80"/>
      <c r="J8" s="80"/>
      <c r="K8" s="80"/>
    </row>
    <row r="9" spans="1:11" x14ac:dyDescent="0.25">
      <c r="H9" s="5"/>
      <c r="I9" s="80" t="s">
        <v>64</v>
      </c>
      <c r="J9" s="80"/>
      <c r="K9" s="80"/>
    </row>
    <row r="10" spans="1:11" x14ac:dyDescent="0.25">
      <c r="H10" s="5"/>
      <c r="I10" s="1"/>
      <c r="J10" s="1"/>
      <c r="K10" s="1"/>
    </row>
    <row r="11" spans="1:11" x14ac:dyDescent="0.25">
      <c r="A11" s="79" t="s">
        <v>70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16.3" thickBot="1" x14ac:dyDescent="0.3">
      <c r="B12" s="6"/>
      <c r="C12" s="7"/>
      <c r="D12" s="7"/>
      <c r="E12" s="7"/>
      <c r="F12" s="7"/>
      <c r="G12" s="7"/>
      <c r="H12" s="7"/>
      <c r="I12" s="7"/>
      <c r="J12" s="7"/>
      <c r="K12" s="8" t="s">
        <v>0</v>
      </c>
    </row>
    <row r="13" spans="1:11" ht="31.95" thickBot="1" x14ac:dyDescent="0.3">
      <c r="A13" s="9" t="s">
        <v>1</v>
      </c>
      <c r="B13" s="10" t="s">
        <v>2</v>
      </c>
      <c r="C13" s="11" t="s">
        <v>3</v>
      </c>
      <c r="D13" s="11" t="s">
        <v>4</v>
      </c>
      <c r="E13" s="11" t="s">
        <v>5</v>
      </c>
      <c r="F13" s="11" t="s">
        <v>6</v>
      </c>
      <c r="G13" s="11" t="s">
        <v>7</v>
      </c>
      <c r="H13" s="11" t="s">
        <v>8</v>
      </c>
      <c r="I13" s="11" t="s">
        <v>9</v>
      </c>
      <c r="J13" s="11" t="s">
        <v>10</v>
      </c>
      <c r="K13" s="12" t="s">
        <v>11</v>
      </c>
    </row>
    <row r="14" spans="1:11" ht="16.3" thickBot="1" x14ac:dyDescent="0.3">
      <c r="A14" s="13">
        <v>1000000</v>
      </c>
      <c r="B14" s="14" t="s">
        <v>12</v>
      </c>
      <c r="C14" s="15">
        <f t="shared" ref="C14:J14" si="0">SUM(C15+C25+C31+C33+C43+C46)</f>
        <v>1083192030</v>
      </c>
      <c r="D14" s="16">
        <f t="shared" si="0"/>
        <v>225496723</v>
      </c>
      <c r="E14" s="16">
        <f t="shared" si="0"/>
        <v>260628778</v>
      </c>
      <c r="F14" s="16">
        <f t="shared" si="0"/>
        <v>218648479</v>
      </c>
      <c r="G14" s="16">
        <f t="shared" si="0"/>
        <v>103288952</v>
      </c>
      <c r="H14" s="16">
        <f t="shared" si="0"/>
        <v>138572010</v>
      </c>
      <c r="I14" s="16">
        <f t="shared" si="0"/>
        <v>67471572</v>
      </c>
      <c r="J14" s="16">
        <f t="shared" si="0"/>
        <v>36758441</v>
      </c>
      <c r="K14" s="17">
        <f>SUM(C14:J14)</f>
        <v>2134056985</v>
      </c>
    </row>
    <row r="15" spans="1:11" x14ac:dyDescent="0.25">
      <c r="A15" s="18">
        <v>1010000</v>
      </c>
      <c r="B15" s="19" t="s">
        <v>13</v>
      </c>
      <c r="C15" s="20">
        <f>C16+C17+C19+C20+C21+C22+C23</f>
        <v>640290797</v>
      </c>
      <c r="D15" s="20">
        <f t="shared" ref="D15:J15" si="1">D16+D17+D19+D20+D21+D22+D23</f>
        <v>214429988</v>
      </c>
      <c r="E15" s="20">
        <f t="shared" si="1"/>
        <v>220063890</v>
      </c>
      <c r="F15" s="20">
        <f t="shared" si="1"/>
        <v>166931273</v>
      </c>
      <c r="G15" s="20">
        <f t="shared" si="1"/>
        <v>78587876</v>
      </c>
      <c r="H15" s="20">
        <f t="shared" si="1"/>
        <v>97931095</v>
      </c>
      <c r="I15" s="20">
        <f t="shared" si="1"/>
        <v>42238154</v>
      </c>
      <c r="J15" s="20">
        <f t="shared" si="1"/>
        <v>25825120</v>
      </c>
      <c r="K15" s="21">
        <f t="shared" ref="K15:K78" si="2">SUM(C15:J15)</f>
        <v>1486298193</v>
      </c>
    </row>
    <row r="16" spans="1:11" x14ac:dyDescent="0.25">
      <c r="A16" s="22">
        <v>1010100</v>
      </c>
      <c r="B16" s="23" t="s">
        <v>14</v>
      </c>
      <c r="C16" s="24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6">
        <f t="shared" si="2"/>
        <v>0</v>
      </c>
    </row>
    <row r="17" spans="1:11" ht="31.25" x14ac:dyDescent="0.25">
      <c r="A17" s="22">
        <v>1010200</v>
      </c>
      <c r="B17" s="23" t="s">
        <v>15</v>
      </c>
      <c r="C17" s="24">
        <f>375042744-1112067-329408</f>
        <v>373601269</v>
      </c>
      <c r="D17" s="25">
        <f>160990611+19392000</f>
        <v>180382611</v>
      </c>
      <c r="E17" s="25">
        <f>112336697+108046+388966+1967046</f>
        <v>114800755</v>
      </c>
      <c r="F17" s="25">
        <f>83893901+39491+142169+400000</f>
        <v>84475561</v>
      </c>
      <c r="G17" s="25">
        <f>45067071+500547</f>
        <v>45567618</v>
      </c>
      <c r="H17" s="25">
        <f>54879106-25562-92025</f>
        <v>54761519</v>
      </c>
      <c r="I17" s="25">
        <v>20656810</v>
      </c>
      <c r="J17" s="25">
        <v>13023709</v>
      </c>
      <c r="K17" s="26">
        <f t="shared" si="2"/>
        <v>887269852</v>
      </c>
    </row>
    <row r="18" spans="1:11" ht="31.25" x14ac:dyDescent="0.25">
      <c r="A18" s="27">
        <v>1010290</v>
      </c>
      <c r="B18" s="28" t="s">
        <v>16</v>
      </c>
      <c r="C18" s="29">
        <f>118028034-313364</f>
        <v>117714670</v>
      </c>
      <c r="D18" s="30">
        <f>33769006+4216000</f>
        <v>37985006</v>
      </c>
      <c r="E18" s="30">
        <f>18314136+108046</f>
        <v>18422182</v>
      </c>
      <c r="F18" s="30">
        <f>8480829+39491</f>
        <v>8520320</v>
      </c>
      <c r="G18" s="30">
        <v>3251851</v>
      </c>
      <c r="H18" s="30">
        <f>5297884-25562</f>
        <v>5272322</v>
      </c>
      <c r="I18" s="30">
        <v>1772138</v>
      </c>
      <c r="J18" s="30">
        <v>812619</v>
      </c>
      <c r="K18" s="31">
        <f t="shared" si="2"/>
        <v>193751108</v>
      </c>
    </row>
    <row r="19" spans="1:11" x14ac:dyDescent="0.25">
      <c r="A19" s="22">
        <v>1010400</v>
      </c>
      <c r="B19" s="23" t="s">
        <v>17</v>
      </c>
      <c r="C19" s="24">
        <v>2331600</v>
      </c>
      <c r="D19" s="25">
        <v>0</v>
      </c>
      <c r="E19" s="25">
        <v>1322400</v>
      </c>
      <c r="F19" s="25">
        <v>435000</v>
      </c>
      <c r="G19" s="25">
        <v>487200</v>
      </c>
      <c r="H19" s="25">
        <v>243600</v>
      </c>
      <c r="I19" s="25">
        <v>156600</v>
      </c>
      <c r="J19" s="25">
        <v>295800</v>
      </c>
      <c r="K19" s="26">
        <f t="shared" si="2"/>
        <v>5272200</v>
      </c>
    </row>
    <row r="20" spans="1:11" ht="46.9" x14ac:dyDescent="0.25">
      <c r="A20" s="22">
        <v>1010500</v>
      </c>
      <c r="B20" s="32" t="s">
        <v>18</v>
      </c>
      <c r="C20" s="24">
        <v>7731334</v>
      </c>
      <c r="D20" s="25">
        <v>241753</v>
      </c>
      <c r="E20" s="25">
        <v>4530940</v>
      </c>
      <c r="F20" s="25">
        <v>3273551</v>
      </c>
      <c r="G20" s="25">
        <v>1343247</v>
      </c>
      <c r="H20" s="25">
        <v>3320862</v>
      </c>
      <c r="I20" s="25">
        <f>1543724-126574</f>
        <v>1417150</v>
      </c>
      <c r="J20" s="25">
        <v>1139618</v>
      </c>
      <c r="K20" s="26">
        <f t="shared" si="2"/>
        <v>22998455</v>
      </c>
    </row>
    <row r="21" spans="1:11" ht="46.9" x14ac:dyDescent="0.25">
      <c r="A21" s="22">
        <v>1010600</v>
      </c>
      <c r="B21" s="23" t="s">
        <v>19</v>
      </c>
      <c r="C21" s="24">
        <v>16167883</v>
      </c>
      <c r="D21" s="25">
        <v>105221</v>
      </c>
      <c r="E21" s="25">
        <f>4546250+2070799</f>
        <v>6617049</v>
      </c>
      <c r="F21" s="25">
        <v>1191159</v>
      </c>
      <c r="G21" s="25">
        <v>550913</v>
      </c>
      <c r="H21" s="25">
        <f>932148+270872</f>
        <v>1203020</v>
      </c>
      <c r="I21" s="25">
        <v>87619</v>
      </c>
      <c r="J21" s="25">
        <v>12965</v>
      </c>
      <c r="K21" s="26">
        <f t="shared" si="2"/>
        <v>25935829</v>
      </c>
    </row>
    <row r="22" spans="1:11" ht="46.9" x14ac:dyDescent="0.25">
      <c r="A22" s="22">
        <v>1010601</v>
      </c>
      <c r="B22" s="23" t="s">
        <v>20</v>
      </c>
      <c r="C22" s="24">
        <f>8961083+3453935</f>
        <v>12415018</v>
      </c>
      <c r="D22" s="25">
        <v>69772</v>
      </c>
      <c r="E22" s="25">
        <v>3935501</v>
      </c>
      <c r="F22" s="25">
        <v>1145877</v>
      </c>
      <c r="G22" s="25">
        <v>944263</v>
      </c>
      <c r="H22" s="25">
        <f>1475719+741604</f>
        <v>2217323</v>
      </c>
      <c r="I22" s="25">
        <v>428668</v>
      </c>
      <c r="J22" s="25">
        <v>296654</v>
      </c>
      <c r="K22" s="26">
        <f t="shared" si="2"/>
        <v>21453076</v>
      </c>
    </row>
    <row r="23" spans="1:11" x14ac:dyDescent="0.25">
      <c r="A23" s="22">
        <v>1010700</v>
      </c>
      <c r="B23" s="23" t="s">
        <v>21</v>
      </c>
      <c r="C23" s="24">
        <f>206609004+10234397+2288596+8911696</f>
        <v>228043693</v>
      </c>
      <c r="D23" s="25">
        <f>32250048+1256943+123640</f>
        <v>33630631</v>
      </c>
      <c r="E23" s="25">
        <f>77076723+4945352+1575817+5259353</f>
        <v>88857245</v>
      </c>
      <c r="F23" s="25">
        <f>71906160+3667017+836948</f>
        <v>76410125</v>
      </c>
      <c r="G23" s="25">
        <f>25241353+1830752+644406+1978124</f>
        <v>29694635</v>
      </c>
      <c r="H23" s="25">
        <f>29796712+2409461+929374+3049224</f>
        <v>36184771</v>
      </c>
      <c r="I23" s="25">
        <f>18275605+974327+241375</f>
        <v>19491307</v>
      </c>
      <c r="J23" s="25">
        <f>9522683+622806+200270+710615</f>
        <v>11056374</v>
      </c>
      <c r="K23" s="26">
        <f t="shared" si="2"/>
        <v>523368781</v>
      </c>
    </row>
    <row r="24" spans="1:11" x14ac:dyDescent="0.25">
      <c r="A24" s="27"/>
      <c r="B24" s="23"/>
      <c r="C24" s="24"/>
      <c r="D24" s="25"/>
      <c r="E24" s="25"/>
      <c r="F24" s="25"/>
      <c r="G24" s="25"/>
      <c r="H24" s="25"/>
      <c r="I24" s="25"/>
      <c r="J24" s="25"/>
      <c r="K24" s="26">
        <f t="shared" si="2"/>
        <v>0</v>
      </c>
    </row>
    <row r="25" spans="1:11" ht="31.25" x14ac:dyDescent="0.25">
      <c r="A25" s="22">
        <v>1020000</v>
      </c>
      <c r="B25" s="23" t="s">
        <v>22</v>
      </c>
      <c r="C25" s="24">
        <f t="shared" ref="C25:J25" si="3">SUM(C26:C29)</f>
        <v>31557744</v>
      </c>
      <c r="D25" s="24">
        <f t="shared" si="3"/>
        <v>135532</v>
      </c>
      <c r="E25" s="24">
        <f t="shared" si="3"/>
        <v>12539734</v>
      </c>
      <c r="F25" s="24">
        <f t="shared" si="3"/>
        <v>296922</v>
      </c>
      <c r="G25" s="24">
        <f t="shared" si="3"/>
        <v>4354516</v>
      </c>
      <c r="H25" s="24">
        <f t="shared" si="3"/>
        <v>135736</v>
      </c>
      <c r="I25" s="24">
        <f t="shared" si="3"/>
        <v>27168</v>
      </c>
      <c r="J25" s="24">
        <f t="shared" si="3"/>
        <v>128229</v>
      </c>
      <c r="K25" s="26">
        <f t="shared" si="2"/>
        <v>49175581</v>
      </c>
    </row>
    <row r="26" spans="1:11" x14ac:dyDescent="0.25">
      <c r="A26" s="22">
        <v>1020100</v>
      </c>
      <c r="B26" s="23" t="s">
        <v>23</v>
      </c>
      <c r="C26" s="24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6">
        <f t="shared" si="2"/>
        <v>0</v>
      </c>
    </row>
    <row r="27" spans="1:11" ht="31.25" x14ac:dyDescent="0.25">
      <c r="A27" s="22">
        <v>1020200</v>
      </c>
      <c r="B27" s="23" t="s">
        <v>24</v>
      </c>
      <c r="C27" s="24">
        <v>29254544</v>
      </c>
      <c r="D27" s="25">
        <v>0</v>
      </c>
      <c r="E27" s="25">
        <v>12345325</v>
      </c>
      <c r="F27" s="25">
        <v>128617</v>
      </c>
      <c r="G27" s="25">
        <v>4267814</v>
      </c>
      <c r="H27" s="25">
        <v>26417</v>
      </c>
      <c r="I27" s="25">
        <v>0</v>
      </c>
      <c r="J27" s="25">
        <v>79370</v>
      </c>
      <c r="K27" s="26">
        <f t="shared" si="2"/>
        <v>46102087</v>
      </c>
    </row>
    <row r="28" spans="1:11" ht="31.25" x14ac:dyDescent="0.25">
      <c r="A28" s="22">
        <v>1020400</v>
      </c>
      <c r="B28" s="23" t="s">
        <v>25</v>
      </c>
      <c r="C28" s="24">
        <v>675228</v>
      </c>
      <c r="D28" s="25">
        <v>0</v>
      </c>
      <c r="E28" s="25">
        <v>0</v>
      </c>
      <c r="F28" s="25">
        <v>0</v>
      </c>
      <c r="G28" s="25">
        <v>35031</v>
      </c>
      <c r="H28" s="25">
        <v>0</v>
      </c>
      <c r="I28" s="25">
        <v>0</v>
      </c>
      <c r="J28" s="25">
        <v>0</v>
      </c>
      <c r="K28" s="26">
        <f t="shared" si="2"/>
        <v>710259</v>
      </c>
    </row>
    <row r="29" spans="1:11" x14ac:dyDescent="0.25">
      <c r="A29" s="22">
        <v>1020500</v>
      </c>
      <c r="B29" s="23" t="s">
        <v>26</v>
      </c>
      <c r="C29" s="24">
        <v>1627972</v>
      </c>
      <c r="D29" s="25">
        <v>135532</v>
      </c>
      <c r="E29" s="25">
        <v>194409</v>
      </c>
      <c r="F29" s="25">
        <v>168305</v>
      </c>
      <c r="G29" s="25">
        <v>51671</v>
      </c>
      <c r="H29" s="25">
        <v>109319</v>
      </c>
      <c r="I29" s="25">
        <v>27168</v>
      </c>
      <c r="J29" s="25">
        <v>48859</v>
      </c>
      <c r="K29" s="26">
        <f t="shared" si="2"/>
        <v>2363235</v>
      </c>
    </row>
    <row r="30" spans="1:11" x14ac:dyDescent="0.25">
      <c r="A30" s="27"/>
      <c r="B30" s="23"/>
      <c r="C30" s="24"/>
      <c r="D30" s="25"/>
      <c r="E30" s="25"/>
      <c r="F30" s="25"/>
      <c r="G30" s="25"/>
      <c r="H30" s="25"/>
      <c r="I30" s="25"/>
      <c r="J30" s="25"/>
      <c r="K30" s="26"/>
    </row>
    <row r="31" spans="1:11" x14ac:dyDescent="0.25">
      <c r="A31" s="22">
        <v>1040000</v>
      </c>
      <c r="B31" s="23" t="s">
        <v>27</v>
      </c>
      <c r="C31" s="24">
        <v>3738259</v>
      </c>
      <c r="D31" s="25">
        <v>234017</v>
      </c>
      <c r="E31" s="25">
        <v>2860960</v>
      </c>
      <c r="F31" s="25">
        <v>2198827</v>
      </c>
      <c r="G31" s="25">
        <v>1554020</v>
      </c>
      <c r="H31" s="25">
        <v>2225319</v>
      </c>
      <c r="I31" s="25">
        <v>1141812</v>
      </c>
      <c r="J31" s="25">
        <v>700942</v>
      </c>
      <c r="K31" s="26">
        <f t="shared" si="2"/>
        <v>14654156</v>
      </c>
    </row>
    <row r="32" spans="1:11" x14ac:dyDescent="0.25">
      <c r="A32" s="22"/>
      <c r="B32" s="23"/>
      <c r="C32" s="24"/>
      <c r="D32" s="25"/>
      <c r="E32" s="25"/>
      <c r="F32" s="25"/>
      <c r="G32" s="25"/>
      <c r="H32" s="25"/>
      <c r="I32" s="25"/>
      <c r="J32" s="25"/>
      <c r="K32" s="26"/>
    </row>
    <row r="33" spans="1:11" x14ac:dyDescent="0.25">
      <c r="A33" s="22">
        <v>1050000</v>
      </c>
      <c r="B33" s="23" t="s">
        <v>28</v>
      </c>
      <c r="C33" s="24">
        <v>20065045</v>
      </c>
      <c r="D33" s="25">
        <v>2763451</v>
      </c>
      <c r="E33" s="25">
        <v>11115187</v>
      </c>
      <c r="F33" s="25">
        <v>38278827</v>
      </c>
      <c r="G33" s="25">
        <v>11629004</v>
      </c>
      <c r="H33" s="25">
        <v>28659660</v>
      </c>
      <c r="I33" s="25">
        <v>20270228</v>
      </c>
      <c r="J33" s="25">
        <v>6667007</v>
      </c>
      <c r="K33" s="26">
        <f t="shared" si="2"/>
        <v>139448409</v>
      </c>
    </row>
    <row r="34" spans="1:11" x14ac:dyDescent="0.25">
      <c r="A34" s="22">
        <v>1050100</v>
      </c>
      <c r="B34" s="23" t="s">
        <v>29</v>
      </c>
      <c r="C34" s="24">
        <f>SUM(C35:C37)</f>
        <v>11238337</v>
      </c>
      <c r="D34" s="24">
        <f t="shared" ref="D34:J34" si="4">SUM(D35:D37)</f>
        <v>106660</v>
      </c>
      <c r="E34" s="24">
        <f t="shared" si="4"/>
        <v>9251680</v>
      </c>
      <c r="F34" s="24">
        <f t="shared" si="4"/>
        <v>17458969</v>
      </c>
      <c r="G34" s="24">
        <f t="shared" si="4"/>
        <v>9482849</v>
      </c>
      <c r="H34" s="24">
        <f t="shared" si="4"/>
        <v>23416198</v>
      </c>
      <c r="I34" s="24">
        <f t="shared" si="4"/>
        <v>9859364</v>
      </c>
      <c r="J34" s="24">
        <f t="shared" si="4"/>
        <v>4512264</v>
      </c>
      <c r="K34" s="26">
        <f t="shared" si="2"/>
        <v>85326321</v>
      </c>
    </row>
    <row r="35" spans="1:11" ht="31.25" x14ac:dyDescent="0.25">
      <c r="A35" s="27">
        <v>1050101</v>
      </c>
      <c r="B35" s="28" t="s">
        <v>30</v>
      </c>
      <c r="C35" s="29">
        <v>598415</v>
      </c>
      <c r="D35" s="30">
        <v>0</v>
      </c>
      <c r="E35" s="30">
        <v>931130</v>
      </c>
      <c r="F35" s="30">
        <v>8568637</v>
      </c>
      <c r="G35" s="30">
        <v>6992927</v>
      </c>
      <c r="H35" s="30">
        <v>14165856</v>
      </c>
      <c r="I35" s="30">
        <v>7298898</v>
      </c>
      <c r="J35" s="30">
        <v>3066862</v>
      </c>
      <c r="K35" s="31">
        <f t="shared" si="2"/>
        <v>41622725</v>
      </c>
    </row>
    <row r="36" spans="1:11" ht="31.25" x14ac:dyDescent="0.25">
      <c r="A36" s="27">
        <v>1050102</v>
      </c>
      <c r="B36" s="28" t="s">
        <v>31</v>
      </c>
      <c r="C36" s="29">
        <v>10572142</v>
      </c>
      <c r="D36" s="30">
        <v>105710</v>
      </c>
      <c r="E36" s="30">
        <v>8200350</v>
      </c>
      <c r="F36" s="30">
        <v>7837399</v>
      </c>
      <c r="G36" s="30">
        <v>1785329</v>
      </c>
      <c r="H36" s="30">
        <v>8560253</v>
      </c>
      <c r="I36" s="30">
        <v>2140000</v>
      </c>
      <c r="J36" s="30">
        <v>930200</v>
      </c>
      <c r="K36" s="31">
        <f t="shared" si="2"/>
        <v>40131383</v>
      </c>
    </row>
    <row r="37" spans="1:11" x14ac:dyDescent="0.25">
      <c r="A37" s="33">
        <v>1050103</v>
      </c>
      <c r="B37" s="34" t="s">
        <v>32</v>
      </c>
      <c r="C37" s="29">
        <v>67780</v>
      </c>
      <c r="D37" s="30">
        <v>950</v>
      </c>
      <c r="E37" s="30">
        <v>120200</v>
      </c>
      <c r="F37" s="30">
        <v>1052933</v>
      </c>
      <c r="G37" s="30">
        <v>704593</v>
      </c>
      <c r="H37" s="30">
        <v>690089</v>
      </c>
      <c r="I37" s="30">
        <v>420466</v>
      </c>
      <c r="J37" s="30">
        <v>515202</v>
      </c>
      <c r="K37" s="31">
        <f t="shared" si="2"/>
        <v>3572213</v>
      </c>
    </row>
    <row r="38" spans="1:11" ht="31.25" x14ac:dyDescent="0.25">
      <c r="A38" s="22">
        <v>1050200</v>
      </c>
      <c r="B38" s="23" t="s">
        <v>33</v>
      </c>
      <c r="C38" s="24">
        <v>7191514</v>
      </c>
      <c r="D38" s="25">
        <v>2655270</v>
      </c>
      <c r="E38" s="25">
        <v>1349030</v>
      </c>
      <c r="F38" s="25">
        <v>1223695</v>
      </c>
      <c r="G38" s="25">
        <v>14471</v>
      </c>
      <c r="H38" s="25">
        <v>453527</v>
      </c>
      <c r="I38" s="25">
        <v>229465</v>
      </c>
      <c r="J38" s="25">
        <v>403078</v>
      </c>
      <c r="K38" s="26">
        <f t="shared" si="2"/>
        <v>13520050</v>
      </c>
    </row>
    <row r="39" spans="1:11" ht="62.5" x14ac:dyDescent="0.25">
      <c r="A39" s="22">
        <v>1050400</v>
      </c>
      <c r="B39" s="23" t="s">
        <v>71</v>
      </c>
      <c r="C39" s="24">
        <v>0</v>
      </c>
      <c r="D39" s="25">
        <v>0</v>
      </c>
      <c r="E39" s="25">
        <v>205040</v>
      </c>
      <c r="F39" s="25">
        <v>8013032</v>
      </c>
      <c r="G39" s="25">
        <v>1246980</v>
      </c>
      <c r="H39" s="25">
        <v>1253885</v>
      </c>
      <c r="I39" s="25">
        <v>3191026</v>
      </c>
      <c r="J39" s="25">
        <v>153228</v>
      </c>
      <c r="K39" s="26">
        <f t="shared" si="2"/>
        <v>14063191</v>
      </c>
    </row>
    <row r="40" spans="1:11" ht="31.25" x14ac:dyDescent="0.25">
      <c r="A40" s="22">
        <v>1051100</v>
      </c>
      <c r="B40" s="23" t="s">
        <v>34</v>
      </c>
      <c r="C40" s="24">
        <v>1125333</v>
      </c>
      <c r="D40" s="25">
        <v>0</v>
      </c>
      <c r="E40" s="25">
        <v>224413</v>
      </c>
      <c r="F40" s="25">
        <v>4539086</v>
      </c>
      <c r="G40" s="25">
        <v>257523</v>
      </c>
      <c r="H40" s="25">
        <v>2862886</v>
      </c>
      <c r="I40" s="25">
        <v>5207686</v>
      </c>
      <c r="J40" s="25">
        <v>1506278</v>
      </c>
      <c r="K40" s="26">
        <f t="shared" si="2"/>
        <v>15723205</v>
      </c>
    </row>
    <row r="41" spans="1:11" ht="31.25" x14ac:dyDescent="0.25">
      <c r="A41" s="22">
        <v>1051200</v>
      </c>
      <c r="B41" s="23" t="s">
        <v>35</v>
      </c>
      <c r="C41" s="24">
        <v>0</v>
      </c>
      <c r="D41" s="25">
        <v>0</v>
      </c>
      <c r="E41" s="25">
        <v>68704</v>
      </c>
      <c r="F41" s="25">
        <v>6995036</v>
      </c>
      <c r="G41" s="25">
        <v>623182</v>
      </c>
      <c r="H41" s="25">
        <v>651666</v>
      </c>
      <c r="I41" s="25">
        <v>1781490</v>
      </c>
      <c r="J41" s="25">
        <v>91208</v>
      </c>
      <c r="K41" s="26">
        <f t="shared" si="2"/>
        <v>10211286</v>
      </c>
    </row>
    <row r="42" spans="1:11" x14ac:dyDescent="0.25">
      <c r="A42" s="27"/>
      <c r="B42" s="28"/>
      <c r="C42" s="24"/>
      <c r="D42" s="30"/>
      <c r="E42" s="30"/>
      <c r="F42" s="30"/>
      <c r="G42" s="25"/>
      <c r="H42" s="30"/>
      <c r="I42" s="30"/>
      <c r="J42" s="30"/>
      <c r="K42" s="26"/>
    </row>
    <row r="43" spans="1:11" s="35" customFormat="1" ht="31.25" x14ac:dyDescent="0.25">
      <c r="A43" s="22">
        <v>1060000</v>
      </c>
      <c r="B43" s="23" t="s">
        <v>36</v>
      </c>
      <c r="C43" s="24">
        <f>C44</f>
        <v>354440285</v>
      </c>
      <c r="D43" s="24">
        <f t="shared" ref="D43:J43" si="5">D44</f>
        <v>0</v>
      </c>
      <c r="E43" s="24">
        <f t="shared" si="5"/>
        <v>0</v>
      </c>
      <c r="F43" s="24">
        <f t="shared" si="5"/>
        <v>0</v>
      </c>
      <c r="G43" s="24">
        <f t="shared" si="5"/>
        <v>0</v>
      </c>
      <c r="H43" s="24">
        <f t="shared" si="5"/>
        <v>0</v>
      </c>
      <c r="I43" s="24">
        <f t="shared" si="5"/>
        <v>0</v>
      </c>
      <c r="J43" s="24">
        <f t="shared" si="5"/>
        <v>0</v>
      </c>
      <c r="K43" s="26">
        <f t="shared" si="2"/>
        <v>354440285</v>
      </c>
    </row>
    <row r="44" spans="1:11" s="35" customFormat="1" x14ac:dyDescent="0.25">
      <c r="A44" s="22">
        <v>1060400</v>
      </c>
      <c r="B44" s="23" t="s">
        <v>69</v>
      </c>
      <c r="C44" s="24">
        <f>348069020-4799749-10327977+8254720-12227488-2128848-483642-8142134-60603885+1527563-2000000+92302705+5000000</f>
        <v>354440285</v>
      </c>
      <c r="D44" s="24"/>
      <c r="E44" s="24"/>
      <c r="F44" s="24"/>
      <c r="G44" s="24"/>
      <c r="H44" s="24"/>
      <c r="I44" s="24"/>
      <c r="J44" s="24"/>
      <c r="K44" s="26">
        <f t="shared" si="2"/>
        <v>354440285</v>
      </c>
    </row>
    <row r="45" spans="1:11" x14ac:dyDescent="0.25">
      <c r="A45" s="27"/>
      <c r="B45" s="28"/>
      <c r="C45" s="24"/>
      <c r="D45" s="30"/>
      <c r="E45" s="30"/>
      <c r="F45" s="30"/>
      <c r="G45" s="25"/>
      <c r="H45" s="30"/>
      <c r="I45" s="30"/>
      <c r="J45" s="30"/>
      <c r="K45" s="26"/>
    </row>
    <row r="46" spans="1:11" s="35" customFormat="1" x14ac:dyDescent="0.25">
      <c r="A46" s="22">
        <v>1400000</v>
      </c>
      <c r="B46" s="23" t="s">
        <v>37</v>
      </c>
      <c r="C46" s="24">
        <f>SUM(C47:C48)</f>
        <v>33099900</v>
      </c>
      <c r="D46" s="24">
        <f t="shared" ref="D46:J46" si="6">SUM(D47:D48)</f>
        <v>7933735</v>
      </c>
      <c r="E46" s="24">
        <f t="shared" si="6"/>
        <v>14049007</v>
      </c>
      <c r="F46" s="24">
        <f t="shared" si="6"/>
        <v>10942630</v>
      </c>
      <c r="G46" s="24">
        <f t="shared" si="6"/>
        <v>7163536</v>
      </c>
      <c r="H46" s="24">
        <f t="shared" si="6"/>
        <v>9620200</v>
      </c>
      <c r="I46" s="24">
        <f t="shared" si="6"/>
        <v>3794210</v>
      </c>
      <c r="J46" s="24">
        <f t="shared" si="6"/>
        <v>3437143</v>
      </c>
      <c r="K46" s="26">
        <f t="shared" si="2"/>
        <v>90040361</v>
      </c>
    </row>
    <row r="47" spans="1:11" x14ac:dyDescent="0.25">
      <c r="A47" s="27">
        <v>1400100</v>
      </c>
      <c r="B47" s="28" t="s">
        <v>38</v>
      </c>
      <c r="C47" s="29">
        <v>14163554</v>
      </c>
      <c r="D47" s="30">
        <v>366976</v>
      </c>
      <c r="E47" s="30">
        <v>5851265</v>
      </c>
      <c r="F47" s="30">
        <v>5015467</v>
      </c>
      <c r="G47" s="30">
        <v>3811805</v>
      </c>
      <c r="H47" s="30">
        <v>3669550</v>
      </c>
      <c r="I47" s="30">
        <v>1247965</v>
      </c>
      <c r="J47" s="30">
        <v>1350428</v>
      </c>
      <c r="K47" s="31">
        <f t="shared" si="2"/>
        <v>35477010</v>
      </c>
    </row>
    <row r="48" spans="1:11" x14ac:dyDescent="0.25">
      <c r="A48" s="33">
        <v>1400400</v>
      </c>
      <c r="B48" s="34" t="s">
        <v>39</v>
      </c>
      <c r="C48" s="29">
        <f>17109296+1827050</f>
        <v>18936346</v>
      </c>
      <c r="D48" s="30">
        <f>6878503+688256</f>
        <v>7566759</v>
      </c>
      <c r="E48" s="30">
        <f>8152185+45557</f>
        <v>8197742</v>
      </c>
      <c r="F48" s="30">
        <v>5927163</v>
      </c>
      <c r="G48" s="30">
        <v>3351731</v>
      </c>
      <c r="H48" s="30">
        <v>5950650</v>
      </c>
      <c r="I48" s="30">
        <v>2546245</v>
      </c>
      <c r="J48" s="30">
        <v>2086715</v>
      </c>
      <c r="K48" s="31">
        <f t="shared" si="2"/>
        <v>54563351</v>
      </c>
    </row>
    <row r="49" spans="1:11" ht="16.3" thickBot="1" x14ac:dyDescent="0.3">
      <c r="A49" s="36"/>
      <c r="B49" s="37"/>
      <c r="C49" s="38"/>
      <c r="D49" s="39"/>
      <c r="E49" s="39"/>
      <c r="F49" s="39"/>
      <c r="G49" s="40"/>
      <c r="H49" s="39"/>
      <c r="I49" s="39"/>
      <c r="J49" s="39"/>
      <c r="K49" s="41"/>
    </row>
    <row r="50" spans="1:11" s="35" customFormat="1" ht="16.3" thickBot="1" x14ac:dyDescent="0.3">
      <c r="A50" s="13">
        <v>2000000</v>
      </c>
      <c r="B50" s="14" t="s">
        <v>40</v>
      </c>
      <c r="C50" s="42">
        <f>SUM(C51+C59+C62+C64+C66)</f>
        <v>109936849</v>
      </c>
      <c r="D50" s="42">
        <f t="shared" ref="D50:J50" si="7">SUM(D51+D59+D62+D64+D66)</f>
        <v>352512</v>
      </c>
      <c r="E50" s="42">
        <f t="shared" si="7"/>
        <v>14750704</v>
      </c>
      <c r="F50" s="42">
        <f t="shared" si="7"/>
        <v>7095893.9950000001</v>
      </c>
      <c r="G50" s="42">
        <f t="shared" si="7"/>
        <v>3329815</v>
      </c>
      <c r="H50" s="42">
        <f t="shared" si="7"/>
        <v>6452725</v>
      </c>
      <c r="I50" s="42">
        <f t="shared" si="7"/>
        <v>5138490</v>
      </c>
      <c r="J50" s="42">
        <f t="shared" si="7"/>
        <v>4480918</v>
      </c>
      <c r="K50" s="17">
        <f t="shared" si="2"/>
        <v>151537906.995</v>
      </c>
    </row>
    <row r="51" spans="1:11" ht="46.9" x14ac:dyDescent="0.25">
      <c r="A51" s="18">
        <v>2010000</v>
      </c>
      <c r="B51" s="43" t="s">
        <v>41</v>
      </c>
      <c r="C51" s="20">
        <f>24918435+662750+97620</f>
        <v>25678805</v>
      </c>
      <c r="D51" s="44">
        <f>51942+39865</f>
        <v>91807</v>
      </c>
      <c r="E51" s="44">
        <f>2042728+65636</f>
        <v>2108364</v>
      </c>
      <c r="F51" s="44">
        <v>1514532.9950000001</v>
      </c>
      <c r="G51" s="44">
        <f>995407-112500+4308</f>
        <v>887215</v>
      </c>
      <c r="H51" s="44">
        <f>1351574+6854</f>
        <v>1358428</v>
      </c>
      <c r="I51" s="44">
        <v>3483041</v>
      </c>
      <c r="J51" s="44">
        <v>2600976</v>
      </c>
      <c r="K51" s="21">
        <f t="shared" si="2"/>
        <v>37723168.995000005</v>
      </c>
    </row>
    <row r="52" spans="1:11" ht="31.25" x14ac:dyDescent="0.25">
      <c r="A52" s="22">
        <v>2010200</v>
      </c>
      <c r="B52" s="23" t="s">
        <v>42</v>
      </c>
      <c r="C52" s="24">
        <f>2131025+97620</f>
        <v>2228645</v>
      </c>
      <c r="D52" s="25">
        <f>46452+39865</f>
        <v>86317</v>
      </c>
      <c r="E52" s="25">
        <f>681269+65636</f>
        <v>746905</v>
      </c>
      <c r="F52" s="25">
        <v>688927</v>
      </c>
      <c r="G52" s="25">
        <f>272365+4308</f>
        <v>276673</v>
      </c>
      <c r="H52" s="25">
        <f>383246+6854</f>
        <v>390100</v>
      </c>
      <c r="I52" s="25">
        <v>516626</v>
      </c>
      <c r="J52" s="25">
        <v>416264</v>
      </c>
      <c r="K52" s="26">
        <f t="shared" si="2"/>
        <v>5350457</v>
      </c>
    </row>
    <row r="53" spans="1:11" ht="31.25" x14ac:dyDescent="0.25">
      <c r="A53" s="22">
        <v>2010300</v>
      </c>
      <c r="B53" s="23" t="s">
        <v>43</v>
      </c>
      <c r="C53" s="24">
        <v>5852315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6">
        <f t="shared" si="2"/>
        <v>5852315</v>
      </c>
    </row>
    <row r="54" spans="1:11" x14ac:dyDescent="0.25">
      <c r="A54" s="22">
        <v>2010400</v>
      </c>
      <c r="B54" s="23" t="s">
        <v>44</v>
      </c>
      <c r="C54" s="24">
        <v>908069</v>
      </c>
      <c r="D54" s="25">
        <v>0</v>
      </c>
      <c r="E54" s="25">
        <v>403338</v>
      </c>
      <c r="F54" s="25">
        <v>722089</v>
      </c>
      <c r="G54" s="25">
        <v>415835</v>
      </c>
      <c r="H54" s="25">
        <v>907267</v>
      </c>
      <c r="I54" s="25">
        <v>2882303</v>
      </c>
      <c r="J54" s="25">
        <v>2131270</v>
      </c>
      <c r="K54" s="26">
        <f t="shared" si="2"/>
        <v>8370171</v>
      </c>
    </row>
    <row r="55" spans="1:11" ht="31.25" x14ac:dyDescent="0.25">
      <c r="A55" s="22">
        <v>2010500</v>
      </c>
      <c r="B55" s="23" t="s">
        <v>45</v>
      </c>
      <c r="C55" s="24">
        <v>62392</v>
      </c>
      <c r="D55" s="25">
        <v>0</v>
      </c>
      <c r="E55" s="25">
        <v>10221</v>
      </c>
      <c r="F55" s="25">
        <v>20341</v>
      </c>
      <c r="G55" s="25">
        <f>125000-112500</f>
        <v>12500</v>
      </c>
      <c r="H55" s="25">
        <v>9971</v>
      </c>
      <c r="I55" s="25">
        <v>30949</v>
      </c>
      <c r="J55" s="25">
        <v>23362</v>
      </c>
      <c r="K55" s="26">
        <f t="shared" si="2"/>
        <v>169736</v>
      </c>
    </row>
    <row r="56" spans="1:11" ht="31.25" x14ac:dyDescent="0.25">
      <c r="A56" s="22">
        <v>2010900</v>
      </c>
      <c r="B56" s="23" t="s">
        <v>46</v>
      </c>
      <c r="C56" s="24">
        <v>1416701</v>
      </c>
      <c r="D56" s="25">
        <v>5491</v>
      </c>
      <c r="E56" s="25">
        <v>877721</v>
      </c>
      <c r="F56" s="25">
        <v>39295</v>
      </c>
      <c r="G56" s="25">
        <v>57000</v>
      </c>
      <c r="H56" s="25">
        <v>49495</v>
      </c>
      <c r="I56" s="25">
        <v>53163</v>
      </c>
      <c r="J56" s="25">
        <v>16841</v>
      </c>
      <c r="K56" s="26">
        <f t="shared" si="2"/>
        <v>2515707</v>
      </c>
    </row>
    <row r="57" spans="1:11" ht="31.25" x14ac:dyDescent="0.25">
      <c r="A57" s="22">
        <v>2011000</v>
      </c>
      <c r="B57" s="23" t="s">
        <v>47</v>
      </c>
      <c r="C57" s="24">
        <f>13295000+662750</f>
        <v>13957750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6">
        <f t="shared" si="2"/>
        <v>13957750</v>
      </c>
    </row>
    <row r="58" spans="1:11" x14ac:dyDescent="0.25">
      <c r="A58" s="22"/>
      <c r="B58" s="23"/>
      <c r="C58" s="24"/>
      <c r="D58" s="25"/>
      <c r="E58" s="25"/>
      <c r="F58" s="25">
        <v>0</v>
      </c>
      <c r="G58" s="25"/>
      <c r="H58" s="25"/>
      <c r="I58" s="25"/>
      <c r="J58" s="25"/>
      <c r="K58" s="26"/>
    </row>
    <row r="59" spans="1:11" ht="46.9" x14ac:dyDescent="0.25">
      <c r="A59" s="22">
        <v>2020000</v>
      </c>
      <c r="B59" s="23" t="s">
        <v>48</v>
      </c>
      <c r="C59" s="24">
        <f>54894714+6000000+3779405+5300000-3651119</f>
        <v>66323000</v>
      </c>
      <c r="D59" s="25">
        <v>57012</v>
      </c>
      <c r="E59" s="25">
        <v>1684529</v>
      </c>
      <c r="F59" s="25">
        <v>2062272</v>
      </c>
      <c r="G59" s="25">
        <v>108397</v>
      </c>
      <c r="H59" s="25">
        <v>84503</v>
      </c>
      <c r="I59" s="25">
        <v>58437</v>
      </c>
      <c r="J59" s="25">
        <f>58374+415362+358708</f>
        <v>832444</v>
      </c>
      <c r="K59" s="26">
        <f t="shared" si="2"/>
        <v>71210594</v>
      </c>
    </row>
    <row r="60" spans="1:11" ht="31.25" x14ac:dyDescent="0.25">
      <c r="A60" s="27">
        <v>2020100</v>
      </c>
      <c r="B60" s="28" t="s">
        <v>49</v>
      </c>
      <c r="C60" s="29">
        <f>33050000+6000000+3000000+5300000+35119</f>
        <v>47385119</v>
      </c>
      <c r="D60" s="30">
        <v>53138</v>
      </c>
      <c r="E60" s="30">
        <v>1500000</v>
      </c>
      <c r="F60" s="30">
        <v>2000000</v>
      </c>
      <c r="G60" s="30">
        <v>80000</v>
      </c>
      <c r="H60" s="30">
        <v>50000</v>
      </c>
      <c r="I60" s="30">
        <v>0</v>
      </c>
      <c r="J60" s="30">
        <f>44836+415362+358708</f>
        <v>818906</v>
      </c>
      <c r="K60" s="31">
        <f t="shared" si="2"/>
        <v>51887163</v>
      </c>
    </row>
    <row r="61" spans="1:11" x14ac:dyDescent="0.25">
      <c r="A61" s="27"/>
      <c r="B61" s="28"/>
      <c r="C61" s="24"/>
      <c r="D61" s="30"/>
      <c r="E61" s="30"/>
      <c r="F61" s="30"/>
      <c r="G61" s="25"/>
      <c r="H61" s="30"/>
      <c r="I61" s="30"/>
      <c r="J61" s="30"/>
      <c r="K61" s="26"/>
    </row>
    <row r="62" spans="1:11" x14ac:dyDescent="0.25">
      <c r="A62" s="22">
        <v>2060000</v>
      </c>
      <c r="B62" s="23" t="s">
        <v>50</v>
      </c>
      <c r="C62" s="24">
        <f>5122812+290163</f>
        <v>5412975</v>
      </c>
      <c r="D62" s="25">
        <f>139112+8991</f>
        <v>148103</v>
      </c>
      <c r="E62" s="25">
        <f>1454677+222500</f>
        <v>1677177</v>
      </c>
      <c r="F62" s="25">
        <v>689409</v>
      </c>
      <c r="G62" s="25">
        <v>532521</v>
      </c>
      <c r="H62" s="25">
        <f>592938+2372631</f>
        <v>2965569</v>
      </c>
      <c r="I62" s="25">
        <v>264460</v>
      </c>
      <c r="J62" s="25">
        <v>275242</v>
      </c>
      <c r="K62" s="26">
        <f t="shared" si="2"/>
        <v>11965456</v>
      </c>
    </row>
    <row r="63" spans="1:11" x14ac:dyDescent="0.25">
      <c r="A63" s="27"/>
      <c r="B63" s="28"/>
      <c r="C63" s="24"/>
      <c r="D63" s="30"/>
      <c r="E63" s="30"/>
      <c r="F63" s="30">
        <v>0</v>
      </c>
      <c r="G63" s="25"/>
      <c r="H63" s="30"/>
      <c r="I63" s="30">
        <v>0</v>
      </c>
      <c r="J63" s="30"/>
      <c r="K63" s="26"/>
    </row>
    <row r="64" spans="1:11" x14ac:dyDescent="0.25">
      <c r="A64" s="22">
        <v>2070000</v>
      </c>
      <c r="B64" s="23" t="s">
        <v>51</v>
      </c>
      <c r="C64" s="24">
        <v>12522069</v>
      </c>
      <c r="D64" s="25">
        <v>55590</v>
      </c>
      <c r="E64" s="25">
        <f>9180021+100613</f>
        <v>9280634</v>
      </c>
      <c r="F64" s="25">
        <v>2829680</v>
      </c>
      <c r="G64" s="25">
        <v>1801682</v>
      </c>
      <c r="H64" s="25">
        <v>2044225</v>
      </c>
      <c r="I64" s="25">
        <v>1332552</v>
      </c>
      <c r="J64" s="25">
        <v>772256</v>
      </c>
      <c r="K64" s="26">
        <f t="shared" si="2"/>
        <v>30638688</v>
      </c>
    </row>
    <row r="65" spans="1:12" x14ac:dyDescent="0.25">
      <c r="A65" s="27"/>
      <c r="B65" s="28"/>
      <c r="C65" s="24"/>
      <c r="D65" s="25"/>
      <c r="E65" s="25"/>
      <c r="F65" s="25"/>
      <c r="G65" s="25"/>
      <c r="H65" s="25"/>
      <c r="I65" s="25"/>
      <c r="J65" s="25"/>
      <c r="K65" s="26"/>
    </row>
    <row r="66" spans="1:12" x14ac:dyDescent="0.25">
      <c r="A66" s="22">
        <v>2090000</v>
      </c>
      <c r="B66" s="23" t="s">
        <v>52</v>
      </c>
      <c r="C66" s="24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6">
        <f t="shared" si="2"/>
        <v>0</v>
      </c>
    </row>
    <row r="67" spans="1:12" ht="16.3" thickBot="1" x14ac:dyDescent="0.3">
      <c r="A67" s="45"/>
      <c r="B67" s="46"/>
      <c r="C67" s="38"/>
      <c r="D67" s="40"/>
      <c r="E67" s="40"/>
      <c r="F67" s="40"/>
      <c r="G67" s="40"/>
      <c r="H67" s="40"/>
      <c r="I67" s="40"/>
      <c r="J67" s="40"/>
      <c r="K67" s="47">
        <f t="shared" si="2"/>
        <v>0</v>
      </c>
    </row>
    <row r="68" spans="1:12" s="59" customFormat="1" ht="16.3" thickBot="1" x14ac:dyDescent="0.3">
      <c r="A68" s="67">
        <v>3000000</v>
      </c>
      <c r="B68" s="68" t="s">
        <v>73</v>
      </c>
      <c r="C68" s="77">
        <f t="shared" ref="C68:J68" si="8">SUM(C69:C72)</f>
        <v>21338807</v>
      </c>
      <c r="D68" s="77">
        <f t="shared" si="8"/>
        <v>0</v>
      </c>
      <c r="E68" s="77">
        <f t="shared" si="8"/>
        <v>0</v>
      </c>
      <c r="F68" s="77">
        <f t="shared" si="8"/>
        <v>0</v>
      </c>
      <c r="G68" s="77">
        <f t="shared" si="8"/>
        <v>0</v>
      </c>
      <c r="H68" s="77">
        <f t="shared" si="8"/>
        <v>0</v>
      </c>
      <c r="I68" s="77">
        <f t="shared" si="8"/>
        <v>0</v>
      </c>
      <c r="J68" s="77">
        <f t="shared" si="8"/>
        <v>0</v>
      </c>
      <c r="K68" s="78">
        <f>SUM(C68:J68)</f>
        <v>21338807</v>
      </c>
      <c r="L68" s="73"/>
    </row>
    <row r="69" spans="1:12" s="59" customFormat="1" x14ac:dyDescent="0.25">
      <c r="A69" s="63">
        <v>3010000</v>
      </c>
      <c r="B69" s="60" t="s">
        <v>76</v>
      </c>
      <c r="C69" s="74">
        <f>0+21245763</f>
        <v>21245763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2">
        <f>SUM(C69:J69)</f>
        <v>21245763</v>
      </c>
      <c r="L69" s="73"/>
    </row>
    <row r="70" spans="1:12" s="59" customFormat="1" ht="31.25" x14ac:dyDescent="0.25">
      <c r="A70" s="69" t="s">
        <v>74</v>
      </c>
      <c r="B70" s="70" t="s">
        <v>75</v>
      </c>
      <c r="C70" s="75"/>
      <c r="D70" s="75"/>
      <c r="E70" s="75"/>
      <c r="F70" s="75"/>
      <c r="G70" s="75"/>
      <c r="H70" s="75"/>
      <c r="I70" s="75"/>
      <c r="J70" s="75"/>
      <c r="K70" s="31">
        <f t="shared" si="2"/>
        <v>0</v>
      </c>
      <c r="L70" s="73"/>
    </row>
    <row r="71" spans="1:12" s="59" customFormat="1" x14ac:dyDescent="0.25">
      <c r="A71" s="71">
        <v>3060000</v>
      </c>
      <c r="B71" s="66" t="s">
        <v>77</v>
      </c>
      <c r="C71" s="76">
        <f>0+93044</f>
        <v>93044</v>
      </c>
      <c r="D71" s="76"/>
      <c r="E71" s="76"/>
      <c r="F71" s="76"/>
      <c r="G71" s="76"/>
      <c r="H71" s="76"/>
      <c r="I71" s="76"/>
      <c r="J71" s="76"/>
      <c r="K71" s="31">
        <f t="shared" si="2"/>
        <v>93044</v>
      </c>
      <c r="L71" s="73"/>
    </row>
    <row r="72" spans="1:12" ht="16.3" thickBot="1" x14ac:dyDescent="0.3">
      <c r="A72" s="64"/>
      <c r="B72" s="61"/>
      <c r="C72" s="62"/>
      <c r="D72" s="62"/>
      <c r="E72" s="62"/>
      <c r="F72" s="62"/>
      <c r="G72" s="62"/>
      <c r="H72" s="62"/>
      <c r="I72" s="62"/>
      <c r="J72" s="62"/>
      <c r="K72" s="65">
        <f>SUM(C72:J72)</f>
        <v>0</v>
      </c>
      <c r="L72" s="58"/>
    </row>
    <row r="73" spans="1:12" ht="16.3" thickBot="1" x14ac:dyDescent="0.3">
      <c r="A73" s="13">
        <v>4000000</v>
      </c>
      <c r="B73" s="14" t="s">
        <v>53</v>
      </c>
      <c r="C73" s="42">
        <f>C74+C77+C81+C83+C85+C87+C89+C91</f>
        <v>557411557</v>
      </c>
      <c r="D73" s="42">
        <f t="shared" ref="D73:J73" si="9">D74+D77+D81+D83+D85+D87+D89+D91</f>
        <v>21282261</v>
      </c>
      <c r="E73" s="42">
        <f t="shared" si="9"/>
        <v>25069666</v>
      </c>
      <c r="F73" s="42">
        <f t="shared" si="9"/>
        <v>35366591</v>
      </c>
      <c r="G73" s="42">
        <f t="shared" si="9"/>
        <v>15158206</v>
      </c>
      <c r="H73" s="42">
        <f t="shared" si="9"/>
        <v>25037396</v>
      </c>
      <c r="I73" s="42">
        <f t="shared" si="9"/>
        <v>18604332</v>
      </c>
      <c r="J73" s="42">
        <f t="shared" si="9"/>
        <v>7363394</v>
      </c>
      <c r="K73" s="17">
        <f t="shared" si="2"/>
        <v>705293403</v>
      </c>
    </row>
    <row r="74" spans="1:12" x14ac:dyDescent="0.25">
      <c r="A74" s="18">
        <v>4010000</v>
      </c>
      <c r="B74" s="43" t="s">
        <v>54</v>
      </c>
      <c r="C74" s="20">
        <f>122917412+380000+993480+483642+20826564</f>
        <v>145601098</v>
      </c>
      <c r="D74" s="44">
        <f>13803564+1686000</f>
        <v>15489564</v>
      </c>
      <c r="E74" s="44">
        <f>15239585+43218</f>
        <v>15282803</v>
      </c>
      <c r="F74" s="44">
        <f>11623510+15797</f>
        <v>11639307</v>
      </c>
      <c r="G74" s="44">
        <v>6082795</v>
      </c>
      <c r="H74" s="44">
        <f>3128590-10225</f>
        <v>3118365</v>
      </c>
      <c r="I74" s="44">
        <v>1078860</v>
      </c>
      <c r="J74" s="44">
        <v>931353</v>
      </c>
      <c r="K74" s="21">
        <f t="shared" si="2"/>
        <v>199224145</v>
      </c>
    </row>
    <row r="75" spans="1:12" x14ac:dyDescent="0.25">
      <c r="A75" s="27">
        <v>4010104</v>
      </c>
      <c r="B75" s="28" t="s">
        <v>55</v>
      </c>
      <c r="C75" s="29">
        <f>47232122-125346</f>
        <v>47106776</v>
      </c>
      <c r="D75" s="30">
        <f>13513004+1686000</f>
        <v>15199004</v>
      </c>
      <c r="E75" s="30">
        <f>7403153+43218</f>
        <v>7446371</v>
      </c>
      <c r="F75" s="30">
        <f>3261494+15797</f>
        <v>3277291</v>
      </c>
      <c r="G75" s="30">
        <v>1302289</v>
      </c>
      <c r="H75" s="30">
        <f>2114978-10225</f>
        <v>2104753</v>
      </c>
      <c r="I75" s="30">
        <v>718444</v>
      </c>
      <c r="J75" s="30">
        <v>325090</v>
      </c>
      <c r="K75" s="31">
        <f t="shared" si="2"/>
        <v>77480018</v>
      </c>
    </row>
    <row r="76" spans="1:12" x14ac:dyDescent="0.25">
      <c r="A76" s="27"/>
      <c r="B76" s="28"/>
      <c r="C76" s="24"/>
      <c r="D76" s="30"/>
      <c r="E76" s="30"/>
      <c r="F76" s="30">
        <v>0</v>
      </c>
      <c r="G76" s="25"/>
      <c r="H76" s="30">
        <v>0</v>
      </c>
      <c r="I76" s="30">
        <v>0</v>
      </c>
      <c r="J76" s="30"/>
      <c r="K76" s="26">
        <f t="shared" si="2"/>
        <v>0</v>
      </c>
    </row>
    <row r="77" spans="1:12" x14ac:dyDescent="0.25">
      <c r="A77" s="22">
        <v>4020000</v>
      </c>
      <c r="B77" s="23" t="s">
        <v>56</v>
      </c>
      <c r="C77" s="24">
        <f>SUM(C78:C79)</f>
        <v>7169283</v>
      </c>
      <c r="D77" s="24">
        <f t="shared" ref="D77:J77" si="10">SUM(D78:D79)</f>
        <v>3003944</v>
      </c>
      <c r="E77" s="24">
        <f t="shared" si="10"/>
        <v>2205038</v>
      </c>
      <c r="F77" s="24">
        <f t="shared" si="10"/>
        <v>3420950</v>
      </c>
      <c r="G77" s="24">
        <f t="shared" si="10"/>
        <v>986804</v>
      </c>
      <c r="H77" s="24">
        <f t="shared" si="10"/>
        <v>2910697</v>
      </c>
      <c r="I77" s="24">
        <f t="shared" si="10"/>
        <v>793026</v>
      </c>
      <c r="J77" s="24">
        <f t="shared" si="10"/>
        <v>567157</v>
      </c>
      <c r="K77" s="26">
        <f t="shared" si="2"/>
        <v>21056899</v>
      </c>
    </row>
    <row r="78" spans="1:12" ht="31.25" x14ac:dyDescent="0.25">
      <c r="A78" s="27">
        <v>4020100</v>
      </c>
      <c r="B78" s="28" t="s">
        <v>57</v>
      </c>
      <c r="C78" s="29">
        <v>2103291</v>
      </c>
      <c r="D78" s="30">
        <v>919121</v>
      </c>
      <c r="E78" s="30">
        <v>560814</v>
      </c>
      <c r="F78" s="30">
        <v>367923</v>
      </c>
      <c r="G78" s="30">
        <v>327344</v>
      </c>
      <c r="H78" s="30">
        <v>1040483</v>
      </c>
      <c r="I78" s="30">
        <v>250820</v>
      </c>
      <c r="J78" s="30">
        <v>150366</v>
      </c>
      <c r="K78" s="31">
        <f t="shared" si="2"/>
        <v>5720162</v>
      </c>
    </row>
    <row r="79" spans="1:12" ht="31.25" x14ac:dyDescent="0.25">
      <c r="A79" s="27">
        <v>4020200</v>
      </c>
      <c r="B79" s="28" t="s">
        <v>58</v>
      </c>
      <c r="C79" s="29">
        <f>4662929+403063</f>
        <v>5065992</v>
      </c>
      <c r="D79" s="30">
        <v>2084823</v>
      </c>
      <c r="E79" s="30">
        <v>1644224</v>
      </c>
      <c r="F79" s="30">
        <v>3053027</v>
      </c>
      <c r="G79" s="30">
        <v>659460</v>
      </c>
      <c r="H79" s="30">
        <v>1870214</v>
      </c>
      <c r="I79" s="30">
        <v>542206</v>
      </c>
      <c r="J79" s="30">
        <v>416791</v>
      </c>
      <c r="K79" s="31">
        <f t="shared" ref="K79:K94" si="11">SUM(C79:J79)</f>
        <v>15336737</v>
      </c>
    </row>
    <row r="80" spans="1:12" x14ac:dyDescent="0.25">
      <c r="A80" s="22"/>
      <c r="B80" s="23"/>
      <c r="C80" s="24"/>
      <c r="D80" s="30"/>
      <c r="E80" s="30"/>
      <c r="F80" s="30">
        <v>0</v>
      </c>
      <c r="G80" s="25"/>
      <c r="H80" s="30">
        <v>0</v>
      </c>
      <c r="I80" s="30">
        <v>0</v>
      </c>
      <c r="J80" s="30"/>
      <c r="K80" s="26">
        <f t="shared" si="11"/>
        <v>0</v>
      </c>
    </row>
    <row r="81" spans="1:11" ht="62.5" x14ac:dyDescent="0.25">
      <c r="A81" s="22">
        <v>4080000</v>
      </c>
      <c r="B81" s="23" t="s">
        <v>59</v>
      </c>
      <c r="C81" s="24">
        <v>519248</v>
      </c>
      <c r="D81" s="25">
        <v>0</v>
      </c>
      <c r="E81" s="25">
        <v>636894</v>
      </c>
      <c r="F81" s="25">
        <v>11657740</v>
      </c>
      <c r="G81" s="25">
        <v>5234178</v>
      </c>
      <c r="H81" s="25">
        <v>13517479</v>
      </c>
      <c r="I81" s="25">
        <v>12521634</v>
      </c>
      <c r="J81" s="25">
        <v>3874977</v>
      </c>
      <c r="K81" s="26">
        <f t="shared" si="11"/>
        <v>47962150</v>
      </c>
    </row>
    <row r="82" spans="1:11" x14ac:dyDescent="0.25">
      <c r="A82" s="22"/>
      <c r="B82" s="23"/>
      <c r="C82" s="24"/>
      <c r="D82" s="25"/>
      <c r="E82" s="25"/>
      <c r="F82" s="25"/>
      <c r="G82" s="25"/>
      <c r="H82" s="25"/>
      <c r="I82" s="25"/>
      <c r="J82" s="25"/>
      <c r="K82" s="26"/>
    </row>
    <row r="83" spans="1:11" x14ac:dyDescent="0.25">
      <c r="A83" s="22">
        <v>4100000</v>
      </c>
      <c r="B83" s="23" t="s">
        <v>60</v>
      </c>
      <c r="C83" s="24">
        <f>202239581+4799749+10327977-380000-12589119+23155241+8142134+60603885-1527563+29115442-5000000</f>
        <v>318887327</v>
      </c>
      <c r="D83" s="25">
        <v>2788753</v>
      </c>
      <c r="E83" s="25">
        <v>6785836</v>
      </c>
      <c r="F83" s="25">
        <v>5887622</v>
      </c>
      <c r="G83" s="25">
        <v>1648730</v>
      </c>
      <c r="H83" s="25">
        <v>2492040</v>
      </c>
      <c r="I83" s="25">
        <v>1439463</v>
      </c>
      <c r="J83" s="25">
        <v>873782</v>
      </c>
      <c r="K83" s="26">
        <f t="shared" si="11"/>
        <v>340803553</v>
      </c>
    </row>
    <row r="84" spans="1:11" x14ac:dyDescent="0.25">
      <c r="A84" s="22"/>
      <c r="B84" s="23"/>
      <c r="C84" s="24"/>
      <c r="D84" s="25"/>
      <c r="E84" s="25"/>
      <c r="F84" s="25"/>
      <c r="G84" s="25"/>
      <c r="H84" s="25"/>
      <c r="I84" s="25"/>
      <c r="J84" s="25"/>
      <c r="K84" s="26">
        <f t="shared" si="11"/>
        <v>0</v>
      </c>
    </row>
    <row r="85" spans="1:11" x14ac:dyDescent="0.25">
      <c r="A85" s="22">
        <v>4110000</v>
      </c>
      <c r="B85" s="23" t="s">
        <v>61</v>
      </c>
      <c r="C85" s="24">
        <f>5026949+4334399+2252311+2179285</f>
        <v>13792944</v>
      </c>
      <c r="D85" s="25"/>
      <c r="E85" s="25"/>
      <c r="F85" s="25"/>
      <c r="G85" s="25"/>
      <c r="H85" s="25"/>
      <c r="I85" s="25"/>
      <c r="J85" s="25"/>
      <c r="K85" s="26">
        <f t="shared" si="11"/>
        <v>13792944</v>
      </c>
    </row>
    <row r="86" spans="1:11" x14ac:dyDescent="0.25">
      <c r="A86" s="22"/>
      <c r="B86" s="23"/>
      <c r="C86" s="24"/>
      <c r="D86" s="25"/>
      <c r="E86" s="25"/>
      <c r="F86" s="25"/>
      <c r="G86" s="25"/>
      <c r="H86" s="25"/>
      <c r="I86" s="25"/>
      <c r="J86" s="25"/>
      <c r="K86" s="26">
        <f t="shared" si="11"/>
        <v>0</v>
      </c>
    </row>
    <row r="87" spans="1:11" x14ac:dyDescent="0.25">
      <c r="A87" s="22">
        <v>4120000</v>
      </c>
      <c r="B87" s="23" t="s">
        <v>62</v>
      </c>
      <c r="C87" s="24">
        <f>12000000+2793552</f>
        <v>14793552</v>
      </c>
      <c r="D87" s="25"/>
      <c r="E87" s="25"/>
      <c r="F87" s="25"/>
      <c r="G87" s="25"/>
      <c r="H87" s="25"/>
      <c r="I87" s="25"/>
      <c r="J87" s="25"/>
      <c r="K87" s="26">
        <f t="shared" si="11"/>
        <v>14793552</v>
      </c>
    </row>
    <row r="88" spans="1:11" x14ac:dyDescent="0.25">
      <c r="A88" s="22"/>
      <c r="B88" s="23"/>
      <c r="C88" s="24"/>
      <c r="D88" s="25"/>
      <c r="E88" s="25"/>
      <c r="F88" s="25"/>
      <c r="G88" s="25"/>
      <c r="H88" s="25"/>
      <c r="I88" s="25"/>
      <c r="J88" s="25"/>
      <c r="K88" s="26">
        <f t="shared" si="11"/>
        <v>0</v>
      </c>
    </row>
    <row r="89" spans="1:11" x14ac:dyDescent="0.25">
      <c r="A89" s="22">
        <v>4130000</v>
      </c>
      <c r="B89" s="23" t="s">
        <v>68</v>
      </c>
      <c r="C89" s="24">
        <f>20500000+2000000+5237910</f>
        <v>27737910</v>
      </c>
      <c r="D89" s="25"/>
      <c r="E89" s="25"/>
      <c r="F89" s="25"/>
      <c r="G89" s="25"/>
      <c r="H89" s="25"/>
      <c r="I89" s="25"/>
      <c r="J89" s="25"/>
      <c r="K89" s="26">
        <f t="shared" si="11"/>
        <v>27737910</v>
      </c>
    </row>
    <row r="90" spans="1:11" x14ac:dyDescent="0.25">
      <c r="A90" s="45"/>
      <c r="B90" s="46"/>
      <c r="C90" s="38"/>
      <c r="D90" s="40"/>
      <c r="E90" s="40"/>
      <c r="F90" s="40"/>
      <c r="G90" s="40"/>
      <c r="H90" s="40"/>
      <c r="I90" s="40"/>
      <c r="J90" s="40"/>
      <c r="K90" s="47"/>
    </row>
    <row r="91" spans="1:11" x14ac:dyDescent="0.25">
      <c r="A91" s="22">
        <v>4140000</v>
      </c>
      <c r="B91" s="23" t="s">
        <v>67</v>
      </c>
      <c r="C91" s="24">
        <f>32352240+2128848-11012055+5441162</f>
        <v>28910195</v>
      </c>
      <c r="D91" s="25"/>
      <c r="E91" s="25">
        <f>0+159095</f>
        <v>159095</v>
      </c>
      <c r="F91" s="25">
        <f>0+2760972</f>
        <v>2760972</v>
      </c>
      <c r="G91" s="25">
        <f>0+1205699</f>
        <v>1205699</v>
      </c>
      <c r="H91" s="25">
        <f>0+2998815</f>
        <v>2998815</v>
      </c>
      <c r="I91" s="25">
        <f>0+2771349</f>
        <v>2771349</v>
      </c>
      <c r="J91" s="25">
        <f>0+1116125</f>
        <v>1116125</v>
      </c>
      <c r="K91" s="26">
        <f t="shared" ref="K91" si="12">SUM(C91:J91)</f>
        <v>39922250</v>
      </c>
    </row>
    <row r="92" spans="1:11" ht="16.3" thickBot="1" x14ac:dyDescent="0.3">
      <c r="A92" s="45"/>
      <c r="B92" s="46"/>
      <c r="C92" s="38"/>
      <c r="D92" s="40"/>
      <c r="E92" s="40"/>
      <c r="F92" s="40"/>
      <c r="G92" s="40"/>
      <c r="H92" s="40"/>
      <c r="I92" s="40"/>
      <c r="J92" s="40"/>
      <c r="K92" s="47">
        <f t="shared" si="11"/>
        <v>0</v>
      </c>
    </row>
    <row r="93" spans="1:11" ht="31.95" thickBot="1" x14ac:dyDescent="0.3">
      <c r="A93" s="13">
        <v>5000000</v>
      </c>
      <c r="B93" s="49" t="s">
        <v>63</v>
      </c>
      <c r="C93" s="42">
        <f>179049991+930847-5486353</f>
        <v>174494485</v>
      </c>
      <c r="D93" s="48">
        <f>6849151+712232</f>
        <v>7561383</v>
      </c>
      <c r="E93" s="48">
        <f>61728125+124139-15256</f>
        <v>61837008</v>
      </c>
      <c r="F93" s="48">
        <f>29481853+210000</f>
        <v>29691853</v>
      </c>
      <c r="G93" s="48">
        <f>12750844+54264+60625</f>
        <v>12865733</v>
      </c>
      <c r="H93" s="48">
        <f>12792769+66250+8892</f>
        <v>12867911</v>
      </c>
      <c r="I93" s="48">
        <f>11553506+155000</f>
        <v>11708506</v>
      </c>
      <c r="J93" s="48">
        <f>6088924+37500</f>
        <v>6126424</v>
      </c>
      <c r="K93" s="17">
        <f t="shared" si="11"/>
        <v>317153303</v>
      </c>
    </row>
    <row r="94" spans="1:11" ht="16.3" thickBot="1" x14ac:dyDescent="0.3">
      <c r="A94" s="50"/>
      <c r="B94" s="51" t="s">
        <v>72</v>
      </c>
      <c r="C94" s="52">
        <f t="shared" ref="C94:J94" si="13">C14+C50+C73+C93+C68</f>
        <v>1946373728</v>
      </c>
      <c r="D94" s="52">
        <f t="shared" si="13"/>
        <v>254692879</v>
      </c>
      <c r="E94" s="52">
        <f t="shared" si="13"/>
        <v>362286156</v>
      </c>
      <c r="F94" s="52">
        <f t="shared" si="13"/>
        <v>290802816.995</v>
      </c>
      <c r="G94" s="52">
        <f t="shared" si="13"/>
        <v>134642706</v>
      </c>
      <c r="H94" s="52">
        <f t="shared" si="13"/>
        <v>182930042</v>
      </c>
      <c r="I94" s="52">
        <f t="shared" si="13"/>
        <v>102922900</v>
      </c>
      <c r="J94" s="52">
        <f t="shared" si="13"/>
        <v>54729177</v>
      </c>
      <c r="K94" s="53">
        <f t="shared" si="11"/>
        <v>3329380404.9949999</v>
      </c>
    </row>
    <row r="98" spans="1:11" x14ac:dyDescent="0.25">
      <c r="A98" s="54"/>
      <c r="B98" s="55"/>
      <c r="C98" s="56"/>
      <c r="D98" s="56"/>
      <c r="E98" s="56"/>
      <c r="F98" s="56"/>
      <c r="G98" s="56"/>
      <c r="H98" s="56"/>
      <c r="I98" s="56"/>
      <c r="J98" s="56"/>
      <c r="K98" s="57"/>
    </row>
    <row r="99" spans="1:11" x14ac:dyDescent="0.25">
      <c r="A99" s="54"/>
      <c r="B99" s="55"/>
      <c r="C99" s="56"/>
      <c r="D99" s="56"/>
      <c r="E99" s="56"/>
      <c r="F99" s="56"/>
      <c r="G99" s="56"/>
      <c r="H99" s="56"/>
      <c r="I99" s="56"/>
      <c r="J99" s="56"/>
      <c r="K99" s="57"/>
    </row>
    <row r="102" spans="1:11" x14ac:dyDescent="0.25">
      <c r="A102" s="54"/>
      <c r="B102" s="55"/>
      <c r="C102" s="56"/>
      <c r="D102" s="56"/>
      <c r="E102" s="56"/>
      <c r="F102" s="56"/>
      <c r="G102" s="56"/>
      <c r="H102" s="56"/>
      <c r="I102" s="56"/>
      <c r="J102" s="56"/>
      <c r="K102" s="57"/>
    </row>
    <row r="141" spans="1:11" x14ac:dyDescent="0.25">
      <c r="A141" s="54"/>
      <c r="B141" s="55"/>
      <c r="C141" s="56"/>
      <c r="D141" s="56"/>
      <c r="E141" s="56"/>
      <c r="F141" s="56"/>
      <c r="G141" s="56"/>
      <c r="H141" s="56"/>
      <c r="I141" s="56"/>
      <c r="J141" s="56"/>
      <c r="K141" s="57"/>
    </row>
    <row r="155" spans="1:11" x14ac:dyDescent="0.25">
      <c r="A155" s="54"/>
      <c r="B155" s="55"/>
      <c r="C155" s="56"/>
      <c r="D155" s="56"/>
      <c r="E155" s="56"/>
      <c r="F155" s="56"/>
      <c r="G155" s="56"/>
      <c r="H155" s="56"/>
      <c r="I155" s="56"/>
      <c r="J155" s="56"/>
      <c r="K155" s="57"/>
    </row>
    <row r="164" spans="1:11" x14ac:dyDescent="0.25">
      <c r="A164" s="54"/>
      <c r="B164" s="55"/>
      <c r="C164" s="56"/>
      <c r="D164" s="56"/>
      <c r="E164" s="56"/>
      <c r="F164" s="56"/>
      <c r="G164" s="56"/>
      <c r="H164" s="56"/>
      <c r="I164" s="56"/>
      <c r="J164" s="56"/>
      <c r="K164" s="57"/>
    </row>
    <row r="165" spans="1:11" x14ac:dyDescent="0.25">
      <c r="A165" s="54"/>
      <c r="B165" s="55"/>
      <c r="C165" s="56"/>
      <c r="D165" s="56"/>
      <c r="E165" s="56"/>
      <c r="F165" s="56"/>
      <c r="G165" s="56"/>
      <c r="H165" s="56"/>
      <c r="I165" s="56"/>
      <c r="J165" s="56"/>
      <c r="K165" s="57"/>
    </row>
    <row r="166" spans="1:11" x14ac:dyDescent="0.25">
      <c r="A166" s="54"/>
      <c r="B166" s="55"/>
      <c r="C166" s="56"/>
      <c r="D166" s="56"/>
      <c r="E166" s="56"/>
      <c r="F166" s="56"/>
      <c r="G166" s="56"/>
      <c r="H166" s="56"/>
      <c r="I166" s="56"/>
      <c r="J166" s="56"/>
      <c r="K166" s="57"/>
    </row>
    <row r="200" spans="1:11" x14ac:dyDescent="0.25">
      <c r="A200" s="54"/>
      <c r="B200" s="55"/>
      <c r="C200" s="56"/>
      <c r="D200" s="56"/>
      <c r="E200" s="56"/>
      <c r="F200" s="56"/>
      <c r="G200" s="56"/>
      <c r="H200" s="56"/>
      <c r="I200" s="56"/>
      <c r="J200" s="56"/>
      <c r="K200" s="57"/>
    </row>
    <row r="223" spans="2:11" x14ac:dyDescent="0.25">
      <c r="B223" s="55"/>
      <c r="C223" s="56"/>
      <c r="D223" s="56"/>
      <c r="E223" s="56"/>
      <c r="F223" s="56"/>
      <c r="G223" s="56"/>
      <c r="H223" s="56"/>
      <c r="I223" s="56"/>
      <c r="J223" s="56"/>
      <c r="K223" s="57"/>
    </row>
    <row r="224" spans="2:11" x14ac:dyDescent="0.25">
      <c r="B224" s="55"/>
      <c r="C224" s="56"/>
      <c r="D224" s="56"/>
      <c r="E224" s="56"/>
      <c r="F224" s="56"/>
      <c r="G224" s="56"/>
      <c r="H224" s="56"/>
      <c r="I224" s="56"/>
      <c r="J224" s="56"/>
      <c r="K224" s="57"/>
    </row>
    <row r="248" spans="2:11" x14ac:dyDescent="0.25">
      <c r="B248" s="55"/>
      <c r="C248" s="56"/>
      <c r="D248" s="56"/>
      <c r="E248" s="56"/>
      <c r="F248" s="56"/>
      <c r="G248" s="56"/>
      <c r="H248" s="56"/>
      <c r="I248" s="56"/>
      <c r="J248" s="56"/>
      <c r="K248" s="57"/>
    </row>
    <row r="249" spans="2:11" x14ac:dyDescent="0.25">
      <c r="B249" s="55"/>
      <c r="C249" s="56"/>
      <c r="D249" s="56"/>
      <c r="E249" s="56"/>
      <c r="F249" s="56"/>
      <c r="G249" s="56"/>
      <c r="H249" s="56"/>
      <c r="I249" s="56"/>
      <c r="J249" s="56"/>
      <c r="K249" s="57"/>
    </row>
    <row r="250" spans="2:11" x14ac:dyDescent="0.25">
      <c r="B250" s="55"/>
      <c r="C250" s="56"/>
      <c r="D250" s="56"/>
      <c r="E250" s="56"/>
      <c r="F250" s="56"/>
      <c r="G250" s="56"/>
      <c r="H250" s="56"/>
      <c r="I250" s="56"/>
      <c r="J250" s="56"/>
      <c r="K250" s="57"/>
    </row>
    <row r="251" spans="2:11" x14ac:dyDescent="0.25">
      <c r="B251" s="55"/>
      <c r="C251" s="56"/>
      <c r="D251" s="56"/>
      <c r="E251" s="56"/>
      <c r="F251" s="56"/>
      <c r="G251" s="56"/>
      <c r="H251" s="56"/>
      <c r="I251" s="56"/>
      <c r="J251" s="56"/>
      <c r="K251" s="57"/>
    </row>
    <row r="257" spans="1:11" x14ac:dyDescent="0.25">
      <c r="A257" s="54"/>
      <c r="B257" s="55"/>
      <c r="C257" s="56"/>
      <c r="D257" s="56"/>
      <c r="E257" s="56"/>
      <c r="F257" s="56"/>
      <c r="G257" s="56"/>
      <c r="H257" s="56"/>
      <c r="I257" s="56"/>
      <c r="J257" s="56"/>
      <c r="K257" s="57"/>
    </row>
    <row r="258" spans="1:11" x14ac:dyDescent="0.25">
      <c r="B258" s="55"/>
      <c r="C258" s="56"/>
      <c r="D258" s="56"/>
      <c r="E258" s="56"/>
      <c r="F258" s="56"/>
      <c r="G258" s="56"/>
      <c r="H258" s="56"/>
      <c r="I258" s="56"/>
      <c r="J258" s="56"/>
      <c r="K258" s="57"/>
    </row>
    <row r="259" spans="1:11" x14ac:dyDescent="0.25">
      <c r="B259" s="55"/>
      <c r="C259" s="56"/>
      <c r="D259" s="56"/>
      <c r="E259" s="56"/>
      <c r="F259" s="56"/>
      <c r="G259" s="56"/>
      <c r="H259" s="56"/>
      <c r="I259" s="56"/>
      <c r="J259" s="56"/>
      <c r="K259" s="57"/>
    </row>
  </sheetData>
  <mergeCells count="4">
    <mergeCell ref="A11:K11"/>
    <mergeCell ref="I7:K7"/>
    <mergeCell ref="H8:K8"/>
    <mergeCell ref="I9:K9"/>
  </mergeCells>
  <printOptions horizontalCentered="1"/>
  <pageMargins left="0.39370078740157483" right="0.15748031496062992" top="0.59055118110236227" bottom="0.19685039370078741" header="0" footer="0"/>
  <pageSetup paperSize="9" scale="65" firstPageNumber="8" orientation="landscape" useFirstPageNumber="1" r:id="rId1"/>
  <headerFooter>
    <oddHeader>&amp;C&amp;P</oddHeader>
  </headerFooter>
  <rowBreaks count="1" manualBreakCount="1"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№1.1 (365)</vt:lpstr>
      <vt:lpstr>'Приложение №1.1 (365)'!Заголовки_для_печати</vt:lpstr>
      <vt:lpstr>'Приложение №1.1 (365)'!Область_печати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2021-11-25T06:46:55Z</dcterms:modified>
</cp:coreProperties>
</file>