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1 ноябрь\10 ноября\Законы\Закон № 691 333(VII)\Приложения\"/>
    </mc:Choice>
  </mc:AlternateContent>
  <bookViews>
    <workbookView xWindow="-122" yWindow="-122" windowWidth="29045" windowHeight="15840"/>
  </bookViews>
  <sheets>
    <sheet name="Приложение № 2.3 (333)" sheetId="1" r:id="rId1"/>
  </sheets>
  <definedNames>
    <definedName name="_xlnm.Print_Titles" localSheetId="0">'Приложение № 2.3 (333)'!$13:$13</definedName>
  </definedNames>
  <calcPr calcId="162913"/>
</workbook>
</file>

<file path=xl/calcChain.xml><?xml version="1.0" encoding="utf-8"?>
<calcChain xmlns="http://schemas.openxmlformats.org/spreadsheetml/2006/main">
  <c r="C44" i="1" l="1"/>
  <c r="C103" i="1"/>
  <c r="C102" i="1"/>
  <c r="C97" i="1"/>
  <c r="C94" i="1"/>
  <c r="C89" i="1"/>
  <c r="C88" i="1"/>
  <c r="C81" i="1"/>
  <c r="C79" i="1"/>
  <c r="C73" i="1"/>
  <c r="C63" i="1"/>
  <c r="C62" i="1"/>
  <c r="C60" i="1"/>
  <c r="C58" i="1"/>
  <c r="C55" i="1"/>
  <c r="C54" i="1"/>
  <c r="C53" i="1"/>
  <c r="C51" i="1"/>
  <c r="C50" i="1"/>
  <c r="C47" i="1"/>
  <c r="C46" i="1"/>
  <c r="C45" i="1"/>
  <c r="C42" i="1"/>
  <c r="C39" i="1"/>
  <c r="C35" i="1"/>
  <c r="C34" i="1"/>
  <c r="C33" i="1"/>
  <c r="C32" i="1"/>
  <c r="C30" i="1"/>
  <c r="C28" i="1"/>
  <c r="C25" i="1"/>
  <c r="C24" i="1"/>
  <c r="C22" i="1"/>
  <c r="C20" i="1"/>
  <c r="C18" i="1"/>
  <c r="C17" i="1"/>
  <c r="C108" i="1" l="1"/>
  <c r="C36" i="1"/>
  <c r="C27" i="1"/>
  <c r="C56" i="1" l="1"/>
  <c r="C21" i="1"/>
  <c r="C107" i="1" l="1"/>
  <c r="C106" i="1" l="1"/>
  <c r="C85" i="1"/>
  <c r="C77" i="1"/>
  <c r="C67" i="1"/>
  <c r="C59" i="1"/>
  <c r="C82" i="1" l="1"/>
  <c r="C101" i="1" l="1"/>
  <c r="C99" i="1"/>
  <c r="C93" i="1"/>
  <c r="C76" i="1"/>
  <c r="C70" i="1"/>
  <c r="C66" i="1"/>
  <c r="C52" i="1"/>
  <c r="C49" i="1"/>
  <c r="C37" i="1"/>
  <c r="C23" i="1"/>
  <c r="C75" i="1" l="1"/>
  <c r="C110" i="1"/>
  <c r="C100" i="1"/>
  <c r="C98" i="1"/>
  <c r="C92" i="1"/>
  <c r="C78" i="1"/>
  <c r="C72" i="1"/>
  <c r="C65" i="1"/>
  <c r="C26" i="1"/>
  <c r="C109" i="1" l="1"/>
  <c r="C69" i="1"/>
  <c r="C64" i="1" s="1"/>
  <c r="C19" i="1"/>
  <c r="C31" i="1"/>
  <c r="C95" i="1"/>
  <c r="C41" i="1"/>
  <c r="C91" i="1" l="1"/>
  <c r="C90" i="1" s="1"/>
  <c r="C16" i="1"/>
  <c r="C15" i="1" l="1"/>
  <c r="C14" i="1" l="1"/>
</calcChain>
</file>

<file path=xl/sharedStrings.xml><?xml version="1.0" encoding="utf-8"?>
<sst xmlns="http://schemas.openxmlformats.org/spreadsheetml/2006/main" count="205" uniqueCount="203">
  <si>
    <t/>
  </si>
  <si>
    <t>Пенсии и пособия, возмещаемые из бюджета</t>
  </si>
  <si>
    <t>ВСЕГО РАСХОДОВ</t>
  </si>
  <si>
    <t>ТЕКУЩИЕ РАСХОДЫ</t>
  </si>
  <si>
    <t>100000</t>
  </si>
  <si>
    <t>ЗАКУПКА ТОВАРОВ И ОПЛАТА УСЛУГ</t>
  </si>
  <si>
    <t>110000</t>
  </si>
  <si>
    <t>ОПЛАТА ТРУДА</t>
  </si>
  <si>
    <t>110100</t>
  </si>
  <si>
    <t>110200</t>
  </si>
  <si>
    <t>110300</t>
  </si>
  <si>
    <t>110310</t>
  </si>
  <si>
    <t>110320</t>
  </si>
  <si>
    <t>Продукты питания</t>
  </si>
  <si>
    <t>110330</t>
  </si>
  <si>
    <t>Оплата топлива</t>
  </si>
  <si>
    <t>110340</t>
  </si>
  <si>
    <t>110350</t>
  </si>
  <si>
    <t>110360</t>
  </si>
  <si>
    <t>КОМАНДИРОВКИ И СЛУЖЕБНЫЕ РАЗЪЕЗДЫ</t>
  </si>
  <si>
    <t>110400</t>
  </si>
  <si>
    <t>110410</t>
  </si>
  <si>
    <t>110420</t>
  </si>
  <si>
    <t>110500</t>
  </si>
  <si>
    <t>ОПЛАТА УСЛУГ СВЯЗИ</t>
  </si>
  <si>
    <t>110600</t>
  </si>
  <si>
    <t>110700</t>
  </si>
  <si>
    <t>110710</t>
  </si>
  <si>
    <t>Оплата тепловой энергии</t>
  </si>
  <si>
    <t>110720</t>
  </si>
  <si>
    <t>110730</t>
  </si>
  <si>
    <t>110740</t>
  </si>
  <si>
    <t>Вывоз мусора</t>
  </si>
  <si>
    <t>110750</t>
  </si>
  <si>
    <t>Аренда помещений</t>
  </si>
  <si>
    <t>110760</t>
  </si>
  <si>
    <t>110770</t>
  </si>
  <si>
    <t>Оплата газа</t>
  </si>
  <si>
    <t>110780</t>
  </si>
  <si>
    <t>Оплата услуг по типовому проектированию</t>
  </si>
  <si>
    <t>110900</t>
  </si>
  <si>
    <t>111000</t>
  </si>
  <si>
    <t>111010</t>
  </si>
  <si>
    <t>111011</t>
  </si>
  <si>
    <t>111020</t>
  </si>
  <si>
    <t>111030</t>
  </si>
  <si>
    <t>111041</t>
  </si>
  <si>
    <t>Книги и период. издания</t>
  </si>
  <si>
    <t>111042</t>
  </si>
  <si>
    <t>111043</t>
  </si>
  <si>
    <t>Переподготовка кадров</t>
  </si>
  <si>
    <t>111044</t>
  </si>
  <si>
    <t>111045</t>
  </si>
  <si>
    <t>111046</t>
  </si>
  <si>
    <t>111047</t>
  </si>
  <si>
    <t>111049</t>
  </si>
  <si>
    <t>111050</t>
  </si>
  <si>
    <t>111051</t>
  </si>
  <si>
    <t>111052</t>
  </si>
  <si>
    <t>111053</t>
  </si>
  <si>
    <t>Протезирование</t>
  </si>
  <si>
    <t>111054</t>
  </si>
  <si>
    <t>111055</t>
  </si>
  <si>
    <t>Услуги судмедэкспертизы</t>
  </si>
  <si>
    <t>111056</t>
  </si>
  <si>
    <t>111058</t>
  </si>
  <si>
    <t>111070</t>
  </si>
  <si>
    <t>ТЕКУЩИЕ ТРАНСФЕРТЫ</t>
  </si>
  <si>
    <t>130000</t>
  </si>
  <si>
    <t>130100</t>
  </si>
  <si>
    <t>На покрытие разницы в ценах и тарифах</t>
  </si>
  <si>
    <t>130110</t>
  </si>
  <si>
    <t>130120</t>
  </si>
  <si>
    <t>130140</t>
  </si>
  <si>
    <t>130200</t>
  </si>
  <si>
    <t>130220</t>
  </si>
  <si>
    <t>130270</t>
  </si>
  <si>
    <t>130280</t>
  </si>
  <si>
    <t>130300</t>
  </si>
  <si>
    <t>130310</t>
  </si>
  <si>
    <t>130400</t>
  </si>
  <si>
    <t>130410</t>
  </si>
  <si>
    <t>ТРАНСФЕРТЫ НАСЕЛЕНИЮ</t>
  </si>
  <si>
    <t>130500</t>
  </si>
  <si>
    <t>130510</t>
  </si>
  <si>
    <t>130530</t>
  </si>
  <si>
    <t>Стипендии</t>
  </si>
  <si>
    <t>130550</t>
  </si>
  <si>
    <t>130560</t>
  </si>
  <si>
    <t>130570</t>
  </si>
  <si>
    <t>130580</t>
  </si>
  <si>
    <t>130610</t>
  </si>
  <si>
    <t>130630</t>
  </si>
  <si>
    <t>130640</t>
  </si>
  <si>
    <t>Денежные компенсации</t>
  </si>
  <si>
    <t>130650</t>
  </si>
  <si>
    <t>130660</t>
  </si>
  <si>
    <t>КАПИТАЛЬНЫЕ РАСХОДЫ</t>
  </si>
  <si>
    <t>200000</t>
  </si>
  <si>
    <t>240000</t>
  </si>
  <si>
    <t>240100</t>
  </si>
  <si>
    <t>240110</t>
  </si>
  <si>
    <t>240120</t>
  </si>
  <si>
    <t>240200</t>
  </si>
  <si>
    <t>240210</t>
  </si>
  <si>
    <t>240230</t>
  </si>
  <si>
    <t>240240</t>
  </si>
  <si>
    <t>Капитальный ремонт</t>
  </si>
  <si>
    <t>240300</t>
  </si>
  <si>
    <t>240310</t>
  </si>
  <si>
    <t>240330</t>
  </si>
  <si>
    <t>240340</t>
  </si>
  <si>
    <t>240350</t>
  </si>
  <si>
    <t>240360</t>
  </si>
  <si>
    <t>290000</t>
  </si>
  <si>
    <t>400000</t>
  </si>
  <si>
    <t>420000</t>
  </si>
  <si>
    <t>420100</t>
  </si>
  <si>
    <t>420200</t>
  </si>
  <si>
    <t>Наименование</t>
  </si>
  <si>
    <t>"О республиканском бюджете на 2021 год"</t>
  </si>
  <si>
    <t>Приложение № 2.3</t>
  </si>
  <si>
    <t>Код статьи</t>
  </si>
  <si>
    <t>Расходы (план финансирования) республиканского бюджета на 2021 год</t>
  </si>
  <si>
    <t>к Закону Приднестровской Молдавской Республики</t>
  </si>
  <si>
    <t>НАЧИСЛЕНИЯ НА ОПЛАТУ ТРУДА (СТРАХОВЫЕ ВЗНОСЫ НА ГОСУДАРСТВЕННОЕ СОЦИАЛЬНОЕ СТРАХОВАНИЕ ГРАЖДАН)</t>
  </si>
  <si>
    <t>ПРИОБРЕТЕНИЕ ПРЕДМЕТОВ СНАБЖЕНИЯ И РАСХОДНЫХ МАТЕРИАЛОВ</t>
  </si>
  <si>
    <t>Медикаменты и перевязочные средства и прочие лечебные расходы</t>
  </si>
  <si>
    <t>Мягкий инвентарь и обмундирование</t>
  </si>
  <si>
    <t>Расходы на содержание автотранспорта</t>
  </si>
  <si>
    <t>Прочие  расходные материалы и предметы снабжения</t>
  </si>
  <si>
    <t>Командировки внутри республики</t>
  </si>
  <si>
    <t>Командировки за пределы республики</t>
  </si>
  <si>
    <t>ТРАНСПОРТНЫЕ УСЛУГИ</t>
  </si>
  <si>
    <t>ОПЛАТА КОММУНАЛЬНЫХ УСЛУГ</t>
  </si>
  <si>
    <t>Оплата содержания помещений</t>
  </si>
  <si>
    <t>Оплата водоснабжения помещений</t>
  </si>
  <si>
    <t>Оплата льгот по жилищным и коммунальным услугам, а также услугам связи</t>
  </si>
  <si>
    <t>ПРОЧИЕ ТЕКУЩИЕ РАСХОДЫ НА ЗАКУПКИ ТОВАРОВ И ОПЛАТУ УСЛУГ</t>
  </si>
  <si>
    <t>Оплата услуг научно-исследовательских организаций</t>
  </si>
  <si>
    <t>Оплата расходов, связанных с выполнением научно-исследовательских работ, опытно-конструкторских и технологических работ по государственным контрактам (договорам)</t>
  </si>
  <si>
    <t>Оплата текущего  ремота оборудования и инвентаря</t>
  </si>
  <si>
    <t>Оплата текущего ремонта зданий и помещений</t>
  </si>
  <si>
    <t>Государственная и местная символика и государственные знаки отличия</t>
  </si>
  <si>
    <t>Издательские услуги</t>
  </si>
  <si>
    <t>Представительские расходы</t>
  </si>
  <si>
    <t>Приобретение и установка счетчиков</t>
  </si>
  <si>
    <t>Вневедомственная охрана</t>
  </si>
  <si>
    <t>Прочие специальные расходы</t>
  </si>
  <si>
    <t>Информационно-вычислительные работы</t>
  </si>
  <si>
    <t>Молочные смеси для детей</t>
  </si>
  <si>
    <t>Денежная компенсация (взамен продовольственного пайка)</t>
  </si>
  <si>
    <t>Денежное вознаграждение за выполненные работы, услуги</t>
  </si>
  <si>
    <t>Товары и услуги, не отнесенные к другим подстатьям</t>
  </si>
  <si>
    <t>Трансферты на продукцию и услуги</t>
  </si>
  <si>
    <t>Трансферты на покрытие потерь от предоставления льгот по транспорту</t>
  </si>
  <si>
    <t>Прочие трансферты на продукцию и услуги</t>
  </si>
  <si>
    <t>Трансферты на производственные цели</t>
  </si>
  <si>
    <t>Прочие трансферты на производственные цели</t>
  </si>
  <si>
    <t>Трансферты из Экологического фонда</t>
  </si>
  <si>
    <t>Расходы на осуществление г.Тирасполем функций столицы</t>
  </si>
  <si>
    <t>Трансферты финансовым учреждениям и другим организациям</t>
  </si>
  <si>
    <t>Трансферты страховым компаниям на обязательное государственное, личное страхование</t>
  </si>
  <si>
    <t>Пенсии и пожизненное содержание</t>
  </si>
  <si>
    <t>Трансферты на поэтапную индексацию вкладов населения</t>
  </si>
  <si>
    <t>Трансферты на индексацию страховых взносов</t>
  </si>
  <si>
    <t>Оплата квартир и коммунальных услуг</t>
  </si>
  <si>
    <t>Приобретение транспортных средств для инвалидов</t>
  </si>
  <si>
    <t>Компенсация транспортных расходов инвалидам</t>
  </si>
  <si>
    <t>Прочие трансферты населению</t>
  </si>
  <si>
    <t>КАПИТАЛЬНЫЕ ВЛОЖЕНИЯ В ОСНОВНЫЕ ФОНДЫ</t>
  </si>
  <si>
    <t>Приобретение оборудования и предметов длительного пользования, относящихся к основным фондам</t>
  </si>
  <si>
    <t>Приобретение производственного оборудования и предметов длительного пользования для государственных предприятий</t>
  </si>
  <si>
    <t>Приобретение непроизводственного оборудования и предметов длительного пользования для государственных учреждений</t>
  </si>
  <si>
    <t>Капитальные вложения в строительство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</si>
  <si>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</si>
  <si>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</si>
  <si>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Капитальные вложения в строительство административных зданий</t>
  </si>
  <si>
    <t>Капитальный ремонт жилого фонда</t>
  </si>
  <si>
    <t>Капитальный ремонт объектов социально-культурного назначения</t>
  </si>
  <si>
    <t>Капитальный ремонт административных зданий</t>
  </si>
  <si>
    <t>Капитальный ремонт транспортных средств</t>
  </si>
  <si>
    <t>Капитальный ремонт прочих объектов</t>
  </si>
  <si>
    <t>УПЛАТА ПРОЦЕНТОВ И ПОГАШЕНИЕ КРЕДИТОВ СОГЛАСНО ДОГОВОРАМ, ЗАКЛЮЧЕННЫМ С ГЛАВНЫМИ РАСПОРЯДИТЕЛЯМИ КРЕДИТОВ</t>
  </si>
  <si>
    <t>Уплата процентов и погашение внутренних кредитов</t>
  </si>
  <si>
    <t>Погашение внутренних кредитов</t>
  </si>
  <si>
    <t>Уплата процентов по внутренним кредитам</t>
  </si>
  <si>
    <t>Сумма, руб.</t>
  </si>
  <si>
    <t>Оплата освещения помещений</t>
  </si>
  <si>
    <t>Участие адвокатов по назначению</t>
  </si>
  <si>
    <t>Трансферты из Дорожного фонда</t>
  </si>
  <si>
    <t>УЧАСТИЕ ПРАВИТЕЛЬСТВА В ОСУЩЕСТВЛЕНИИ ОТДЕЛЬНЫХ ПРОГРАММ</t>
  </si>
  <si>
    <t>СРЕДСТВА, ПЕРЕДАВАЕМЫЕ БЮДЖЕТАМ ДРУГИХ УРОВНЕЙ</t>
  </si>
  <si>
    <t>Учебные наглядные пособия, производственная практика учащихся и студентов</t>
  </si>
  <si>
    <t>Капитальные вложения в строительство коммунальных объектов</t>
  </si>
  <si>
    <t>Другие трансферты</t>
  </si>
  <si>
    <t>СОЗДАНИЕ ГОСУДАРСТВЕННЫХ РЕЗЕРВОВ</t>
  </si>
  <si>
    <t>Создание государственных резервов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</si>
  <si>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</si>
  <si>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</si>
  <si>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6</t>
  </si>
  <si>
    <t xml:space="preserve">Повышение пенсий за особые заслуги перед государством </t>
  </si>
  <si>
    <t xml:space="preserve">Штрафы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</si>
</sst>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12" fillId="0" borderId="4" xfId="0" applyNumberFormat="1" applyFont="1" applyBorder="1" applyAlignment="1">
      <alignment horizontal="right"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3" fontId="3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13" xfId="0" applyFont="1" applyBorder="1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2"/>
  <sheetViews>
    <sheetView tabSelected="1" view="pageBreakPreview" zoomScale="60" zoomScaleNormal="75" workbookViewId="0">
      <pane xSplit="3" ySplit="13" topLeftCell="D49" activePane="bottomRight" state="frozenSplit"/>
      <selection pane="topRight" activeCell="E1" sqref="E1"/>
      <selection pane="bottomLeft" activeCell="A2" sqref="A2"/>
      <selection pane="bottomRight" activeCell="A53" sqref="A53"/>
    </sheetView>
  </sheetViews>
  <sheetFormatPr defaultColWidth="9.125" defaultRowHeight="15.65" x14ac:dyDescent="0.25"/>
  <cols>
    <col min="1" max="1" width="75.25" style="1" customWidth="1"/>
    <col min="2" max="2" width="12.625" style="2" bestFit="1" customWidth="1"/>
    <col min="3" max="3" width="18" style="12" customWidth="1"/>
    <col min="4" max="227" width="11.75" style="1" customWidth="1"/>
    <col min="228" max="16384" width="9.125" style="1"/>
  </cols>
  <sheetData>
    <row r="1" spans="1:3" ht="18.350000000000001" x14ac:dyDescent="0.3">
      <c r="C1" s="26" t="s">
        <v>200</v>
      </c>
    </row>
    <row r="2" spans="1:3" ht="18.350000000000001" x14ac:dyDescent="0.3">
      <c r="C2" s="27" t="s">
        <v>124</v>
      </c>
    </row>
    <row r="3" spans="1:3" ht="18.350000000000001" x14ac:dyDescent="0.3">
      <c r="C3" s="28" t="s">
        <v>198</v>
      </c>
    </row>
    <row r="4" spans="1:3" ht="18.350000000000001" x14ac:dyDescent="0.3">
      <c r="C4" s="28" t="s">
        <v>199</v>
      </c>
    </row>
    <row r="5" spans="1:3" ht="18.350000000000001" x14ac:dyDescent="0.3">
      <c r="C5" s="27" t="s">
        <v>120</v>
      </c>
    </row>
    <row r="7" spans="1:3" ht="15.8" customHeight="1" x14ac:dyDescent="0.25">
      <c r="A7" s="31" t="s">
        <v>121</v>
      </c>
      <c r="B7" s="31"/>
      <c r="C7" s="31"/>
    </row>
    <row r="8" spans="1:3" ht="15.8" customHeight="1" x14ac:dyDescent="0.25">
      <c r="A8" s="31" t="s">
        <v>124</v>
      </c>
      <c r="B8" s="31"/>
      <c r="C8" s="31"/>
    </row>
    <row r="9" spans="1:3" ht="15.8" customHeight="1" x14ac:dyDescent="0.25">
      <c r="A9" s="31" t="s">
        <v>120</v>
      </c>
      <c r="B9" s="31"/>
      <c r="C9" s="31"/>
    </row>
    <row r="11" spans="1:3" ht="15.65" customHeight="1" x14ac:dyDescent="0.25">
      <c r="A11" s="30" t="s">
        <v>123</v>
      </c>
      <c r="B11" s="30"/>
      <c r="C11" s="30"/>
    </row>
    <row r="12" spans="1:3" ht="13.1" customHeight="1" thickBot="1" x14ac:dyDescent="0.3"/>
    <row r="13" spans="1:3" ht="31.6" customHeight="1" thickBot="1" x14ac:dyDescent="0.3">
      <c r="A13" s="19" t="s">
        <v>119</v>
      </c>
      <c r="B13" s="20" t="s">
        <v>122</v>
      </c>
      <c r="C13" s="21" t="s">
        <v>187</v>
      </c>
    </row>
    <row r="14" spans="1:3" ht="18.350000000000001" x14ac:dyDescent="0.25">
      <c r="A14" s="10" t="s">
        <v>2</v>
      </c>
      <c r="B14" s="8" t="s">
        <v>0</v>
      </c>
      <c r="C14" s="9">
        <f>SUM(C15+C90+C109)</f>
        <v>4354635503</v>
      </c>
    </row>
    <row r="15" spans="1:3" ht="18.350000000000001" x14ac:dyDescent="0.25">
      <c r="A15" s="3" t="s">
        <v>3</v>
      </c>
      <c r="B15" s="4" t="s">
        <v>4</v>
      </c>
      <c r="C15" s="13">
        <f>SUM(C16+C64)</f>
        <v>3819329644</v>
      </c>
    </row>
    <row r="16" spans="1:3" ht="17" x14ac:dyDescent="0.25">
      <c r="A16" s="3" t="s">
        <v>5</v>
      </c>
      <c r="B16" s="7" t="s">
        <v>6</v>
      </c>
      <c r="C16" s="14">
        <f>SUM(C17+C18+C19+C26+C29+C30+C31+C41+C40)</f>
        <v>2835478459</v>
      </c>
    </row>
    <row r="17" spans="1:3" x14ac:dyDescent="0.25">
      <c r="A17" s="3" t="s">
        <v>7</v>
      </c>
      <c r="B17" s="18" t="s">
        <v>8</v>
      </c>
      <c r="C17" s="15">
        <f>1572012195+800260+12769-500000-21686474+240000+46641470+646102+75353+4084390</f>
        <v>1602326065</v>
      </c>
    </row>
    <row r="18" spans="1:3" ht="31.25" x14ac:dyDescent="0.25">
      <c r="A18" s="3" t="s">
        <v>125</v>
      </c>
      <c r="B18" s="18" t="s">
        <v>9</v>
      </c>
      <c r="C18" s="15">
        <f>212174828+71303+33604977+60000+11379620+161626+18838+145416</f>
        <v>257616608</v>
      </c>
    </row>
    <row r="19" spans="1:3" ht="31.25" x14ac:dyDescent="0.25">
      <c r="A19" s="3" t="s">
        <v>126</v>
      </c>
      <c r="B19" s="18" t="s">
        <v>10</v>
      </c>
      <c r="C19" s="15">
        <f>SUM(C20:C25)</f>
        <v>502497115</v>
      </c>
    </row>
    <row r="20" spans="1:3" x14ac:dyDescent="0.25">
      <c r="A20" s="3" t="s">
        <v>127</v>
      </c>
      <c r="B20" s="5" t="s">
        <v>11</v>
      </c>
      <c r="C20" s="16">
        <f>110132910+34516563+5201+69841405-394000+39115</f>
        <v>214141194</v>
      </c>
    </row>
    <row r="21" spans="1:3" x14ac:dyDescent="0.25">
      <c r="A21" s="3" t="s">
        <v>128</v>
      </c>
      <c r="B21" s="5" t="s">
        <v>12</v>
      </c>
      <c r="C21" s="16">
        <f>54123631+2255951+614250+12953851</f>
        <v>69947683</v>
      </c>
    </row>
    <row r="22" spans="1:3" x14ac:dyDescent="0.25">
      <c r="A22" s="3" t="s">
        <v>13</v>
      </c>
      <c r="B22" s="5" t="s">
        <v>14</v>
      </c>
      <c r="C22" s="16">
        <f>64925593+4750834+9756+30591699-1326033</f>
        <v>98951849</v>
      </c>
    </row>
    <row r="23" spans="1:3" x14ac:dyDescent="0.25">
      <c r="A23" s="3" t="s">
        <v>15</v>
      </c>
      <c r="B23" s="5" t="s">
        <v>16</v>
      </c>
      <c r="C23" s="16">
        <f>2849769+52552</f>
        <v>2902321</v>
      </c>
    </row>
    <row r="24" spans="1:3" x14ac:dyDescent="0.25">
      <c r="A24" s="3" t="s">
        <v>129</v>
      </c>
      <c r="B24" s="5" t="s">
        <v>17</v>
      </c>
      <c r="C24" s="16">
        <f>63904404+226001+10559545+125000+135704</f>
        <v>74950654</v>
      </c>
    </row>
    <row r="25" spans="1:3" x14ac:dyDescent="0.25">
      <c r="A25" s="3" t="s">
        <v>130</v>
      </c>
      <c r="B25" s="5" t="s">
        <v>18</v>
      </c>
      <c r="C25" s="16">
        <f>34141896+21707+798272+5798+4842821+20356+280000-90560+1583124</f>
        <v>41603414</v>
      </c>
    </row>
    <row r="26" spans="1:3" x14ac:dyDescent="0.25">
      <c r="A26" s="3" t="s">
        <v>19</v>
      </c>
      <c r="B26" s="18" t="s">
        <v>20</v>
      </c>
      <c r="C26" s="15">
        <f>SUM(C27:C28)</f>
        <v>10842448</v>
      </c>
    </row>
    <row r="27" spans="1:3" x14ac:dyDescent="0.25">
      <c r="A27" s="3" t="s">
        <v>131</v>
      </c>
      <c r="B27" s="5" t="s">
        <v>21</v>
      </c>
      <c r="C27" s="16">
        <f>681984+2194+5000</f>
        <v>689178</v>
      </c>
    </row>
    <row r="28" spans="1:3" x14ac:dyDescent="0.25">
      <c r="A28" s="3" t="s">
        <v>132</v>
      </c>
      <c r="B28" s="5" t="s">
        <v>22</v>
      </c>
      <c r="C28" s="16">
        <f>10146087-13+7196</f>
        <v>10153270</v>
      </c>
    </row>
    <row r="29" spans="1:3" x14ac:dyDescent="0.25">
      <c r="A29" s="3" t="s">
        <v>133</v>
      </c>
      <c r="B29" s="18" t="s">
        <v>23</v>
      </c>
      <c r="C29" s="15">
        <v>115377</v>
      </c>
    </row>
    <row r="30" spans="1:3" x14ac:dyDescent="0.25">
      <c r="A30" s="3" t="s">
        <v>24</v>
      </c>
      <c r="B30" s="18" t="s">
        <v>25</v>
      </c>
      <c r="C30" s="15">
        <f>20419710+158808-61000+30000+90560-264512</f>
        <v>20373566</v>
      </c>
    </row>
    <row r="31" spans="1:3" x14ac:dyDescent="0.25">
      <c r="A31" s="3" t="s">
        <v>134</v>
      </c>
      <c r="B31" s="18" t="s">
        <v>26</v>
      </c>
      <c r="C31" s="15">
        <f>SUM(C32:C39)</f>
        <v>103144395</v>
      </c>
    </row>
    <row r="32" spans="1:3" x14ac:dyDescent="0.25">
      <c r="A32" s="3" t="s">
        <v>135</v>
      </c>
      <c r="B32" s="5" t="s">
        <v>27</v>
      </c>
      <c r="C32" s="16">
        <f>5542059+945107+10000+24088</f>
        <v>6521254</v>
      </c>
    </row>
    <row r="33" spans="1:3" x14ac:dyDescent="0.25">
      <c r="A33" s="3" t="s">
        <v>28</v>
      </c>
      <c r="B33" s="5" t="s">
        <v>29</v>
      </c>
      <c r="C33" s="16">
        <f>18901809+1759+533144+43399</f>
        <v>19480111</v>
      </c>
    </row>
    <row r="34" spans="1:3" x14ac:dyDescent="0.25">
      <c r="A34" s="3" t="s">
        <v>188</v>
      </c>
      <c r="B34" s="5" t="s">
        <v>30</v>
      </c>
      <c r="C34" s="16">
        <f>13870399+103308+992+131012</f>
        <v>14105711</v>
      </c>
    </row>
    <row r="35" spans="1:3" x14ac:dyDescent="0.25">
      <c r="A35" s="3" t="s">
        <v>136</v>
      </c>
      <c r="B35" s="5" t="s">
        <v>31</v>
      </c>
      <c r="C35" s="16">
        <f>7977610+47889+596+21932</f>
        <v>8048027</v>
      </c>
    </row>
    <row r="36" spans="1:3" x14ac:dyDescent="0.25">
      <c r="A36" s="3" t="s">
        <v>32</v>
      </c>
      <c r="B36" s="5" t="s">
        <v>33</v>
      </c>
      <c r="C36" s="16">
        <f>2444412+6721+679736+2000</f>
        <v>3132869</v>
      </c>
    </row>
    <row r="37" spans="1:3" x14ac:dyDescent="0.25">
      <c r="A37" s="3" t="s">
        <v>34</v>
      </c>
      <c r="B37" s="5" t="s">
        <v>35</v>
      </c>
      <c r="C37" s="16">
        <f>2364944+20749+20000</f>
        <v>2405693</v>
      </c>
    </row>
    <row r="38" spans="1:3" ht="31.25" x14ac:dyDescent="0.25">
      <c r="A38" s="3" t="s">
        <v>137</v>
      </c>
      <c r="B38" s="5" t="s">
        <v>36</v>
      </c>
      <c r="C38" s="16">
        <v>48357906</v>
      </c>
    </row>
    <row r="39" spans="1:3" x14ac:dyDescent="0.25">
      <c r="A39" s="3" t="s">
        <v>37</v>
      </c>
      <c r="B39" s="5" t="s">
        <v>38</v>
      </c>
      <c r="C39" s="16">
        <f>1000900+79324+10+12590</f>
        <v>1092824</v>
      </c>
    </row>
    <row r="40" spans="1:3" x14ac:dyDescent="0.25">
      <c r="A40" s="3" t="s">
        <v>39</v>
      </c>
      <c r="B40" s="18" t="s">
        <v>40</v>
      </c>
      <c r="C40" s="15">
        <v>2897</v>
      </c>
    </row>
    <row r="41" spans="1:3" ht="31.25" x14ac:dyDescent="0.25">
      <c r="A41" s="3" t="s">
        <v>138</v>
      </c>
      <c r="B41" s="18" t="s">
        <v>41</v>
      </c>
      <c r="C41" s="15">
        <f>SUM(C42:C63)</f>
        <v>338559988</v>
      </c>
    </row>
    <row r="42" spans="1:3" x14ac:dyDescent="0.25">
      <c r="A42" s="3" t="s">
        <v>139</v>
      </c>
      <c r="B42" s="5" t="s">
        <v>42</v>
      </c>
      <c r="C42" s="16">
        <f>483689+35000</f>
        <v>518689</v>
      </c>
    </row>
    <row r="43" spans="1:3" ht="46.9" x14ac:dyDescent="0.25">
      <c r="A43" s="3" t="s">
        <v>140</v>
      </c>
      <c r="B43" s="5" t="s">
        <v>43</v>
      </c>
      <c r="C43" s="16">
        <v>7500000</v>
      </c>
    </row>
    <row r="44" spans="1:3" x14ac:dyDescent="0.25">
      <c r="A44" s="3" t="s">
        <v>141</v>
      </c>
      <c r="B44" s="5" t="s">
        <v>44</v>
      </c>
      <c r="C44" s="16">
        <f>4225740+1542+25000+2228550+5000+1643036</f>
        <v>8128868</v>
      </c>
    </row>
    <row r="45" spans="1:3" x14ac:dyDescent="0.25">
      <c r="A45" s="3" t="s">
        <v>142</v>
      </c>
      <c r="B45" s="5" t="s">
        <v>45</v>
      </c>
      <c r="C45" s="16">
        <f>12079290+2432+92575+2598057+150000-48682</f>
        <v>14873672</v>
      </c>
    </row>
    <row r="46" spans="1:3" ht="31.25" x14ac:dyDescent="0.25">
      <c r="A46" s="3" t="s">
        <v>193</v>
      </c>
      <c r="B46" s="5" t="s">
        <v>46</v>
      </c>
      <c r="C46" s="16">
        <f>1035327+16426+30877-3840</f>
        <v>1078790</v>
      </c>
    </row>
    <row r="47" spans="1:3" x14ac:dyDescent="0.25">
      <c r="A47" s="3" t="s">
        <v>47</v>
      </c>
      <c r="B47" s="5" t="s">
        <v>48</v>
      </c>
      <c r="C47" s="16">
        <f>2619048+27024+7801-22003</f>
        <v>2631870</v>
      </c>
    </row>
    <row r="48" spans="1:3" x14ac:dyDescent="0.25">
      <c r="A48" s="3" t="s">
        <v>143</v>
      </c>
      <c r="B48" s="5" t="s">
        <v>49</v>
      </c>
      <c r="C48" s="16">
        <v>1345200</v>
      </c>
    </row>
    <row r="49" spans="1:3" x14ac:dyDescent="0.25">
      <c r="A49" s="3" t="s">
        <v>50</v>
      </c>
      <c r="B49" s="5" t="s">
        <v>51</v>
      </c>
      <c r="C49" s="16">
        <f>2327229+10423-17203</f>
        <v>2320449</v>
      </c>
    </row>
    <row r="50" spans="1:3" x14ac:dyDescent="0.25">
      <c r="A50" s="3" t="s">
        <v>144</v>
      </c>
      <c r="B50" s="5" t="s">
        <v>52</v>
      </c>
      <c r="C50" s="16">
        <f>7108103+25240+789863+20000</f>
        <v>7943206</v>
      </c>
    </row>
    <row r="51" spans="1:3" x14ac:dyDescent="0.25">
      <c r="A51" s="3" t="s">
        <v>145</v>
      </c>
      <c r="B51" s="5" t="s">
        <v>53</v>
      </c>
      <c r="C51" s="16">
        <f>5214244-2500</f>
        <v>5211744</v>
      </c>
    </row>
    <row r="52" spans="1:3" x14ac:dyDescent="0.25">
      <c r="A52" s="3" t="s">
        <v>146</v>
      </c>
      <c r="B52" s="5" t="s">
        <v>54</v>
      </c>
      <c r="C52" s="16">
        <f>105476+82+2575</f>
        <v>108133</v>
      </c>
    </row>
    <row r="53" spans="1:3" x14ac:dyDescent="0.25">
      <c r="A53" s="32" t="s">
        <v>202</v>
      </c>
      <c r="B53" s="33">
        <v>111048</v>
      </c>
      <c r="C53" s="16">
        <f>0+103718</f>
        <v>103718</v>
      </c>
    </row>
    <row r="54" spans="1:3" x14ac:dyDescent="0.25">
      <c r="A54" s="3" t="s">
        <v>148</v>
      </c>
      <c r="B54" s="5" t="s">
        <v>55</v>
      </c>
      <c r="C54" s="16">
        <f>10561188+662146+681823-1374400</f>
        <v>10530757</v>
      </c>
    </row>
    <row r="55" spans="1:3" x14ac:dyDescent="0.25">
      <c r="A55" s="3" t="s">
        <v>147</v>
      </c>
      <c r="B55" s="5" t="s">
        <v>56</v>
      </c>
      <c r="C55" s="16">
        <f>6057875+20041+254513-80000</f>
        <v>6252429</v>
      </c>
    </row>
    <row r="56" spans="1:3" x14ac:dyDescent="0.25">
      <c r="A56" s="3" t="s">
        <v>149</v>
      </c>
      <c r="B56" s="5" t="s">
        <v>57</v>
      </c>
      <c r="C56" s="16">
        <f>827314+62689+89260+30000</f>
        <v>1009263</v>
      </c>
    </row>
    <row r="57" spans="1:3" x14ac:dyDescent="0.25">
      <c r="A57" s="3" t="s">
        <v>189</v>
      </c>
      <c r="B57" s="5" t="s">
        <v>58</v>
      </c>
      <c r="C57" s="16">
        <v>524239</v>
      </c>
    </row>
    <row r="58" spans="1:3" x14ac:dyDescent="0.25">
      <c r="A58" s="3" t="s">
        <v>150</v>
      </c>
      <c r="B58" s="5" t="s">
        <v>59</v>
      </c>
      <c r="C58" s="16">
        <f>1586158+89481+39209</f>
        <v>1714848</v>
      </c>
    </row>
    <row r="59" spans="1:3" x14ac:dyDescent="0.25">
      <c r="A59" s="3" t="s">
        <v>60</v>
      </c>
      <c r="B59" s="5" t="s">
        <v>61</v>
      </c>
      <c r="C59" s="16">
        <f>14078396+202138-14640+61033</f>
        <v>14326927</v>
      </c>
    </row>
    <row r="60" spans="1:3" x14ac:dyDescent="0.25">
      <c r="A60" s="3" t="s">
        <v>151</v>
      </c>
      <c r="B60" s="5" t="s">
        <v>62</v>
      </c>
      <c r="C60" s="16">
        <f>60194938-5330980</f>
        <v>54863958</v>
      </c>
    </row>
    <row r="61" spans="1:3" x14ac:dyDescent="0.25">
      <c r="A61" s="3" t="s">
        <v>63</v>
      </c>
      <c r="B61" s="5" t="s">
        <v>64</v>
      </c>
      <c r="C61" s="16">
        <v>1034</v>
      </c>
    </row>
    <row r="62" spans="1:3" x14ac:dyDescent="0.25">
      <c r="A62" s="3" t="s">
        <v>152</v>
      </c>
      <c r="B62" s="5" t="s">
        <v>65</v>
      </c>
      <c r="C62" s="16">
        <f>3285867-45000-201837-254655</f>
        <v>2784375</v>
      </c>
    </row>
    <row r="63" spans="1:3" x14ac:dyDescent="0.25">
      <c r="A63" s="3" t="s">
        <v>153</v>
      </c>
      <c r="B63" s="5" t="s">
        <v>66</v>
      </c>
      <c r="C63" s="16">
        <f>150728982+19739+20000+14640-14628+33421865+10644+5460000+15000-196839+5308416</f>
        <v>194787819</v>
      </c>
    </row>
    <row r="64" spans="1:3" x14ac:dyDescent="0.25">
      <c r="A64" s="3" t="s">
        <v>67</v>
      </c>
      <c r="B64" s="18" t="s">
        <v>68</v>
      </c>
      <c r="C64" s="15">
        <f>SUM(C65+C69+C73+C75+C78)</f>
        <v>983851185</v>
      </c>
    </row>
    <row r="65" spans="1:3" x14ac:dyDescent="0.25">
      <c r="A65" s="3" t="s">
        <v>154</v>
      </c>
      <c r="B65" s="18" t="s">
        <v>69</v>
      </c>
      <c r="C65" s="15">
        <f>SUM(C66:C68)</f>
        <v>133892636</v>
      </c>
    </row>
    <row r="66" spans="1:3" x14ac:dyDescent="0.25">
      <c r="A66" s="3" t="s">
        <v>70</v>
      </c>
      <c r="B66" s="5" t="s">
        <v>71</v>
      </c>
      <c r="C66" s="16">
        <f>166028344-56000000</f>
        <v>110028344</v>
      </c>
    </row>
    <row r="67" spans="1:3" x14ac:dyDescent="0.25">
      <c r="A67" s="3" t="s">
        <v>155</v>
      </c>
      <c r="B67" s="5" t="s">
        <v>72</v>
      </c>
      <c r="C67" s="16">
        <f>4213175-577985</f>
        <v>3635190</v>
      </c>
    </row>
    <row r="68" spans="1:3" x14ac:dyDescent="0.25">
      <c r="A68" s="3" t="s">
        <v>156</v>
      </c>
      <c r="B68" s="5" t="s">
        <v>73</v>
      </c>
      <c r="C68" s="16">
        <v>20229102</v>
      </c>
    </row>
    <row r="69" spans="1:3" x14ac:dyDescent="0.25">
      <c r="A69" s="3" t="s">
        <v>157</v>
      </c>
      <c r="B69" s="18" t="s">
        <v>74</v>
      </c>
      <c r="C69" s="15">
        <f>SUM(C70:C72)</f>
        <v>15801917</v>
      </c>
    </row>
    <row r="70" spans="1:3" x14ac:dyDescent="0.25">
      <c r="A70" s="3" t="s">
        <v>190</v>
      </c>
      <c r="B70" s="5" t="s">
        <v>75</v>
      </c>
      <c r="C70" s="16">
        <f>1151526+280000</f>
        <v>1431526</v>
      </c>
    </row>
    <row r="71" spans="1:3" x14ac:dyDescent="0.25">
      <c r="A71" s="3" t="s">
        <v>158</v>
      </c>
      <c r="B71" s="5" t="s">
        <v>76</v>
      </c>
      <c r="C71" s="16">
        <v>8642083</v>
      </c>
    </row>
    <row r="72" spans="1:3" x14ac:dyDescent="0.25">
      <c r="A72" s="3" t="s">
        <v>159</v>
      </c>
      <c r="B72" s="5" t="s">
        <v>77</v>
      </c>
      <c r="C72" s="16">
        <f>5720162+8146</f>
        <v>5728308</v>
      </c>
    </row>
    <row r="73" spans="1:3" x14ac:dyDescent="0.25">
      <c r="A73" s="3" t="s">
        <v>192</v>
      </c>
      <c r="B73" s="18" t="s">
        <v>78</v>
      </c>
      <c r="C73" s="15">
        <f>311769157+4492529+2382384+380000+14952270-300000+8122961-2014546</f>
        <v>339784755</v>
      </c>
    </row>
    <row r="74" spans="1:3" x14ac:dyDescent="0.25">
      <c r="A74" s="3" t="s">
        <v>160</v>
      </c>
      <c r="B74" s="18" t="s">
        <v>79</v>
      </c>
      <c r="C74" s="15">
        <v>3999587</v>
      </c>
    </row>
    <row r="75" spans="1:3" x14ac:dyDescent="0.25">
      <c r="A75" s="3" t="s">
        <v>161</v>
      </c>
      <c r="B75" s="18" t="s">
        <v>80</v>
      </c>
      <c r="C75" s="15">
        <f>SUM(C76:C77)</f>
        <v>1472641</v>
      </c>
    </row>
    <row r="76" spans="1:3" ht="31.25" x14ac:dyDescent="0.25">
      <c r="A76" s="3" t="s">
        <v>162</v>
      </c>
      <c r="B76" s="5" t="s">
        <v>81</v>
      </c>
      <c r="C76" s="16">
        <f>744656+150000</f>
        <v>894656</v>
      </c>
    </row>
    <row r="77" spans="1:3" x14ac:dyDescent="0.25">
      <c r="A77" s="3" t="s">
        <v>195</v>
      </c>
      <c r="B77" s="5">
        <v>130430</v>
      </c>
      <c r="C77" s="16">
        <f>0+577985</f>
        <v>577985</v>
      </c>
    </row>
    <row r="78" spans="1:3" x14ac:dyDescent="0.25">
      <c r="A78" s="3" t="s">
        <v>82</v>
      </c>
      <c r="B78" s="18" t="s">
        <v>83</v>
      </c>
      <c r="C78" s="15">
        <f>SUM(C79:C89)</f>
        <v>492899236</v>
      </c>
    </row>
    <row r="79" spans="1:3" x14ac:dyDescent="0.25">
      <c r="A79" s="3" t="s">
        <v>163</v>
      </c>
      <c r="B79" s="5" t="s">
        <v>84</v>
      </c>
      <c r="C79" s="16">
        <f>64209546-7049143+121816-906627</f>
        <v>56375592</v>
      </c>
    </row>
    <row r="80" spans="1:3" x14ac:dyDescent="0.25">
      <c r="A80" s="3" t="s">
        <v>201</v>
      </c>
      <c r="B80" s="5" t="s">
        <v>85</v>
      </c>
      <c r="C80" s="16">
        <v>4586664</v>
      </c>
    </row>
    <row r="81" spans="1:3" x14ac:dyDescent="0.25">
      <c r="A81" s="3" t="s">
        <v>86</v>
      </c>
      <c r="B81" s="5" t="s">
        <v>87</v>
      </c>
      <c r="C81" s="16">
        <f>16697827-363194-754000</f>
        <v>15580633</v>
      </c>
    </row>
    <row r="82" spans="1:3" x14ac:dyDescent="0.25">
      <c r="A82" s="3" t="s">
        <v>164</v>
      </c>
      <c r="B82" s="5" t="s">
        <v>88</v>
      </c>
      <c r="C82" s="16">
        <f>17279783+6000000</f>
        <v>23279783</v>
      </c>
    </row>
    <row r="83" spans="1:3" x14ac:dyDescent="0.25">
      <c r="A83" s="3" t="s">
        <v>165</v>
      </c>
      <c r="B83" s="5" t="s">
        <v>89</v>
      </c>
      <c r="C83" s="16">
        <v>100000</v>
      </c>
    </row>
    <row r="84" spans="1:3" x14ac:dyDescent="0.25">
      <c r="A84" s="3" t="s">
        <v>166</v>
      </c>
      <c r="B84" s="5" t="s">
        <v>90</v>
      </c>
      <c r="C84" s="16">
        <v>407888</v>
      </c>
    </row>
    <row r="85" spans="1:3" x14ac:dyDescent="0.25">
      <c r="A85" s="3" t="s">
        <v>1</v>
      </c>
      <c r="B85" s="5" t="s">
        <v>91</v>
      </c>
      <c r="C85" s="16">
        <f>176028444-7209457-121816</f>
        <v>168697171</v>
      </c>
    </row>
    <row r="86" spans="1:3" x14ac:dyDescent="0.25">
      <c r="A86" s="3" t="s">
        <v>167</v>
      </c>
      <c r="B86" s="5" t="s">
        <v>92</v>
      </c>
      <c r="C86" s="16">
        <v>1310400</v>
      </c>
    </row>
    <row r="87" spans="1:3" x14ac:dyDescent="0.25">
      <c r="A87" s="3" t="s">
        <v>168</v>
      </c>
      <c r="B87" s="5" t="s">
        <v>93</v>
      </c>
      <c r="C87" s="16">
        <v>339880</v>
      </c>
    </row>
    <row r="88" spans="1:3" x14ac:dyDescent="0.25">
      <c r="A88" s="3" t="s">
        <v>94</v>
      </c>
      <c r="B88" s="5" t="s">
        <v>95</v>
      </c>
      <c r="C88" s="16">
        <f>159746150-1759+3948824-68319-1598+1229029</f>
        <v>164852327</v>
      </c>
    </row>
    <row r="89" spans="1:3" x14ac:dyDescent="0.25">
      <c r="A89" s="3" t="s">
        <v>169</v>
      </c>
      <c r="B89" s="5" t="s">
        <v>96</v>
      </c>
      <c r="C89" s="16">
        <f>53168539-105362+4869129-563408</f>
        <v>57368898</v>
      </c>
    </row>
    <row r="90" spans="1:3" ht="18.350000000000001" x14ac:dyDescent="0.25">
      <c r="A90" s="3" t="s">
        <v>97</v>
      </c>
      <c r="B90" s="4" t="s">
        <v>98</v>
      </c>
      <c r="C90" s="13">
        <f>SUM(C91+C108+C106)</f>
        <v>461301859</v>
      </c>
    </row>
    <row r="91" spans="1:3" ht="17" x14ac:dyDescent="0.25">
      <c r="A91" s="3" t="s">
        <v>170</v>
      </c>
      <c r="B91" s="7" t="s">
        <v>99</v>
      </c>
      <c r="C91" s="14">
        <f>SUM(C92+C95+C100)</f>
        <v>351825207</v>
      </c>
    </row>
    <row r="92" spans="1:3" ht="31.25" x14ac:dyDescent="0.25">
      <c r="A92" s="3" t="s">
        <v>171</v>
      </c>
      <c r="B92" s="18" t="s">
        <v>100</v>
      </c>
      <c r="C92" s="15">
        <f>SUM(C93:C94)</f>
        <v>82718705</v>
      </c>
    </row>
    <row r="93" spans="1:3" ht="31.25" x14ac:dyDescent="0.25">
      <c r="A93" s="3" t="s">
        <v>172</v>
      </c>
      <c r="B93" s="5" t="s">
        <v>101</v>
      </c>
      <c r="C93" s="16">
        <f>195000+113846</f>
        <v>308846</v>
      </c>
    </row>
    <row r="94" spans="1:3" ht="31.25" x14ac:dyDescent="0.25">
      <c r="A94" s="3" t="s">
        <v>173</v>
      </c>
      <c r="B94" s="5" t="s">
        <v>102</v>
      </c>
      <c r="C94" s="16">
        <f>73190734+101985+3206923+3008948+8830+810504+3041291+102648-1062004</f>
        <v>82409859</v>
      </c>
    </row>
    <row r="95" spans="1:3" x14ac:dyDescent="0.25">
      <c r="A95" s="3" t="s">
        <v>174</v>
      </c>
      <c r="B95" s="18" t="s">
        <v>103</v>
      </c>
      <c r="C95" s="15">
        <f>SUM(C96:C99)</f>
        <v>127462102</v>
      </c>
    </row>
    <row r="96" spans="1:3" x14ac:dyDescent="0.25">
      <c r="A96" s="3" t="s">
        <v>175</v>
      </c>
      <c r="B96" s="5" t="s">
        <v>104</v>
      </c>
      <c r="C96" s="16">
        <v>795729</v>
      </c>
    </row>
    <row r="97" spans="1:3" ht="31.25" x14ac:dyDescent="0.25">
      <c r="A97" s="3" t="s">
        <v>176</v>
      </c>
      <c r="B97" s="5" t="s">
        <v>105</v>
      </c>
      <c r="C97" s="16">
        <f>60715188+8552299+16522874-1700000-380000+5104230-4356083+30474238+537551</f>
        <v>115470297</v>
      </c>
    </row>
    <row r="98" spans="1:3" x14ac:dyDescent="0.25">
      <c r="A98" s="3" t="s">
        <v>177</v>
      </c>
      <c r="B98" s="5" t="s">
        <v>106</v>
      </c>
      <c r="C98" s="16">
        <f>9936337+532589-532589</f>
        <v>9936337</v>
      </c>
    </row>
    <row r="99" spans="1:3" x14ac:dyDescent="0.25">
      <c r="A99" s="29" t="s">
        <v>194</v>
      </c>
      <c r="B99" s="5">
        <v>240250</v>
      </c>
      <c r="C99" s="16">
        <f>0+532589+727150</f>
        <v>1259739</v>
      </c>
    </row>
    <row r="100" spans="1:3" x14ac:dyDescent="0.25">
      <c r="A100" s="3" t="s">
        <v>107</v>
      </c>
      <c r="B100" s="18" t="s">
        <v>108</v>
      </c>
      <c r="C100" s="15">
        <f>SUM(C101:C105)</f>
        <v>141644400</v>
      </c>
    </row>
    <row r="101" spans="1:3" x14ac:dyDescent="0.25">
      <c r="A101" s="3" t="s">
        <v>178</v>
      </c>
      <c r="B101" s="5" t="s">
        <v>109</v>
      </c>
      <c r="C101" s="16">
        <f>620000-620000</f>
        <v>0</v>
      </c>
    </row>
    <row r="102" spans="1:3" x14ac:dyDescent="0.25">
      <c r="A102" s="3" t="s">
        <v>179</v>
      </c>
      <c r="B102" s="5" t="s">
        <v>110</v>
      </c>
      <c r="C102" s="16">
        <f>87453018-8178875+1700000-5104230+13719764+32857762+1257709</f>
        <v>123705148</v>
      </c>
    </row>
    <row r="103" spans="1:3" x14ac:dyDescent="0.25">
      <c r="A103" s="3" t="s">
        <v>180</v>
      </c>
      <c r="B103" s="5" t="s">
        <v>111</v>
      </c>
      <c r="C103" s="16">
        <f>13358417+95215+1545165+844271</f>
        <v>15843068</v>
      </c>
    </row>
    <row r="104" spans="1:3" x14ac:dyDescent="0.25">
      <c r="A104" s="3" t="s">
        <v>181</v>
      </c>
      <c r="B104" s="5" t="s">
        <v>112</v>
      </c>
      <c r="C104" s="16">
        <v>96184</v>
      </c>
    </row>
    <row r="105" spans="1:3" x14ac:dyDescent="0.25">
      <c r="A105" s="3" t="s">
        <v>182</v>
      </c>
      <c r="B105" s="5" t="s">
        <v>113</v>
      </c>
      <c r="C105" s="16">
        <v>2000000</v>
      </c>
    </row>
    <row r="106" spans="1:3" s="25" customFormat="1" ht="17" x14ac:dyDescent="0.25">
      <c r="A106" s="23" t="s">
        <v>196</v>
      </c>
      <c r="B106" s="24">
        <v>250000</v>
      </c>
      <c r="C106" s="14">
        <f>SUM(C107)</f>
        <v>3875517</v>
      </c>
    </row>
    <row r="107" spans="1:3" x14ac:dyDescent="0.25">
      <c r="A107" s="3" t="s">
        <v>197</v>
      </c>
      <c r="B107" s="22">
        <v>250100</v>
      </c>
      <c r="C107" s="16">
        <f>0+3875517</f>
        <v>3875517</v>
      </c>
    </row>
    <row r="108" spans="1:3" ht="31.25" x14ac:dyDescent="0.25">
      <c r="A108" s="3" t="s">
        <v>191</v>
      </c>
      <c r="B108" s="7" t="s">
        <v>114</v>
      </c>
      <c r="C108" s="14">
        <f>79627709+436855+5568870-5460000+25427701</f>
        <v>105601135</v>
      </c>
    </row>
    <row r="109" spans="1:3" ht="46.9" x14ac:dyDescent="0.25">
      <c r="A109" s="3" t="s">
        <v>183</v>
      </c>
      <c r="B109" s="7" t="s">
        <v>115</v>
      </c>
      <c r="C109" s="14">
        <f>SUM(C110)</f>
        <v>74004000</v>
      </c>
    </row>
    <row r="110" spans="1:3" x14ac:dyDescent="0.25">
      <c r="A110" s="3" t="s">
        <v>184</v>
      </c>
      <c r="B110" s="18" t="s">
        <v>116</v>
      </c>
      <c r="C110" s="15">
        <f>SUM(C111:C112)</f>
        <v>74004000</v>
      </c>
    </row>
    <row r="111" spans="1:3" x14ac:dyDescent="0.25">
      <c r="A111" s="3" t="s">
        <v>186</v>
      </c>
      <c r="B111" s="5" t="s">
        <v>117</v>
      </c>
      <c r="C111" s="16">
        <v>4000</v>
      </c>
    </row>
    <row r="112" spans="1:3" ht="16.3" thickBot="1" x14ac:dyDescent="0.3">
      <c r="A112" s="11" t="s">
        <v>185</v>
      </c>
      <c r="B112" s="6" t="s">
        <v>118</v>
      </c>
      <c r="C112" s="17">
        <v>74000000</v>
      </c>
    </row>
  </sheetData>
  <mergeCells count="4">
    <mergeCell ref="A11:C11"/>
    <mergeCell ref="A7:C7"/>
    <mergeCell ref="A8:C8"/>
    <mergeCell ref="A9:C9"/>
  </mergeCells>
  <pageMargins left="0.78740157480314965" right="0.19685039370078741" top="0.39370078740157483" bottom="0.27559055118110237" header="0" footer="0"/>
  <pageSetup paperSize="9" scale="87" firstPageNumber="183" fitToHeight="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2.3 (333)</vt:lpstr>
      <vt:lpstr>'Приложение № 2.3 (333)'!Заголовки_для_печати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И. Огородник</dc:creator>
  <cp:lastModifiedBy>Дротенко</cp:lastModifiedBy>
  <cp:lastPrinted>2021-11-16T14:56:16Z</cp:lastPrinted>
  <dcterms:created xsi:type="dcterms:W3CDTF">2020-10-17T17:53:10Z</dcterms:created>
  <dcterms:modified xsi:type="dcterms:W3CDTF">2021-11-16T14:56:49Z</dcterms:modified>
</cp:coreProperties>
</file>