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С к Приложению № 12" sheetId="1" r:id="rId1"/>
  </sheets>
  <definedNames>
    <definedName name="_xlnm.Print_Titles" localSheetId="0">'С к Приложению № 12'!$A:$B,'С к Приложению № 12'!$7:$8</definedName>
    <definedName name="_xlnm.Print_Area" localSheetId="0">'С к Приложению № 12'!$A$1:$AC$57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2" i="1" l="1"/>
  <c r="P20" i="1"/>
  <c r="M22" i="1" l="1"/>
  <c r="M14" i="1"/>
  <c r="N24" i="1" l="1"/>
  <c r="N14" i="1"/>
  <c r="N22" i="1"/>
  <c r="Q22" i="1" l="1"/>
  <c r="Q20" i="1"/>
  <c r="Q14" i="1"/>
  <c r="O22" i="1"/>
  <c r="O14" i="1"/>
  <c r="S22" i="1" l="1"/>
  <c r="R22" i="1"/>
  <c r="R14" i="1" l="1"/>
  <c r="S14" i="1"/>
  <c r="S20" i="1"/>
  <c r="P14" i="1"/>
  <c r="L22" i="1"/>
  <c r="L14" i="1"/>
  <c r="N16" i="1" l="1"/>
  <c r="P13" i="1" l="1"/>
  <c r="P10" i="1"/>
  <c r="L21" i="1" l="1"/>
  <c r="L24" i="1"/>
  <c r="L16" i="1"/>
  <c r="L20" i="1"/>
  <c r="L13" i="1"/>
  <c r="L12" i="1"/>
  <c r="L11" i="1"/>
  <c r="L10" i="1"/>
  <c r="R16" i="1" l="1"/>
  <c r="Q31" i="1"/>
  <c r="Z31" i="1" s="1"/>
  <c r="R31" i="1"/>
  <c r="AA31" i="1" s="1"/>
  <c r="S31" i="1"/>
  <c r="AB31" i="1" s="1"/>
  <c r="L31" i="1"/>
  <c r="M31" i="1"/>
  <c r="V31" i="1" s="1"/>
  <c r="N31" i="1"/>
  <c r="W31" i="1" s="1"/>
  <c r="O31" i="1"/>
  <c r="X31" i="1" s="1"/>
  <c r="P16" i="1"/>
  <c r="U10" i="1"/>
  <c r="W10" i="1"/>
  <c r="X10" i="1"/>
  <c r="Z10" i="1"/>
  <c r="AA10" i="1"/>
  <c r="U11" i="1"/>
  <c r="W11" i="1"/>
  <c r="X11" i="1"/>
  <c r="Y11" i="1"/>
  <c r="Z11" i="1"/>
  <c r="AA11" i="1"/>
  <c r="AB11" i="1"/>
  <c r="U12" i="1"/>
  <c r="V12" i="1"/>
  <c r="W12" i="1"/>
  <c r="X12" i="1"/>
  <c r="Y12" i="1"/>
  <c r="Z12" i="1"/>
  <c r="AA12" i="1"/>
  <c r="AB12" i="1"/>
  <c r="U13" i="1"/>
  <c r="W13" i="1"/>
  <c r="X13" i="1"/>
  <c r="Y13" i="1"/>
  <c r="Z13" i="1"/>
  <c r="AA13" i="1"/>
  <c r="AB13" i="1"/>
  <c r="V16" i="1"/>
  <c r="W16" i="1"/>
  <c r="X16" i="1"/>
  <c r="Z16" i="1"/>
  <c r="AA16" i="1"/>
  <c r="AB16" i="1"/>
  <c r="U21" i="1"/>
  <c r="V21" i="1"/>
  <c r="W21" i="1"/>
  <c r="X21" i="1"/>
  <c r="Y21" i="1"/>
  <c r="Z21" i="1"/>
  <c r="AA21" i="1"/>
  <c r="AB21" i="1"/>
  <c r="V22" i="1"/>
  <c r="X22" i="1"/>
  <c r="Z22" i="1"/>
  <c r="U23" i="1"/>
  <c r="V23" i="1"/>
  <c r="W23" i="1"/>
  <c r="X23" i="1"/>
  <c r="Y23" i="1"/>
  <c r="Z23" i="1"/>
  <c r="AA23" i="1"/>
  <c r="AB23" i="1"/>
  <c r="U24" i="1"/>
  <c r="V24" i="1"/>
  <c r="W24" i="1"/>
  <c r="X24" i="1"/>
  <c r="Z24" i="1"/>
  <c r="AA24" i="1"/>
  <c r="AB24" i="1"/>
  <c r="U25" i="1"/>
  <c r="V25" i="1"/>
  <c r="W25" i="1"/>
  <c r="X25" i="1"/>
  <c r="Y25" i="1"/>
  <c r="Z25" i="1"/>
  <c r="AA25" i="1"/>
  <c r="AB25" i="1"/>
  <c r="V30" i="1"/>
  <c r="W30" i="1"/>
  <c r="X30" i="1"/>
  <c r="Y30" i="1"/>
  <c r="Z30" i="1"/>
  <c r="AA30" i="1"/>
  <c r="AB30" i="1"/>
  <c r="W33" i="1"/>
  <c r="X33" i="1"/>
  <c r="Y33" i="1"/>
  <c r="AA33" i="1"/>
  <c r="AB33" i="1"/>
  <c r="U36" i="1"/>
  <c r="V36" i="1"/>
  <c r="W36" i="1"/>
  <c r="X36" i="1"/>
  <c r="Y36" i="1"/>
  <c r="Z36" i="1"/>
  <c r="AA36" i="1"/>
  <c r="AB36" i="1"/>
  <c r="U37" i="1"/>
  <c r="V37" i="1"/>
  <c r="W37" i="1"/>
  <c r="X37" i="1"/>
  <c r="Y37" i="1"/>
  <c r="Z37" i="1"/>
  <c r="AA37" i="1"/>
  <c r="AB37" i="1"/>
  <c r="U38" i="1"/>
  <c r="V38" i="1"/>
  <c r="W38" i="1"/>
  <c r="X38" i="1"/>
  <c r="Y38" i="1"/>
  <c r="Z38" i="1"/>
  <c r="AA38" i="1"/>
  <c r="AB38" i="1"/>
  <c r="U39" i="1"/>
  <c r="V39" i="1"/>
  <c r="W39" i="1"/>
  <c r="X39" i="1"/>
  <c r="Y39" i="1"/>
  <c r="Z39" i="1"/>
  <c r="AA39" i="1"/>
  <c r="AB39" i="1"/>
  <c r="U40" i="1"/>
  <c r="V40" i="1"/>
  <c r="W40" i="1"/>
  <c r="X40" i="1"/>
  <c r="Y40" i="1"/>
  <c r="Z40" i="1"/>
  <c r="AA40" i="1"/>
  <c r="AB40" i="1"/>
  <c r="U41" i="1"/>
  <c r="V41" i="1"/>
  <c r="W41" i="1"/>
  <c r="X41" i="1"/>
  <c r="Y41" i="1"/>
  <c r="Z41" i="1"/>
  <c r="AA41" i="1"/>
  <c r="AB41" i="1"/>
  <c r="U42" i="1"/>
  <c r="V42" i="1"/>
  <c r="W42" i="1"/>
  <c r="X42" i="1"/>
  <c r="Y42" i="1"/>
  <c r="Z42" i="1"/>
  <c r="AA42" i="1"/>
  <c r="AB42" i="1"/>
  <c r="U43" i="1"/>
  <c r="V43" i="1"/>
  <c r="W43" i="1"/>
  <c r="X43" i="1"/>
  <c r="Y43" i="1"/>
  <c r="Z43" i="1"/>
  <c r="AA43" i="1"/>
  <c r="AB43" i="1"/>
  <c r="U44" i="1"/>
  <c r="V44" i="1"/>
  <c r="W44" i="1"/>
  <c r="X44" i="1"/>
  <c r="Y44" i="1"/>
  <c r="Z44" i="1"/>
  <c r="AA44" i="1"/>
  <c r="AB44" i="1"/>
  <c r="U45" i="1"/>
  <c r="V45" i="1"/>
  <c r="W45" i="1"/>
  <c r="X45" i="1"/>
  <c r="Y45" i="1"/>
  <c r="Z45" i="1"/>
  <c r="AA45" i="1"/>
  <c r="AB45" i="1"/>
  <c r="U46" i="1"/>
  <c r="V46" i="1"/>
  <c r="W46" i="1"/>
  <c r="X46" i="1"/>
  <c r="Y46" i="1"/>
  <c r="Z46" i="1"/>
  <c r="AA46" i="1"/>
  <c r="AB46" i="1"/>
  <c r="U47" i="1"/>
  <c r="V47" i="1"/>
  <c r="W47" i="1"/>
  <c r="X47" i="1"/>
  <c r="Y47" i="1"/>
  <c r="Z47" i="1"/>
  <c r="AA47" i="1"/>
  <c r="AB47" i="1"/>
  <c r="U48" i="1"/>
  <c r="V48" i="1"/>
  <c r="W48" i="1"/>
  <c r="X48" i="1"/>
  <c r="Y48" i="1"/>
  <c r="Z48" i="1"/>
  <c r="AA48" i="1"/>
  <c r="AB48" i="1"/>
  <c r="U49" i="1"/>
  <c r="V49" i="1"/>
  <c r="W49" i="1"/>
  <c r="X49" i="1"/>
  <c r="Y49" i="1"/>
  <c r="Z49" i="1"/>
  <c r="AA49" i="1"/>
  <c r="AB49" i="1"/>
  <c r="U50" i="1"/>
  <c r="V50" i="1"/>
  <c r="W50" i="1"/>
  <c r="X50" i="1"/>
  <c r="Y50" i="1"/>
  <c r="Z50" i="1"/>
  <c r="AA50" i="1"/>
  <c r="AB50" i="1"/>
  <c r="U51" i="1"/>
  <c r="V51" i="1"/>
  <c r="W51" i="1"/>
  <c r="X51" i="1"/>
  <c r="Y51" i="1"/>
  <c r="Z51" i="1"/>
  <c r="AA51" i="1"/>
  <c r="AB51" i="1"/>
  <c r="U52" i="1"/>
  <c r="V52" i="1"/>
  <c r="W52" i="1"/>
  <c r="X52" i="1"/>
  <c r="Y52" i="1"/>
  <c r="Z52" i="1"/>
  <c r="AA52" i="1"/>
  <c r="AB52" i="1"/>
  <c r="U54" i="1"/>
  <c r="V54" i="1"/>
  <c r="X54" i="1"/>
  <c r="Y54" i="1"/>
  <c r="Z54" i="1"/>
  <c r="AA54" i="1"/>
  <c r="AB54" i="1"/>
  <c r="U55" i="1"/>
  <c r="V55" i="1"/>
  <c r="W55" i="1"/>
  <c r="X55" i="1"/>
  <c r="Y55" i="1"/>
  <c r="Z55" i="1"/>
  <c r="AA55" i="1"/>
  <c r="AB55" i="1"/>
  <c r="U56" i="1"/>
  <c r="V56" i="1"/>
  <c r="W56" i="1"/>
  <c r="X56" i="1"/>
  <c r="Y56" i="1"/>
  <c r="Z56" i="1"/>
  <c r="AA56" i="1"/>
  <c r="AB56" i="1"/>
  <c r="J57" i="1"/>
  <c r="I57" i="1"/>
  <c r="I53" i="1" s="1"/>
  <c r="H57" i="1"/>
  <c r="G57" i="1"/>
  <c r="G53" i="1" s="1"/>
  <c r="F57" i="1"/>
  <c r="E57" i="1"/>
  <c r="E53" i="1" s="1"/>
  <c r="D57" i="1"/>
  <c r="C57" i="1"/>
  <c r="C53" i="1" s="1"/>
  <c r="E54" i="1"/>
  <c r="J53" i="1"/>
  <c r="H53" i="1"/>
  <c r="F53" i="1"/>
  <c r="D53" i="1"/>
  <c r="J35" i="1"/>
  <c r="I35" i="1"/>
  <c r="H35" i="1"/>
  <c r="G35" i="1"/>
  <c r="F35" i="1"/>
  <c r="E35" i="1"/>
  <c r="D35" i="1"/>
  <c r="C35" i="1"/>
  <c r="J34" i="1"/>
  <c r="J32" i="1" s="1"/>
  <c r="I34" i="1"/>
  <c r="H34" i="1"/>
  <c r="H18" i="1" s="1"/>
  <c r="G34" i="1"/>
  <c r="F34" i="1"/>
  <c r="F32" i="1" s="1"/>
  <c r="E34" i="1"/>
  <c r="D34" i="1"/>
  <c r="D32" i="1" s="1"/>
  <c r="C34" i="1"/>
  <c r="H33" i="1"/>
  <c r="H32" i="1" s="1"/>
  <c r="D33" i="1"/>
  <c r="C33" i="1"/>
  <c r="I32" i="1"/>
  <c r="G32" i="1"/>
  <c r="E32" i="1"/>
  <c r="G24" i="1"/>
  <c r="E24" i="1"/>
  <c r="J22" i="1"/>
  <c r="AB22" i="1" s="1"/>
  <c r="I22" i="1"/>
  <c r="AA22" i="1" s="1"/>
  <c r="G22" i="1"/>
  <c r="Y22" i="1" s="1"/>
  <c r="F22" i="1"/>
  <c r="E22" i="1"/>
  <c r="W22" i="1" s="1"/>
  <c r="C22" i="1"/>
  <c r="U22" i="1" s="1"/>
  <c r="J20" i="1"/>
  <c r="AB20" i="1" s="1"/>
  <c r="I20" i="1"/>
  <c r="H20" i="1"/>
  <c r="Z20" i="1" s="1"/>
  <c r="G20" i="1"/>
  <c r="Y20" i="1" s="1"/>
  <c r="F20" i="1"/>
  <c r="E20" i="1"/>
  <c r="D20" i="1"/>
  <c r="D19" i="1" s="1"/>
  <c r="C20" i="1"/>
  <c r="U20" i="1" s="1"/>
  <c r="J19" i="1"/>
  <c r="I19" i="1"/>
  <c r="H19" i="1"/>
  <c r="E19" i="1"/>
  <c r="C19" i="1"/>
  <c r="C17" i="1" s="1"/>
  <c r="I18" i="1"/>
  <c r="E18" i="1"/>
  <c r="E17" i="1" s="1"/>
  <c r="C18" i="1"/>
  <c r="I17" i="1"/>
  <c r="I15" i="1" s="1"/>
  <c r="I26" i="1" s="1"/>
  <c r="G16" i="1"/>
  <c r="C16" i="1"/>
  <c r="C31" i="1" s="1"/>
  <c r="J14" i="1"/>
  <c r="AB14" i="1" s="1"/>
  <c r="I14" i="1"/>
  <c r="I9" i="1" s="1"/>
  <c r="H14" i="1"/>
  <c r="Z14" i="1" s="1"/>
  <c r="G14" i="1"/>
  <c r="Y14" i="1" s="1"/>
  <c r="F14" i="1"/>
  <c r="F9" i="1" s="1"/>
  <c r="E14" i="1"/>
  <c r="E9" i="1" s="1"/>
  <c r="D14" i="1"/>
  <c r="V14" i="1" s="1"/>
  <c r="C14" i="1"/>
  <c r="C9" i="1" s="1"/>
  <c r="D13" i="1"/>
  <c r="D11" i="1"/>
  <c r="J10" i="1"/>
  <c r="J18" i="1" s="1"/>
  <c r="J17" i="1" s="1"/>
  <c r="G10" i="1"/>
  <c r="G9" i="1" s="1"/>
  <c r="D10" i="1"/>
  <c r="D18" i="1" s="1"/>
  <c r="H9" i="1"/>
  <c r="D9" i="1"/>
  <c r="D17" i="1" l="1"/>
  <c r="D15" i="1" s="1"/>
  <c r="D26" i="1" s="1"/>
  <c r="H17" i="1"/>
  <c r="X14" i="1"/>
  <c r="J9" i="1"/>
  <c r="C15" i="1"/>
  <c r="C26" i="1" s="1"/>
  <c r="G19" i="1"/>
  <c r="F19" i="1"/>
  <c r="K19" i="1" s="1"/>
  <c r="C32" i="1"/>
  <c r="Y16" i="1"/>
  <c r="U16" i="1"/>
  <c r="AA14" i="1"/>
  <c r="W14" i="1"/>
  <c r="U14" i="1"/>
  <c r="Y10" i="1"/>
  <c r="E27" i="1"/>
  <c r="E29" i="1" s="1"/>
  <c r="E28" i="1" s="1"/>
  <c r="E15" i="1"/>
  <c r="U31" i="1"/>
  <c r="D27" i="1"/>
  <c r="D29" i="1" s="1"/>
  <c r="D28" i="1" s="1"/>
  <c r="J27" i="1"/>
  <c r="J29" i="1" s="1"/>
  <c r="J28" i="1" s="1"/>
  <c r="J15" i="1"/>
  <c r="J26" i="1" s="1"/>
  <c r="H27" i="1"/>
  <c r="H29" i="1" s="1"/>
  <c r="H28" i="1" s="1"/>
  <c r="H15" i="1"/>
  <c r="H26" i="1" s="1"/>
  <c r="E26" i="1"/>
  <c r="C27" i="1"/>
  <c r="C29" i="1" s="1"/>
  <c r="I27" i="1"/>
  <c r="I29" i="1" s="1"/>
  <c r="I28" i="1" s="1"/>
  <c r="G18" i="1"/>
  <c r="G17" i="1" s="1"/>
  <c r="F18" i="1"/>
  <c r="S10" i="1"/>
  <c r="AB10" i="1" s="1"/>
  <c r="N54" i="1"/>
  <c r="W54" i="1" s="1"/>
  <c r="N57" i="1"/>
  <c r="W57" i="1" s="1"/>
  <c r="Q57" i="1"/>
  <c r="Z57" i="1" s="1"/>
  <c r="O57" i="1"/>
  <c r="X57" i="1" s="1"/>
  <c r="S57" i="1"/>
  <c r="AB57" i="1" s="1"/>
  <c r="P57" i="1"/>
  <c r="Y57" i="1" s="1"/>
  <c r="R57" i="1"/>
  <c r="AA57" i="1" s="1"/>
  <c r="M57" i="1"/>
  <c r="V57" i="1" s="1"/>
  <c r="L57" i="1"/>
  <c r="U57" i="1" s="1"/>
  <c r="N20" i="1"/>
  <c r="W20" i="1" s="1"/>
  <c r="L35" i="1"/>
  <c r="U35" i="1" s="1"/>
  <c r="L9" i="1"/>
  <c r="U9" i="1" s="1"/>
  <c r="L33" i="1"/>
  <c r="U33" i="1" s="1"/>
  <c r="S35" i="1"/>
  <c r="AB35" i="1" s="1"/>
  <c r="S19" i="1"/>
  <c r="AB19" i="1" s="1"/>
  <c r="O35" i="1"/>
  <c r="X35" i="1" s="1"/>
  <c r="M35" i="1"/>
  <c r="V35" i="1" s="1"/>
  <c r="M10" i="1"/>
  <c r="V10" i="1" s="1"/>
  <c r="M20" i="1"/>
  <c r="V20" i="1" s="1"/>
  <c r="N35" i="1"/>
  <c r="W35" i="1" s="1"/>
  <c r="O20" i="1"/>
  <c r="X20" i="1" s="1"/>
  <c r="P35" i="1"/>
  <c r="Y35" i="1" s="1"/>
  <c r="Q35" i="1"/>
  <c r="Z35" i="1" s="1"/>
  <c r="Q19" i="1"/>
  <c r="Z19" i="1" s="1"/>
  <c r="R35" i="1"/>
  <c r="AA35" i="1" s="1"/>
  <c r="R34" i="1"/>
  <c r="AA34" i="1" s="1"/>
  <c r="R20" i="1"/>
  <c r="AA20" i="1" s="1"/>
  <c r="R19" i="1"/>
  <c r="AA19" i="1" s="1"/>
  <c r="T14" i="1"/>
  <c r="N9" i="1"/>
  <c r="W9" i="1" s="1"/>
  <c r="O9" i="1"/>
  <c r="X9" i="1" s="1"/>
  <c r="Q9" i="1"/>
  <c r="Z9" i="1" s="1"/>
  <c r="R9" i="1"/>
  <c r="AA9" i="1" s="1"/>
  <c r="M33" i="1"/>
  <c r="V33" i="1" s="1"/>
  <c r="Q33" i="1"/>
  <c r="Z33" i="1" s="1"/>
  <c r="K33" i="1"/>
  <c r="K34" i="1"/>
  <c r="M13" i="1"/>
  <c r="V13" i="1" s="1"/>
  <c r="M11" i="1"/>
  <c r="V11" i="1" s="1"/>
  <c r="T50" i="1"/>
  <c r="P24" i="1"/>
  <c r="Y24" i="1" s="1"/>
  <c r="T51" i="1"/>
  <c r="T52" i="1"/>
  <c r="K35" i="1"/>
  <c r="K36" i="1"/>
  <c r="K37" i="1"/>
  <c r="AC37" i="1" s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T49" i="1"/>
  <c r="AC49" i="1" s="1"/>
  <c r="T46" i="1"/>
  <c r="AC46" i="1" s="1"/>
  <c r="T47" i="1"/>
  <c r="AC47" i="1" s="1"/>
  <c r="T48" i="1"/>
  <c r="AC48" i="1" s="1"/>
  <c r="T42" i="1"/>
  <c r="AC42" i="1" s="1"/>
  <c r="T43" i="1"/>
  <c r="T44" i="1"/>
  <c r="AC44" i="1" s="1"/>
  <c r="T45" i="1"/>
  <c r="T36" i="1"/>
  <c r="AC36" i="1" s="1"/>
  <c r="T38" i="1"/>
  <c r="AC38" i="1" s="1"/>
  <c r="T39" i="1"/>
  <c r="AC39" i="1" s="1"/>
  <c r="T40" i="1"/>
  <c r="AC40" i="1" s="1"/>
  <c r="T41" i="1"/>
  <c r="AC41" i="1" s="1"/>
  <c r="K57" i="1"/>
  <c r="K56" i="1"/>
  <c r="K55" i="1"/>
  <c r="K54" i="1"/>
  <c r="K31" i="1"/>
  <c r="K25" i="1"/>
  <c r="K24" i="1"/>
  <c r="K23" i="1"/>
  <c r="K22" i="1"/>
  <c r="K21" i="1"/>
  <c r="K16" i="1"/>
  <c r="K13" i="1"/>
  <c r="K12" i="1"/>
  <c r="K11" i="1"/>
  <c r="K10" i="1"/>
  <c r="K20" i="1"/>
  <c r="T56" i="1"/>
  <c r="AC56" i="1" s="1"/>
  <c r="T55" i="1"/>
  <c r="AC55" i="1" s="1"/>
  <c r="T54" i="1"/>
  <c r="AC54" i="1" s="1"/>
  <c r="S53" i="1"/>
  <c r="AB53" i="1" s="1"/>
  <c r="R53" i="1"/>
  <c r="AA53" i="1" s="1"/>
  <c r="Q53" i="1"/>
  <c r="Z53" i="1" s="1"/>
  <c r="O53" i="1"/>
  <c r="X53" i="1" s="1"/>
  <c r="M53" i="1"/>
  <c r="V53" i="1" s="1"/>
  <c r="L53" i="1"/>
  <c r="U53" i="1" s="1"/>
  <c r="T25" i="1"/>
  <c r="AC25" i="1" s="1"/>
  <c r="T23" i="1"/>
  <c r="T22" i="1"/>
  <c r="AC22" i="1" s="1"/>
  <c r="T21" i="1"/>
  <c r="T16" i="1"/>
  <c r="AC16" i="1" s="1"/>
  <c r="T12" i="1"/>
  <c r="AC12" i="1" s="1"/>
  <c r="K18" i="1"/>
  <c r="K53" i="1"/>
  <c r="T24" i="1"/>
  <c r="AC24" i="1" s="1"/>
  <c r="K9" i="1"/>
  <c r="R18" i="1"/>
  <c r="AA18" i="1" s="1"/>
  <c r="P19" i="1"/>
  <c r="Y19" i="1" s="1"/>
  <c r="M9" i="1"/>
  <c r="V9" i="1" s="1"/>
  <c r="T10" i="1"/>
  <c r="AC10" i="1" s="1"/>
  <c r="L19" i="1"/>
  <c r="U19" i="1" s="1"/>
  <c r="K14" i="1"/>
  <c r="P9" i="1"/>
  <c r="Y9" i="1" s="1"/>
  <c r="T20" i="1"/>
  <c r="AC20" i="1" s="1"/>
  <c r="P53" i="1"/>
  <c r="Y53" i="1" s="1"/>
  <c r="R17" i="1" l="1"/>
  <c r="AA17" i="1" s="1"/>
  <c r="T33" i="1"/>
  <c r="AC33" i="1" s="1"/>
  <c r="M19" i="1"/>
  <c r="V19" i="1" s="1"/>
  <c r="S9" i="1"/>
  <c r="AB9" i="1" s="1"/>
  <c r="R32" i="1"/>
  <c r="AA32" i="1" s="1"/>
  <c r="AC21" i="1"/>
  <c r="AC23" i="1"/>
  <c r="N53" i="1"/>
  <c r="W53" i="1" s="1"/>
  <c r="T57" i="1"/>
  <c r="AC57" i="1" s="1"/>
  <c r="AC45" i="1"/>
  <c r="AC43" i="1"/>
  <c r="T11" i="1"/>
  <c r="AC11" i="1" s="1"/>
  <c r="T13" i="1"/>
  <c r="AC13" i="1" s="1"/>
  <c r="K32" i="1"/>
  <c r="AC14" i="1"/>
  <c r="O19" i="1"/>
  <c r="X19" i="1" s="1"/>
  <c r="N19" i="1"/>
  <c r="W19" i="1" s="1"/>
  <c r="F17" i="1"/>
  <c r="K17" i="1" s="1"/>
  <c r="K27" i="1" s="1"/>
  <c r="P31" i="1"/>
  <c r="T53" i="1"/>
  <c r="AC53" i="1" s="1"/>
  <c r="N34" i="1"/>
  <c r="M34" i="1"/>
  <c r="O34" i="1"/>
  <c r="L34" i="1"/>
  <c r="AC51" i="1"/>
  <c r="AC50" i="1"/>
  <c r="R27" i="1"/>
  <c r="R15" i="1"/>
  <c r="T35" i="1"/>
  <c r="AC35" i="1" s="1"/>
  <c r="AC52" i="1"/>
  <c r="Q34" i="1"/>
  <c r="P34" i="1"/>
  <c r="N18" i="1"/>
  <c r="S34" i="1"/>
  <c r="L18" i="1"/>
  <c r="T9" i="1"/>
  <c r="AC9" i="1" s="1"/>
  <c r="T19" i="1"/>
  <c r="AC19" i="1" s="1"/>
  <c r="K29" i="1"/>
  <c r="F27" i="1"/>
  <c r="F15" i="1"/>
  <c r="G27" i="1"/>
  <c r="G15" i="1"/>
  <c r="C30" i="1"/>
  <c r="C28" i="1"/>
  <c r="Y31" i="1" l="1"/>
  <c r="T31" i="1"/>
  <c r="AC31" i="1" s="1"/>
  <c r="X34" i="1"/>
  <c r="O18" i="1"/>
  <c r="O32" i="1"/>
  <c r="X32" i="1" s="1"/>
  <c r="W34" i="1"/>
  <c r="N32" i="1"/>
  <c r="W32" i="1" s="1"/>
  <c r="U34" i="1"/>
  <c r="L32" i="1"/>
  <c r="U32" i="1" s="1"/>
  <c r="V34" i="1"/>
  <c r="M18" i="1"/>
  <c r="M32" i="1"/>
  <c r="V32" i="1" s="1"/>
  <c r="AB34" i="1"/>
  <c r="S18" i="1"/>
  <c r="S32" i="1"/>
  <c r="AB32" i="1" s="1"/>
  <c r="Y34" i="1"/>
  <c r="P18" i="1"/>
  <c r="T34" i="1"/>
  <c r="P32" i="1"/>
  <c r="Y32" i="1" s="1"/>
  <c r="AA15" i="1"/>
  <c r="R26" i="1"/>
  <c r="AA26" i="1" s="1"/>
  <c r="AA27" i="1"/>
  <c r="R29" i="1"/>
  <c r="U18" i="1"/>
  <c r="L17" i="1"/>
  <c r="W18" i="1"/>
  <c r="N17" i="1"/>
  <c r="Z34" i="1"/>
  <c r="Q18" i="1"/>
  <c r="Q32" i="1"/>
  <c r="Z32" i="1" s="1"/>
  <c r="K30" i="1"/>
  <c r="G29" i="1"/>
  <c r="F26" i="1"/>
  <c r="K15" i="1"/>
  <c r="K28" i="1"/>
  <c r="G26" i="1"/>
  <c r="F29" i="1"/>
  <c r="X18" i="1" l="1"/>
  <c r="O17" i="1"/>
  <c r="V18" i="1"/>
  <c r="M17" i="1"/>
  <c r="Z18" i="1"/>
  <c r="Q17" i="1"/>
  <c r="W17" i="1"/>
  <c r="W6" i="1" s="1"/>
  <c r="N27" i="1"/>
  <c r="N29" i="1" s="1"/>
  <c r="N15" i="1"/>
  <c r="U17" i="1"/>
  <c r="L15" i="1"/>
  <c r="L27" i="1"/>
  <c r="AA29" i="1"/>
  <c r="R28" i="1"/>
  <c r="AA28" i="1" s="1"/>
  <c r="Y18" i="1"/>
  <c r="P17" i="1"/>
  <c r="AC34" i="1"/>
  <c r="T32" i="1"/>
  <c r="AC32" i="1" s="1"/>
  <c r="T18" i="1"/>
  <c r="AC18" i="1" s="1"/>
  <c r="AB18" i="1"/>
  <c r="S17" i="1"/>
  <c r="F28" i="1"/>
  <c r="K26" i="1"/>
  <c r="G28" i="1"/>
  <c r="V17" i="1" l="1"/>
  <c r="M27" i="1"/>
  <c r="M15" i="1"/>
  <c r="X17" i="1"/>
  <c r="O27" i="1"/>
  <c r="O15" i="1"/>
  <c r="T17" i="1"/>
  <c r="AC17" i="1" s="1"/>
  <c r="U27" i="1"/>
  <c r="L29" i="1"/>
  <c r="W27" i="1"/>
  <c r="Z17" i="1"/>
  <c r="Q15" i="1"/>
  <c r="Q27" i="1"/>
  <c r="AB17" i="1"/>
  <c r="S15" i="1"/>
  <c r="S27" i="1"/>
  <c r="P15" i="1"/>
  <c r="P27" i="1"/>
  <c r="Y17" i="1"/>
  <c r="L26" i="1"/>
  <c r="U26" i="1" s="1"/>
  <c r="U15" i="1"/>
  <c r="W15" i="1"/>
  <c r="N26" i="1"/>
  <c r="W26" i="1" s="1"/>
  <c r="T27" i="1" l="1"/>
  <c r="T29" i="1" s="1"/>
  <c r="AC29" i="1" s="1"/>
  <c r="O29" i="1"/>
  <c r="X27" i="1"/>
  <c r="V15" i="1"/>
  <c r="M26" i="1"/>
  <c r="V26" i="1" s="1"/>
  <c r="O26" i="1"/>
  <c r="X26" i="1" s="1"/>
  <c r="X15" i="1"/>
  <c r="V27" i="1"/>
  <c r="M29" i="1"/>
  <c r="P29" i="1"/>
  <c r="Y27" i="1"/>
  <c r="S29" i="1"/>
  <c r="AB27" i="1"/>
  <c r="Q26" i="1"/>
  <c r="Z26" i="1" s="1"/>
  <c r="Z15" i="1"/>
  <c r="N28" i="1"/>
  <c r="W28" i="1" s="1"/>
  <c r="W29" i="1"/>
  <c r="U29" i="1"/>
  <c r="L28" i="1"/>
  <c r="U28" i="1" s="1"/>
  <c r="L30" i="1"/>
  <c r="T15" i="1"/>
  <c r="Y15" i="1"/>
  <c r="P26" i="1"/>
  <c r="Y26" i="1" s="1"/>
  <c r="AB15" i="1"/>
  <c r="S26" i="1"/>
  <c r="AB26" i="1" s="1"/>
  <c r="Z27" i="1"/>
  <c r="Q29" i="1"/>
  <c r="T28" i="1" l="1"/>
  <c r="AC28" i="1" s="1"/>
  <c r="AC27" i="1"/>
  <c r="V29" i="1"/>
  <c r="M28" i="1"/>
  <c r="V28" i="1" s="1"/>
  <c r="O28" i="1"/>
  <c r="X28" i="1" s="1"/>
  <c r="X29" i="1"/>
  <c r="Z29" i="1"/>
  <c r="Q28" i="1"/>
  <c r="Z28" i="1" s="1"/>
  <c r="T26" i="1"/>
  <c r="AC26" i="1" s="1"/>
  <c r="AC15" i="1"/>
  <c r="U30" i="1"/>
  <c r="T30" i="1"/>
  <c r="AC30" i="1" s="1"/>
  <c r="S28" i="1"/>
  <c r="AB28" i="1" s="1"/>
  <c r="AB29" i="1"/>
  <c r="P28" i="1"/>
  <c r="Y28" i="1" s="1"/>
  <c r="Y29" i="1"/>
  <c r="AD29" i="1" l="1"/>
</calcChain>
</file>

<file path=xl/sharedStrings.xml><?xml version="1.0" encoding="utf-8"?>
<sst xmlns="http://schemas.openxmlformats.org/spreadsheetml/2006/main" count="132" uniqueCount="111">
  <si>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</si>
  <si>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</si>
  <si>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</si>
  <si>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</si>
  <si>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</si>
  <si>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</si>
  <si>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</si>
  <si>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</si>
  <si>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</si>
  <si>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</si>
  <si>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3.</t>
  </si>
  <si>
    <t>4.</t>
  </si>
  <si>
    <t>налог на содержание жилищного фонда, объектов социально-культурной сферы и иные цели</t>
  </si>
  <si>
    <t>1.</t>
  </si>
  <si>
    <t>1.1.</t>
  </si>
  <si>
    <t>1.1.1.</t>
  </si>
  <si>
    <t>1.1.2.</t>
  </si>
  <si>
    <t>1.1.3.</t>
  </si>
  <si>
    <t>1.2.</t>
  </si>
  <si>
    <t>3.1.</t>
  </si>
  <si>
    <t>№ п/п</t>
  </si>
  <si>
    <t>2.</t>
  </si>
  <si>
    <t>3.2.</t>
  </si>
  <si>
    <t>3.2.1.</t>
  </si>
  <si>
    <t>3.2.1.1.</t>
  </si>
  <si>
    <t>3.2.2.</t>
  </si>
  <si>
    <t>3.2.2.1.</t>
  </si>
  <si>
    <t>3.2.2.2.</t>
  </si>
  <si>
    <t>5.</t>
  </si>
  <si>
    <t>7.</t>
  </si>
  <si>
    <t>6.</t>
  </si>
  <si>
    <t>6.1.</t>
  </si>
  <si>
    <t>7.1.</t>
  </si>
  <si>
    <t>7.2.</t>
  </si>
  <si>
    <t>7.3.</t>
  </si>
  <si>
    <t>7.2.1.</t>
  </si>
  <si>
    <t>2.1.</t>
  </si>
  <si>
    <t>имеющие целевое назначение</t>
  </si>
  <si>
    <t>не имеющие целевого назначения</t>
  </si>
  <si>
    <t>Предельные расходы, из них:</t>
  </si>
  <si>
    <t>за счет доходов, имеющих целевое назначение</t>
  </si>
  <si>
    <t>Предельный дефицит</t>
  </si>
  <si>
    <t>на установку, ремонт и компенсацию за установку памятников</t>
  </si>
  <si>
    <t>Дефицит</t>
  </si>
  <si>
    <t>Доходы</t>
  </si>
  <si>
    <t>от оказания платных услуг и иной приносящей доход деятельности</t>
  </si>
  <si>
    <t>за счет доходов, не имеющих целевого назначения</t>
  </si>
  <si>
    <t>Источники покрытия предельного дефицита, из них:</t>
  </si>
  <si>
    <t>6.2.</t>
  </si>
  <si>
    <t>поступления в доходы территориального экологического фонда</t>
  </si>
  <si>
    <t>по прочим направлениям, из них:</t>
  </si>
  <si>
    <t>на оплату коммунальных услуг</t>
  </si>
  <si>
    <t>Субсидии из республиканского бюджета:</t>
  </si>
  <si>
    <t>за счет Фонда развития и стимулирования территорий городов и районов</t>
  </si>
  <si>
    <t>за счет Дорожного фонда (на развитие дорожной отрасли)</t>
  </si>
  <si>
    <t>по социально защищенным направлениям, из них:</t>
  </si>
  <si>
    <t>на содержание Центрального парка "Екатерининский"</t>
  </si>
  <si>
    <t>3.2.2.3</t>
  </si>
  <si>
    <t>6.1.1</t>
  </si>
  <si>
    <t>дотации (трансферты) из республиканского бюджета, из них:</t>
  </si>
  <si>
    <t>на оплату текущих трансфертов предприятию электротранспорта</t>
  </si>
  <si>
    <t>задолженность за потребляемые коммунальные услуги</t>
  </si>
  <si>
    <t>на оплату коммунальных услуг, возмещение льгот по коммунальным услугам и услугам жилищного фонда (полная расчетная потребность, исходя из планируемого объема потребления соответствующих коммунальных услуг, возмещения соответствующих льгот)</t>
  </si>
  <si>
    <t>Расходы (план финансирования)</t>
  </si>
  <si>
    <t>на возмещение льгот по коммунальным услугам и услугам жилищного фонда, подлежащим финансированию</t>
  </si>
  <si>
    <t>на цели осуществления городом Тирасполем функций столицы, из них:</t>
  </si>
  <si>
    <t>отклонение</t>
  </si>
  <si>
    <t>6.3.</t>
  </si>
  <si>
    <t>ОСТАТКИ по состоянию на 1 января 2021 года всего, в том числе:</t>
  </si>
  <si>
    <t>6.3.1.</t>
  </si>
  <si>
    <t xml:space="preserve"> не имеющие целевого назначения  (очищенные)</t>
  </si>
  <si>
    <t>6.3.2.</t>
  </si>
  <si>
    <t>1.2.1</t>
  </si>
  <si>
    <t xml:space="preserve"> целевые сборы и платежи всего, в том числе:</t>
  </si>
  <si>
    <t>1.2.1.1</t>
  </si>
  <si>
    <t>целевой сбор на благоустройство территории сел (поселков)</t>
  </si>
  <si>
    <t>1.2.1.2</t>
  </si>
  <si>
    <t>целевой сбор на содержание и развитие социальной сферы и инфраструктуры сел (поселков)</t>
  </si>
  <si>
    <t>1.2.1.3</t>
  </si>
  <si>
    <t>1.2.1.4</t>
  </si>
  <si>
    <t>целевой сбор землеустроителей</t>
  </si>
  <si>
    <t>1.2.1.5</t>
  </si>
  <si>
    <t>плата за услуги, осуществляемые органами местного самоуправления в связи с утверждением схем домовладений и (или) иных построек хозяйственного назначения, расположенных в сельских населенных пунктах</t>
  </si>
  <si>
    <t>1.2.1.6</t>
  </si>
  <si>
    <t>средства  от приватизации</t>
  </si>
  <si>
    <t>1.2.1.7</t>
  </si>
  <si>
    <t>средства, направляемые на кредитование крестьянских (фермерских) хозяйств (и проценты)</t>
  </si>
  <si>
    <t>1.2.1.8</t>
  </si>
  <si>
    <t>средства, направляемые на кредитование молодых специалистов на приобретение строительных материалов для строительства жилья (и проценты)</t>
  </si>
  <si>
    <t>1.2.1.9</t>
  </si>
  <si>
    <t>средства, направляемые на кредитование молодых семей на приобретение строительных материалов для строительства жилья (и проценты)</t>
  </si>
  <si>
    <t>1.2.1.11</t>
  </si>
  <si>
    <t>фонд социального развития</t>
  </si>
  <si>
    <t>1.2.1.12</t>
  </si>
  <si>
    <t xml:space="preserve">фонд экономического развития </t>
  </si>
  <si>
    <t>1.2.2.</t>
  </si>
  <si>
    <t xml:space="preserve"> на специальных бюджетных счетах</t>
  </si>
  <si>
    <t>1.2.3.</t>
  </si>
  <si>
    <t>территориального экологического фонда</t>
  </si>
  <si>
    <t>1.2.4.</t>
  </si>
  <si>
    <t>действующая редакция</t>
  </si>
  <si>
    <t>1.2.4.3</t>
  </si>
  <si>
    <t>на обустройство мест стоянок и парковок</t>
  </si>
  <si>
    <t>1.2.4.5</t>
  </si>
  <si>
    <t>ремонтные работы дорог от пер. Западный до ул. Правды</t>
  </si>
  <si>
    <t>средства из РБ  на развитие дорожной отрасли, из них</t>
  </si>
  <si>
    <t xml:space="preserve">предлагаемая редакция </t>
  </si>
  <si>
    <t>к Закону Приднестровской Молдавской Республики</t>
  </si>
  <si>
    <t>"О республиканском бюджете на 2021 год"</t>
  </si>
  <si>
    <t>Основные характеристики доходной и расходной частей местных бюджетов, источники покрытия дефицита местных бюджетов, объемы субсидий из республиканского бюджета на 2021 год</t>
  </si>
  <si>
    <t>Сравнительная таблица к Приложению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</si>
</sst>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6">
    <xf numFmtId="0" fontId="0" fillId="0" borderId="0" xfId="0"/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2" borderId="1" xfId="1" applyNumberFormat="1" applyFont="1" applyFill="1" applyBorder="1" applyAlignment="1">
      <alignment vertical="center" wrapText="1"/>
    </xf>
    <xf numFmtId="3" fontId="7" fillId="3" borderId="1" xfId="1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5" fillId="0" borderId="1" xfId="3" applyNumberFormat="1" applyFont="1" applyBorder="1" applyAlignment="1">
      <alignment vertical="center" wrapText="1"/>
    </xf>
    <xf numFmtId="3" fontId="5" fillId="0" borderId="1" xfId="3" applyNumberFormat="1" applyFont="1" applyBorder="1" applyAlignment="1">
      <alignment horizontal="left" vertical="center" wrapText="1"/>
    </xf>
    <xf numFmtId="3" fontId="5" fillId="0" borderId="1" xfId="4" applyNumberFormat="1" applyFont="1" applyBorder="1" applyAlignment="1">
      <alignment vertical="center" wrapText="1"/>
    </xf>
    <xf numFmtId="3" fontId="5" fillId="0" borderId="5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wrapText="1"/>
    </xf>
    <xf numFmtId="3" fontId="5" fillId="0" borderId="0" xfId="0" applyNumberFormat="1" applyFont="1" applyAlignment="1">
      <alignment wrapText="1"/>
    </xf>
    <xf numFmtId="3" fontId="6" fillId="3" borderId="0" xfId="0" applyNumberFormat="1" applyFont="1" applyFill="1" applyAlignment="1">
      <alignment wrapText="1"/>
    </xf>
    <xf numFmtId="3" fontId="4" fillId="0" borderId="0" xfId="0" applyNumberFormat="1" applyFont="1" applyAlignment="1">
      <alignment wrapText="1"/>
    </xf>
    <xf numFmtId="3" fontId="4" fillId="3" borderId="0" xfId="0" applyNumberFormat="1" applyFont="1" applyFill="1" applyAlignment="1">
      <alignment wrapText="1"/>
    </xf>
    <xf numFmtId="3" fontId="4" fillId="0" borderId="6" xfId="0" applyNumberFormat="1" applyFont="1" applyBorder="1" applyAlignment="1">
      <alignment wrapText="1"/>
    </xf>
    <xf numFmtId="3" fontId="4" fillId="0" borderId="7" xfId="0" applyNumberFormat="1" applyFont="1" applyBorder="1" applyAlignment="1">
      <alignment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vertical="center" wrapText="1"/>
    </xf>
    <xf numFmtId="3" fontId="5" fillId="3" borderId="5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horizontal="right" wrapText="1"/>
    </xf>
    <xf numFmtId="3" fontId="7" fillId="2" borderId="3" xfId="1" applyNumberFormat="1" applyFont="1" applyFill="1" applyBorder="1" applyAlignment="1">
      <alignment vertical="center" wrapText="1"/>
    </xf>
    <xf numFmtId="3" fontId="8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left" wrapText="1"/>
    </xf>
    <xf numFmtId="3" fontId="10" fillId="0" borderId="0" xfId="0" applyNumberFormat="1" applyFont="1" applyAlignment="1">
      <alignment horizontal="right" wrapText="1"/>
    </xf>
    <xf numFmtId="3" fontId="9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Alignment="1">
      <alignment wrapText="1"/>
    </xf>
    <xf numFmtId="3" fontId="7" fillId="0" borderId="0" xfId="0" applyNumberFormat="1" applyFont="1" applyFill="1" applyAlignment="1">
      <alignment wrapText="1"/>
    </xf>
    <xf numFmtId="3" fontId="7" fillId="0" borderId="1" xfId="1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 wrapText="1"/>
    </xf>
    <xf numFmtId="3" fontId="6" fillId="0" borderId="0" xfId="0" applyNumberFormat="1" applyFont="1" applyFill="1" applyAlignment="1">
      <alignment wrapText="1"/>
    </xf>
    <xf numFmtId="3" fontId="11" fillId="0" borderId="0" xfId="0" applyNumberFormat="1" applyFont="1" applyFill="1" applyAlignment="1">
      <alignment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11" fillId="0" borderId="5" xfId="0" applyNumberFormat="1" applyFont="1" applyFill="1" applyBorder="1" applyAlignment="1">
      <alignment vertical="center" wrapText="1"/>
    </xf>
    <xf numFmtId="165" fontId="5" fillId="0" borderId="1" xfId="6" applyNumberFormat="1" applyFont="1" applyFill="1" applyBorder="1" applyAlignment="1">
      <alignment vertical="center" wrapText="1"/>
    </xf>
    <xf numFmtId="3" fontId="7" fillId="2" borderId="5" xfId="1" applyNumberFormat="1" applyFont="1" applyFill="1" applyBorder="1" applyAlignment="1">
      <alignment vertical="center" wrapText="1"/>
    </xf>
    <xf numFmtId="3" fontId="7" fillId="2" borderId="9" xfId="1" applyNumberFormat="1" applyFont="1" applyFill="1" applyBorder="1" applyAlignment="1">
      <alignment vertical="center" wrapText="1"/>
    </xf>
    <xf numFmtId="3" fontId="4" fillId="0" borderId="7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right" wrapText="1"/>
    </xf>
  </cellXfs>
  <cellStyles count="7">
    <cellStyle name="Обычный" xfId="0" builtinId="0"/>
    <cellStyle name="Финансовый" xfId="6" builtinId="3"/>
    <cellStyle name="Финансовый 2" xfId="1"/>
    <cellStyle name="Финансовый 2 2" xfId="4"/>
    <cellStyle name="Финансовый 3" xfId="2"/>
    <cellStyle name="Финансовый 3 2" xfId="5"/>
    <cellStyle name="Финансов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tabSelected="1" zoomScaleNormal="100" zoomScaleSheetLayoutView="75" workbookViewId="0">
      <pane xSplit="2" ySplit="8" topLeftCell="C9" activePane="bottomRight" state="frozenSplit"/>
      <selection pane="topRight" activeCell="B1" sqref="B1"/>
      <selection pane="bottomLeft" activeCell="A8" sqref="A8"/>
      <selection pane="bottomRight" activeCell="I1" sqref="I1:K1"/>
    </sheetView>
  </sheetViews>
  <sheetFormatPr defaultColWidth="9.140625" defaultRowHeight="12.75" x14ac:dyDescent="0.2"/>
  <cols>
    <col min="1" max="1" width="6.5703125" style="13" bestFit="1" customWidth="1"/>
    <col min="2" max="2" width="47.140625" style="14" bestFit="1" customWidth="1"/>
    <col min="3" max="3" width="10.85546875" style="13" bestFit="1" customWidth="1"/>
    <col min="4" max="4" width="10.42578125" style="13" bestFit="1" customWidth="1"/>
    <col min="5" max="6" width="10.85546875" style="13" bestFit="1" customWidth="1"/>
    <col min="7" max="7" width="10.85546875" style="15" bestFit="1" customWidth="1"/>
    <col min="8" max="8" width="10.85546875" style="49" bestFit="1" customWidth="1"/>
    <col min="9" max="9" width="12.28515625" style="50" bestFit="1" customWidth="1"/>
    <col min="10" max="10" width="9.85546875" style="13" bestFit="1" customWidth="1"/>
    <col min="11" max="11" width="12.28515625" style="13" bestFit="1" customWidth="1"/>
    <col min="12" max="12" width="10.85546875" style="13" bestFit="1" customWidth="1"/>
    <col min="13" max="13" width="10.42578125" style="13" bestFit="1" customWidth="1"/>
    <col min="14" max="15" width="10.85546875" style="13" bestFit="1" customWidth="1"/>
    <col min="16" max="16" width="10.85546875" style="15" bestFit="1" customWidth="1"/>
    <col min="17" max="17" width="10.85546875" style="43" bestFit="1" customWidth="1"/>
    <col min="18" max="18" width="12.28515625" style="44" bestFit="1" customWidth="1"/>
    <col min="19" max="19" width="9.85546875" style="13" bestFit="1" customWidth="1"/>
    <col min="20" max="20" width="12.28515625" style="13" bestFit="1" customWidth="1"/>
    <col min="21" max="21" width="9.5703125" style="13" bestFit="1" customWidth="1"/>
    <col min="22" max="22" width="10.42578125" style="13" bestFit="1" customWidth="1"/>
    <col min="23" max="23" width="11" style="13" customWidth="1"/>
    <col min="24" max="24" width="9.42578125" style="13" bestFit="1" customWidth="1"/>
    <col min="25" max="25" width="9.7109375" style="15" bestFit="1" customWidth="1"/>
    <col min="26" max="26" width="9.42578125" style="13" bestFit="1" customWidth="1"/>
    <col min="27" max="27" width="12.28515625" style="13" bestFit="1" customWidth="1"/>
    <col min="28" max="28" width="8.85546875" style="13" bestFit="1" customWidth="1"/>
    <col min="29" max="29" width="10.42578125" style="13" bestFit="1" customWidth="1"/>
    <col min="30" max="30" width="11.28515625" style="13" bestFit="1" customWidth="1"/>
    <col min="31" max="16384" width="9.140625" style="13"/>
  </cols>
  <sheetData>
    <row r="1" spans="1:31" s="40" customFormat="1" ht="11.25" x14ac:dyDescent="0.2">
      <c r="A1" s="38"/>
      <c r="B1" s="39"/>
      <c r="H1" s="48"/>
      <c r="I1" s="65" t="s">
        <v>110</v>
      </c>
      <c r="J1" s="65"/>
      <c r="K1" s="65"/>
      <c r="Q1" s="41"/>
      <c r="R1" s="42"/>
    </row>
    <row r="2" spans="1:31" s="40" customFormat="1" ht="11.25" x14ac:dyDescent="0.2">
      <c r="A2" s="38"/>
      <c r="B2" s="39"/>
      <c r="H2" s="48"/>
      <c r="I2" s="65" t="s">
        <v>107</v>
      </c>
      <c r="J2" s="65"/>
      <c r="K2" s="65"/>
      <c r="Q2" s="41"/>
      <c r="R2" s="42"/>
    </row>
    <row r="3" spans="1:31" s="40" customFormat="1" ht="11.25" x14ac:dyDescent="0.2">
      <c r="A3" s="38"/>
      <c r="B3" s="39"/>
      <c r="H3" s="48"/>
      <c r="I3" s="65" t="s">
        <v>108</v>
      </c>
      <c r="J3" s="65"/>
      <c r="K3" s="65"/>
      <c r="Q3" s="41"/>
      <c r="R3" s="42"/>
    </row>
    <row r="5" spans="1:31" ht="39.75" customHeight="1" x14ac:dyDescent="0.2">
      <c r="C5" s="64" t="s">
        <v>109</v>
      </c>
      <c r="D5" s="64"/>
      <c r="E5" s="64"/>
      <c r="F5" s="64"/>
      <c r="G5" s="64"/>
      <c r="H5" s="64"/>
      <c r="I5" s="64"/>
      <c r="J5" s="64"/>
      <c r="K5" s="64"/>
    </row>
    <row r="6" spans="1:31" ht="24" customHeight="1" thickBot="1" x14ac:dyDescent="0.25">
      <c r="A6" s="16"/>
      <c r="C6" s="16"/>
      <c r="D6" s="16"/>
      <c r="E6" s="16"/>
      <c r="F6" s="16"/>
      <c r="G6" s="17"/>
      <c r="J6" s="16"/>
      <c r="K6" s="36"/>
      <c r="L6" s="16"/>
      <c r="M6" s="16"/>
      <c r="N6" s="16"/>
      <c r="O6" s="16"/>
      <c r="P6" s="17"/>
      <c r="S6" s="16"/>
      <c r="T6" s="36"/>
      <c r="U6" s="16"/>
      <c r="V6" s="16"/>
      <c r="W6" s="16">
        <f>W9-W17</f>
        <v>1145810</v>
      </c>
      <c r="X6" s="16"/>
      <c r="Y6" s="17"/>
      <c r="Z6" s="16"/>
      <c r="AA6" s="16"/>
      <c r="AB6" s="16"/>
      <c r="AC6" s="36"/>
    </row>
    <row r="7" spans="1:31" x14ac:dyDescent="0.2">
      <c r="A7" s="18"/>
      <c r="B7" s="19"/>
      <c r="C7" s="62" t="s">
        <v>100</v>
      </c>
      <c r="D7" s="62"/>
      <c r="E7" s="62"/>
      <c r="F7" s="62"/>
      <c r="G7" s="62"/>
      <c r="H7" s="62"/>
      <c r="I7" s="62"/>
      <c r="J7" s="62"/>
      <c r="K7" s="62"/>
      <c r="L7" s="62" t="s">
        <v>106</v>
      </c>
      <c r="M7" s="62"/>
      <c r="N7" s="62"/>
      <c r="O7" s="62"/>
      <c r="P7" s="62"/>
      <c r="Q7" s="62"/>
      <c r="R7" s="62"/>
      <c r="S7" s="62"/>
      <c r="T7" s="62"/>
      <c r="U7" s="62" t="s">
        <v>66</v>
      </c>
      <c r="V7" s="62"/>
      <c r="W7" s="62"/>
      <c r="X7" s="62"/>
      <c r="Y7" s="62"/>
      <c r="Z7" s="62"/>
      <c r="AA7" s="62"/>
      <c r="AB7" s="62"/>
      <c r="AC7" s="63"/>
    </row>
    <row r="8" spans="1:31" s="24" customFormat="1" x14ac:dyDescent="0.25">
      <c r="A8" s="20" t="s">
        <v>20</v>
      </c>
      <c r="B8" s="1" t="s">
        <v>0</v>
      </c>
      <c r="C8" s="21" t="s">
        <v>1</v>
      </c>
      <c r="D8" s="21" t="s">
        <v>2</v>
      </c>
      <c r="E8" s="21" t="s">
        <v>3</v>
      </c>
      <c r="F8" s="21" t="s">
        <v>4</v>
      </c>
      <c r="G8" s="22" t="s">
        <v>5</v>
      </c>
      <c r="H8" s="51" t="s">
        <v>6</v>
      </c>
      <c r="I8" s="51" t="s">
        <v>7</v>
      </c>
      <c r="J8" s="21" t="s">
        <v>8</v>
      </c>
      <c r="K8" s="21" t="s">
        <v>9</v>
      </c>
      <c r="L8" s="21" t="s">
        <v>1</v>
      </c>
      <c r="M8" s="21" t="s">
        <v>2</v>
      </c>
      <c r="N8" s="21" t="s">
        <v>3</v>
      </c>
      <c r="O8" s="21" t="s">
        <v>4</v>
      </c>
      <c r="P8" s="22" t="s">
        <v>5</v>
      </c>
      <c r="Q8" s="21" t="s">
        <v>6</v>
      </c>
      <c r="R8" s="21" t="s">
        <v>7</v>
      </c>
      <c r="S8" s="21" t="s">
        <v>8</v>
      </c>
      <c r="T8" s="21" t="s">
        <v>9</v>
      </c>
      <c r="U8" s="21" t="s">
        <v>1</v>
      </c>
      <c r="V8" s="21" t="s">
        <v>2</v>
      </c>
      <c r="W8" s="21" t="s">
        <v>3</v>
      </c>
      <c r="X8" s="21" t="s">
        <v>4</v>
      </c>
      <c r="Y8" s="22" t="s">
        <v>5</v>
      </c>
      <c r="Z8" s="21" t="s">
        <v>6</v>
      </c>
      <c r="AA8" s="21" t="s">
        <v>7</v>
      </c>
      <c r="AB8" s="21" t="s">
        <v>8</v>
      </c>
      <c r="AC8" s="23" t="s">
        <v>9</v>
      </c>
    </row>
    <row r="9" spans="1:31" s="24" customFormat="1" x14ac:dyDescent="0.25">
      <c r="A9" s="20" t="s">
        <v>13</v>
      </c>
      <c r="B9" s="2" t="s">
        <v>44</v>
      </c>
      <c r="C9" s="3">
        <f>SUM(C10+C14)</f>
        <v>323548929</v>
      </c>
      <c r="D9" s="3">
        <f t="shared" ref="D9:J9" si="0">SUM(D10+D14)</f>
        <v>38455290</v>
      </c>
      <c r="E9" s="3">
        <f t="shared" si="0"/>
        <v>239695892</v>
      </c>
      <c r="F9" s="3">
        <f t="shared" si="0"/>
        <v>203230887</v>
      </c>
      <c r="G9" s="4">
        <f t="shared" si="0"/>
        <v>92480878</v>
      </c>
      <c r="H9" s="52">
        <f t="shared" si="0"/>
        <v>132285133</v>
      </c>
      <c r="I9" s="52">
        <f t="shared" si="0"/>
        <v>69261524</v>
      </c>
      <c r="J9" s="3">
        <f t="shared" si="0"/>
        <v>39564788</v>
      </c>
      <c r="K9" s="8">
        <f>SUM(C9:J9)</f>
        <v>1138523321</v>
      </c>
      <c r="L9" s="3">
        <f>SUM(L10+L14)</f>
        <v>329319728</v>
      </c>
      <c r="M9" s="3">
        <f t="shared" ref="M9:S9" si="1">SUM(M10+M14)</f>
        <v>38504146</v>
      </c>
      <c r="N9" s="3">
        <f t="shared" si="1"/>
        <v>249204896</v>
      </c>
      <c r="O9" s="3">
        <f t="shared" si="1"/>
        <v>203630887</v>
      </c>
      <c r="P9" s="4">
        <f t="shared" si="1"/>
        <v>95024482</v>
      </c>
      <c r="Q9" s="45">
        <f t="shared" si="1"/>
        <v>138726318</v>
      </c>
      <c r="R9" s="45">
        <f t="shared" si="1"/>
        <v>69134950</v>
      </c>
      <c r="S9" s="3">
        <f t="shared" si="1"/>
        <v>40275403</v>
      </c>
      <c r="T9" s="8">
        <f>SUM(L9:S9)</f>
        <v>1163820810</v>
      </c>
      <c r="U9" s="3">
        <f t="shared" ref="U9" si="2">L9-C9</f>
        <v>5770799</v>
      </c>
      <c r="V9" s="3">
        <f t="shared" ref="V9" si="3">M9-D9</f>
        <v>48856</v>
      </c>
      <c r="W9" s="3">
        <f t="shared" ref="W9" si="4">N9-E9</f>
        <v>9509004</v>
      </c>
      <c r="X9" s="3">
        <f t="shared" ref="X9" si="5">O9-F9</f>
        <v>400000</v>
      </c>
      <c r="Y9" s="3">
        <f t="shared" ref="Y9" si="6">P9-G9</f>
        <v>2543604</v>
      </c>
      <c r="Z9" s="3">
        <f t="shared" ref="Z9" si="7">Q9-H9</f>
        <v>6441185</v>
      </c>
      <c r="AA9" s="3">
        <f t="shared" ref="AA9" si="8">R9-I9</f>
        <v>-126574</v>
      </c>
      <c r="AB9" s="3">
        <f t="shared" ref="AB9" si="9">S9-J9</f>
        <v>710615</v>
      </c>
      <c r="AC9" s="37">
        <f t="shared" ref="AC9" si="10">T9-K9</f>
        <v>25297489</v>
      </c>
    </row>
    <row r="10" spans="1:31" s="24" customFormat="1" x14ac:dyDescent="0.25">
      <c r="A10" s="20" t="s">
        <v>14</v>
      </c>
      <c r="B10" s="2" t="s">
        <v>37</v>
      </c>
      <c r="C10" s="8">
        <v>45346556</v>
      </c>
      <c r="D10" s="8">
        <f>9467380+688256+712232</f>
        <v>10867868</v>
      </c>
      <c r="E10" s="8">
        <v>32163936</v>
      </c>
      <c r="F10" s="8">
        <v>20969951</v>
      </c>
      <c r="G10" s="8">
        <f>7536066-112500</f>
        <v>7423566</v>
      </c>
      <c r="H10" s="53">
        <v>14734789</v>
      </c>
      <c r="I10" s="53">
        <v>12521024</v>
      </c>
      <c r="J10" s="8">
        <f>7755624+415362+358708</f>
        <v>8529694</v>
      </c>
      <c r="K10" s="8">
        <f t="shared" ref="K10:K25" si="11">SUM(C10:J10)</f>
        <v>152557384</v>
      </c>
      <c r="L10" s="8">
        <f>45346556+1827050+403063+35119-5561609</f>
        <v>42050179</v>
      </c>
      <c r="M10" s="8">
        <f>9467380+688256+712232</f>
        <v>10867868</v>
      </c>
      <c r="N10" s="8">
        <v>32163936</v>
      </c>
      <c r="O10" s="8">
        <v>20969951</v>
      </c>
      <c r="P10" s="8">
        <f>7536066-112500+60625</f>
        <v>7484191</v>
      </c>
      <c r="Q10" s="8">
        <v>14734789</v>
      </c>
      <c r="R10" s="8">
        <v>12521024</v>
      </c>
      <c r="S10" s="8">
        <f>7755624+415362+358708</f>
        <v>8529694</v>
      </c>
      <c r="T10" s="8">
        <f t="shared" ref="T10:T57" si="12">SUM(L10:S10)</f>
        <v>149321632</v>
      </c>
      <c r="U10" s="3">
        <f t="shared" ref="U10:U57" si="13">L10-C10</f>
        <v>-3296377</v>
      </c>
      <c r="V10" s="3">
        <f t="shared" ref="V10:V57" si="14">M10-D10</f>
        <v>0</v>
      </c>
      <c r="W10" s="3">
        <f t="shared" ref="W10:W57" si="15">N10-E10</f>
        <v>0</v>
      </c>
      <c r="X10" s="3">
        <f t="shared" ref="X10:X57" si="16">O10-F10</f>
        <v>0</v>
      </c>
      <c r="Y10" s="3">
        <f t="shared" ref="Y10:Y57" si="17">P10-G10</f>
        <v>60625</v>
      </c>
      <c r="Z10" s="3">
        <f t="shared" ref="Z10:Z57" si="18">Q10-H10</f>
        <v>0</v>
      </c>
      <c r="AA10" s="3">
        <f t="shared" ref="AA10:AA57" si="19">R10-I10</f>
        <v>0</v>
      </c>
      <c r="AB10" s="3">
        <f t="shared" ref="AB10:AB57" si="20">S10-J10</f>
        <v>0</v>
      </c>
      <c r="AC10" s="37">
        <f t="shared" ref="AC10:AC57" si="21">T10-K10</f>
        <v>-3235752</v>
      </c>
    </row>
    <row r="11" spans="1:31" s="24" customFormat="1" ht="25.5" x14ac:dyDescent="0.25">
      <c r="A11" s="25" t="s">
        <v>15</v>
      </c>
      <c r="B11" s="5" t="s">
        <v>12</v>
      </c>
      <c r="C11" s="6">
        <v>14051504</v>
      </c>
      <c r="D11" s="6">
        <f>6807457+688256</f>
        <v>7495713</v>
      </c>
      <c r="E11" s="6">
        <v>7062939</v>
      </c>
      <c r="F11" s="6">
        <v>4694390</v>
      </c>
      <c r="G11" s="26">
        <v>2261842</v>
      </c>
      <c r="H11" s="54">
        <v>3351892</v>
      </c>
      <c r="I11" s="53">
        <v>1269814</v>
      </c>
      <c r="J11" s="6">
        <v>1076601</v>
      </c>
      <c r="K11" s="6">
        <f t="shared" si="11"/>
        <v>41264695</v>
      </c>
      <c r="L11" s="6">
        <f>14051504+1827050</f>
        <v>15878554</v>
      </c>
      <c r="M11" s="6">
        <f>6807457+688256</f>
        <v>7495713</v>
      </c>
      <c r="N11" s="6">
        <v>7062939</v>
      </c>
      <c r="O11" s="6">
        <v>4694390</v>
      </c>
      <c r="P11" s="26">
        <v>2261842</v>
      </c>
      <c r="Q11" s="6">
        <v>3351892</v>
      </c>
      <c r="R11" s="8">
        <v>1269814</v>
      </c>
      <c r="S11" s="6">
        <v>1076601</v>
      </c>
      <c r="T11" s="6">
        <f t="shared" si="12"/>
        <v>43091745</v>
      </c>
      <c r="U11" s="3">
        <f t="shared" si="13"/>
        <v>1827050</v>
      </c>
      <c r="V11" s="3">
        <f t="shared" si="14"/>
        <v>0</v>
      </c>
      <c r="W11" s="3">
        <f t="shared" si="15"/>
        <v>0</v>
      </c>
      <c r="X11" s="3">
        <f t="shared" si="16"/>
        <v>0</v>
      </c>
      <c r="Y11" s="3">
        <f t="shared" si="17"/>
        <v>0</v>
      </c>
      <c r="Z11" s="3">
        <f t="shared" si="18"/>
        <v>0</v>
      </c>
      <c r="AA11" s="3">
        <f t="shared" si="19"/>
        <v>0</v>
      </c>
      <c r="AB11" s="3">
        <f t="shared" si="20"/>
        <v>0</v>
      </c>
      <c r="AC11" s="37">
        <f t="shared" si="21"/>
        <v>1827050</v>
      </c>
    </row>
    <row r="12" spans="1:31" s="24" customFormat="1" ht="25.5" x14ac:dyDescent="0.25">
      <c r="A12" s="25" t="s">
        <v>16</v>
      </c>
      <c r="B12" s="5" t="s">
        <v>49</v>
      </c>
      <c r="C12" s="6">
        <v>4662929</v>
      </c>
      <c r="D12" s="6">
        <v>2084823</v>
      </c>
      <c r="E12" s="6">
        <v>1644224</v>
      </c>
      <c r="F12" s="6">
        <v>3053027</v>
      </c>
      <c r="G12" s="26">
        <v>659460</v>
      </c>
      <c r="H12" s="54">
        <v>1870214</v>
      </c>
      <c r="I12" s="53">
        <v>542206</v>
      </c>
      <c r="J12" s="6">
        <v>416791</v>
      </c>
      <c r="K12" s="6">
        <f t="shared" si="11"/>
        <v>14933674</v>
      </c>
      <c r="L12" s="6">
        <f>4662929+403063</f>
        <v>5065992</v>
      </c>
      <c r="M12" s="6">
        <v>2084823</v>
      </c>
      <c r="N12" s="6">
        <v>1644224</v>
      </c>
      <c r="O12" s="6">
        <v>3053027</v>
      </c>
      <c r="P12" s="26">
        <v>659460</v>
      </c>
      <c r="Q12" s="6">
        <v>1870214</v>
      </c>
      <c r="R12" s="8">
        <v>542206</v>
      </c>
      <c r="S12" s="6">
        <v>416791</v>
      </c>
      <c r="T12" s="6">
        <f t="shared" si="12"/>
        <v>15336737</v>
      </c>
      <c r="U12" s="3">
        <f t="shared" si="13"/>
        <v>403063</v>
      </c>
      <c r="V12" s="3">
        <f t="shared" si="14"/>
        <v>0</v>
      </c>
      <c r="W12" s="3">
        <f t="shared" si="15"/>
        <v>0</v>
      </c>
      <c r="X12" s="3">
        <f t="shared" si="16"/>
        <v>0</v>
      </c>
      <c r="Y12" s="3">
        <f t="shared" si="17"/>
        <v>0</v>
      </c>
      <c r="Z12" s="3">
        <f t="shared" si="18"/>
        <v>0</v>
      </c>
      <c r="AA12" s="3">
        <f t="shared" si="19"/>
        <v>0</v>
      </c>
      <c r="AB12" s="3">
        <f t="shared" si="20"/>
        <v>0</v>
      </c>
      <c r="AC12" s="37">
        <f t="shared" si="21"/>
        <v>403063</v>
      </c>
    </row>
    <row r="13" spans="1:31" s="24" customFormat="1" ht="25.5" x14ac:dyDescent="0.25">
      <c r="A13" s="25" t="s">
        <v>17</v>
      </c>
      <c r="B13" s="5" t="s">
        <v>45</v>
      </c>
      <c r="C13" s="6">
        <v>25352403</v>
      </c>
      <c r="D13" s="6">
        <f>521962+712232</f>
        <v>1234194</v>
      </c>
      <c r="E13" s="6">
        <v>21497680</v>
      </c>
      <c r="F13" s="6">
        <v>9510687</v>
      </c>
      <c r="G13" s="26">
        <v>3256710</v>
      </c>
      <c r="H13" s="54">
        <v>6171273</v>
      </c>
      <c r="I13" s="53">
        <v>6617364</v>
      </c>
      <c r="J13" s="6">
        <v>3114122</v>
      </c>
      <c r="K13" s="6">
        <f t="shared" si="11"/>
        <v>76754433</v>
      </c>
      <c r="L13" s="6">
        <f>25352403-5561609</f>
        <v>19790794</v>
      </c>
      <c r="M13" s="6">
        <f>521962+712232</f>
        <v>1234194</v>
      </c>
      <c r="N13" s="6">
        <v>21497680</v>
      </c>
      <c r="O13" s="6">
        <v>9510687</v>
      </c>
      <c r="P13" s="26">
        <f>3256710+60625</f>
        <v>3317335</v>
      </c>
      <c r="Q13" s="6">
        <v>6171273</v>
      </c>
      <c r="R13" s="8">
        <v>6617364</v>
      </c>
      <c r="S13" s="6">
        <v>3114122</v>
      </c>
      <c r="T13" s="6">
        <f t="shared" si="12"/>
        <v>71253449</v>
      </c>
      <c r="U13" s="3">
        <f t="shared" si="13"/>
        <v>-5561609</v>
      </c>
      <c r="V13" s="3">
        <f t="shared" si="14"/>
        <v>0</v>
      </c>
      <c r="W13" s="3">
        <f t="shared" si="15"/>
        <v>0</v>
      </c>
      <c r="X13" s="3">
        <f t="shared" si="16"/>
        <v>0</v>
      </c>
      <c r="Y13" s="3">
        <f t="shared" si="17"/>
        <v>60625</v>
      </c>
      <c r="Z13" s="3">
        <f t="shared" si="18"/>
        <v>0</v>
      </c>
      <c r="AA13" s="3">
        <f t="shared" si="19"/>
        <v>0</v>
      </c>
      <c r="AB13" s="3">
        <f t="shared" si="20"/>
        <v>0</v>
      </c>
      <c r="AC13" s="37">
        <f t="shared" si="21"/>
        <v>-5500984</v>
      </c>
    </row>
    <row r="14" spans="1:31" s="24" customFormat="1" x14ac:dyDescent="0.25">
      <c r="A14" s="20" t="s">
        <v>18</v>
      </c>
      <c r="B14" s="2" t="s">
        <v>38</v>
      </c>
      <c r="C14" s="8">
        <f>268760090+5176019+2809881+1785791-329408</f>
        <v>278202373</v>
      </c>
      <c r="D14" s="8">
        <f>26956084+606312+111026+70561+938000-1094561</f>
        <v>27587422</v>
      </c>
      <c r="E14" s="8">
        <f>200621821+2465859+2479493+1575817+388966</f>
        <v>207531956</v>
      </c>
      <c r="F14" s="8">
        <f>177614802+2350109+1316908+836948+142169</f>
        <v>182260936</v>
      </c>
      <c r="G14" s="27">
        <f>82582154+816802+1013950+644406</f>
        <v>85057312</v>
      </c>
      <c r="H14" s="53">
        <f>114303534+947124+1462337+929374-92025</f>
        <v>117550344</v>
      </c>
      <c r="I14" s="53">
        <f>55524798+594531+379796+241375</f>
        <v>56740500</v>
      </c>
      <c r="J14" s="8">
        <f>30212018+307688+315118+200270</f>
        <v>31035094</v>
      </c>
      <c r="K14" s="8">
        <f t="shared" si="11"/>
        <v>985965937</v>
      </c>
      <c r="L14" s="8">
        <f>268760090+5176019+2809881+1785791-329408+9067176</f>
        <v>287269549</v>
      </c>
      <c r="M14" s="8">
        <f>26956084+606312+111026+70561+938000-1094561+48856</f>
        <v>27636278</v>
      </c>
      <c r="N14" s="8">
        <f>200621821+2465859+2479493+1575817+388966+1500000+1182885-37075+6863194</f>
        <v>217040960</v>
      </c>
      <c r="O14" s="8">
        <f>177614802+2350109+1316908+836948+142169+362925+37075</f>
        <v>182660936</v>
      </c>
      <c r="P14" s="27">
        <f>82582154+816802+1013950+644406+2482979</f>
        <v>87540291</v>
      </c>
      <c r="Q14" s="8">
        <f>114303534+947124+1462337+929374-92025+6441185</f>
        <v>123991529</v>
      </c>
      <c r="R14" s="8">
        <f>55524798+594531+379796+241375-126574</f>
        <v>56613926</v>
      </c>
      <c r="S14" s="8">
        <f>30212018+307688+315118+200270+710615</f>
        <v>31745709</v>
      </c>
      <c r="T14" s="8">
        <f>SUM(L14:S14)</f>
        <v>1014499178</v>
      </c>
      <c r="U14" s="3">
        <f t="shared" si="13"/>
        <v>9067176</v>
      </c>
      <c r="V14" s="3">
        <f t="shared" si="14"/>
        <v>48856</v>
      </c>
      <c r="W14" s="3">
        <f t="shared" si="15"/>
        <v>9509004</v>
      </c>
      <c r="X14" s="3">
        <f t="shared" si="16"/>
        <v>400000</v>
      </c>
      <c r="Y14" s="3">
        <f t="shared" si="17"/>
        <v>2482979</v>
      </c>
      <c r="Z14" s="3">
        <f t="shared" si="18"/>
        <v>6441185</v>
      </c>
      <c r="AA14" s="3">
        <f t="shared" si="19"/>
        <v>-126574</v>
      </c>
      <c r="AB14" s="3">
        <f t="shared" si="20"/>
        <v>710615</v>
      </c>
      <c r="AC14" s="37">
        <f t="shared" si="21"/>
        <v>28533241</v>
      </c>
    </row>
    <row r="15" spans="1:31" s="28" customFormat="1" x14ac:dyDescent="0.25">
      <c r="A15" s="20" t="s">
        <v>21</v>
      </c>
      <c r="B15" s="2" t="s">
        <v>39</v>
      </c>
      <c r="C15" s="8">
        <f>SUM(C17+C31)</f>
        <v>354438291</v>
      </c>
      <c r="D15" s="8">
        <f t="shared" ref="D15:J15" si="22">SUM(D17+D31)</f>
        <v>43654293</v>
      </c>
      <c r="E15" s="8">
        <f t="shared" si="22"/>
        <v>280024583</v>
      </c>
      <c r="F15" s="8">
        <f t="shared" si="22"/>
        <v>231046482</v>
      </c>
      <c r="G15" s="8">
        <f t="shared" si="22"/>
        <v>116765755</v>
      </c>
      <c r="H15" s="53">
        <f t="shared" si="22"/>
        <v>186838964</v>
      </c>
      <c r="I15" s="53">
        <f t="shared" si="22"/>
        <v>115660837</v>
      </c>
      <c r="J15" s="8">
        <f t="shared" si="22"/>
        <v>68361417</v>
      </c>
      <c r="K15" s="8">
        <f t="shared" si="11"/>
        <v>1396790622</v>
      </c>
      <c r="L15" s="8">
        <f>SUM(L17+L31)</f>
        <v>358194544</v>
      </c>
      <c r="M15" s="8">
        <f t="shared" ref="M15:S15" si="23">SUM(M17+M31)</f>
        <v>43703149</v>
      </c>
      <c r="N15" s="8">
        <f t="shared" si="23"/>
        <v>290213435</v>
      </c>
      <c r="O15" s="8">
        <f t="shared" si="23"/>
        <v>231446482</v>
      </c>
      <c r="P15" s="8">
        <f>SUM(P17+P31)</f>
        <v>119321357</v>
      </c>
      <c r="Q15" s="8">
        <f t="shared" si="23"/>
        <v>192280149</v>
      </c>
      <c r="R15" s="8">
        <f t="shared" si="23"/>
        <v>116928816</v>
      </c>
      <c r="S15" s="8">
        <f t="shared" si="23"/>
        <v>70691268</v>
      </c>
      <c r="T15" s="8">
        <f t="shared" si="12"/>
        <v>1422779200</v>
      </c>
      <c r="U15" s="3">
        <f t="shared" si="13"/>
        <v>3756253</v>
      </c>
      <c r="V15" s="3">
        <f t="shared" si="14"/>
        <v>48856</v>
      </c>
      <c r="W15" s="3">
        <f t="shared" si="15"/>
        <v>10188852</v>
      </c>
      <c r="X15" s="3">
        <f t="shared" si="16"/>
        <v>400000</v>
      </c>
      <c r="Y15" s="3">
        <f t="shared" si="17"/>
        <v>2555602</v>
      </c>
      <c r="Z15" s="3">
        <f t="shared" si="18"/>
        <v>5441185</v>
      </c>
      <c r="AA15" s="3">
        <f t="shared" si="19"/>
        <v>1267979</v>
      </c>
      <c r="AB15" s="3">
        <f t="shared" si="20"/>
        <v>2329851</v>
      </c>
      <c r="AC15" s="37">
        <f t="shared" si="21"/>
        <v>25988578</v>
      </c>
      <c r="AE15" s="24"/>
    </row>
    <row r="16" spans="1:31" s="28" customFormat="1" ht="76.5" x14ac:dyDescent="0.25">
      <c r="A16" s="25" t="s">
        <v>36</v>
      </c>
      <c r="B16" s="5" t="s">
        <v>62</v>
      </c>
      <c r="C16" s="6">
        <f>19720462-822818-307651</f>
        <v>18589993</v>
      </c>
      <c r="D16" s="6">
        <v>2163531</v>
      </c>
      <c r="E16" s="6">
        <v>14143482</v>
      </c>
      <c r="F16" s="6">
        <v>12018001</v>
      </c>
      <c r="G16" s="26">
        <f>4906081-33902</f>
        <v>4872179</v>
      </c>
      <c r="H16" s="54">
        <v>6583721</v>
      </c>
      <c r="I16" s="53">
        <v>3777107</v>
      </c>
      <c r="J16" s="6">
        <v>3349230</v>
      </c>
      <c r="K16" s="6">
        <f t="shared" si="11"/>
        <v>65497244</v>
      </c>
      <c r="L16" s="6">
        <f>19720462-822818-307651+1347386</f>
        <v>19937379</v>
      </c>
      <c r="M16" s="6">
        <v>2163531</v>
      </c>
      <c r="N16" s="6">
        <f>14143482+19821+1825658</f>
        <v>15988961</v>
      </c>
      <c r="O16" s="6">
        <v>12018001</v>
      </c>
      <c r="P16" s="26">
        <f>4906081-33902+11998</f>
        <v>4884177</v>
      </c>
      <c r="Q16" s="6">
        <v>6583721</v>
      </c>
      <c r="R16" s="8">
        <f>3777107+867979</f>
        <v>4645086</v>
      </c>
      <c r="S16" s="6">
        <v>3349230</v>
      </c>
      <c r="T16" s="6">
        <f t="shared" si="12"/>
        <v>69570086</v>
      </c>
      <c r="U16" s="3">
        <f t="shared" si="13"/>
        <v>1347386</v>
      </c>
      <c r="V16" s="3">
        <f t="shared" si="14"/>
        <v>0</v>
      </c>
      <c r="W16" s="3">
        <f t="shared" si="15"/>
        <v>1845479</v>
      </c>
      <c r="X16" s="3">
        <f t="shared" si="16"/>
        <v>0</v>
      </c>
      <c r="Y16" s="3">
        <f t="shared" si="17"/>
        <v>11998</v>
      </c>
      <c r="Z16" s="3">
        <f t="shared" si="18"/>
        <v>0</v>
      </c>
      <c r="AA16" s="3">
        <f t="shared" si="19"/>
        <v>867979</v>
      </c>
      <c r="AB16" s="3">
        <f t="shared" si="20"/>
        <v>0</v>
      </c>
      <c r="AC16" s="37">
        <f t="shared" si="21"/>
        <v>4072842</v>
      </c>
      <c r="AE16" s="24"/>
    </row>
    <row r="17" spans="1:31" s="28" customFormat="1" x14ac:dyDescent="0.25">
      <c r="A17" s="20" t="s">
        <v>10</v>
      </c>
      <c r="B17" s="2" t="s">
        <v>63</v>
      </c>
      <c r="C17" s="8">
        <f>SUM(C18:C19)</f>
        <v>342452333</v>
      </c>
      <c r="D17" s="8">
        <f t="shared" ref="D17:J17" si="24">SUM(D18:D19)</f>
        <v>43654293</v>
      </c>
      <c r="E17" s="8">
        <f t="shared" si="24"/>
        <v>269977956</v>
      </c>
      <c r="F17" s="8">
        <f t="shared" si="24"/>
        <v>221178077</v>
      </c>
      <c r="G17" s="8">
        <f t="shared" si="24"/>
        <v>112817818</v>
      </c>
      <c r="H17" s="53">
        <f t="shared" si="24"/>
        <v>181481396</v>
      </c>
      <c r="I17" s="53">
        <f t="shared" si="24"/>
        <v>112464208</v>
      </c>
      <c r="J17" s="8">
        <f t="shared" si="24"/>
        <v>65634905</v>
      </c>
      <c r="K17" s="8">
        <f t="shared" si="11"/>
        <v>1349660986</v>
      </c>
      <c r="L17" s="8">
        <f>SUM(L18:L19)</f>
        <v>346208586</v>
      </c>
      <c r="M17" s="8">
        <f t="shared" ref="M17:S17" si="25">SUM(M18:M19)</f>
        <v>43703149</v>
      </c>
      <c r="N17" s="8">
        <f t="shared" si="25"/>
        <v>278341150</v>
      </c>
      <c r="O17" s="8">
        <f t="shared" si="25"/>
        <v>221578077</v>
      </c>
      <c r="P17" s="8">
        <f t="shared" si="25"/>
        <v>115361422</v>
      </c>
      <c r="Q17" s="8">
        <f t="shared" si="25"/>
        <v>186922581</v>
      </c>
      <c r="R17" s="8">
        <f t="shared" si="25"/>
        <v>112864208</v>
      </c>
      <c r="S17" s="8">
        <f t="shared" si="25"/>
        <v>67964756</v>
      </c>
      <c r="T17" s="8">
        <f t="shared" si="12"/>
        <v>1372943929</v>
      </c>
      <c r="U17" s="3">
        <f t="shared" si="13"/>
        <v>3756253</v>
      </c>
      <c r="V17" s="3">
        <f t="shared" si="14"/>
        <v>48856</v>
      </c>
      <c r="W17" s="3">
        <f t="shared" si="15"/>
        <v>8363194</v>
      </c>
      <c r="X17" s="3">
        <f t="shared" si="16"/>
        <v>400000</v>
      </c>
      <c r="Y17" s="3">
        <f t="shared" si="17"/>
        <v>2543604</v>
      </c>
      <c r="Z17" s="3">
        <f t="shared" si="18"/>
        <v>5441185</v>
      </c>
      <c r="AA17" s="3">
        <f t="shared" si="19"/>
        <v>400000</v>
      </c>
      <c r="AB17" s="3">
        <f t="shared" si="20"/>
        <v>2329851</v>
      </c>
      <c r="AC17" s="37">
        <f t="shared" si="21"/>
        <v>23282943</v>
      </c>
      <c r="AE17" s="24"/>
    </row>
    <row r="18" spans="1:31" s="24" customFormat="1" x14ac:dyDescent="0.25">
      <c r="A18" s="20" t="s">
        <v>19</v>
      </c>
      <c r="B18" s="2" t="s">
        <v>40</v>
      </c>
      <c r="C18" s="8">
        <f>C10+C34</f>
        <v>48790384</v>
      </c>
      <c r="D18" s="8">
        <f t="shared" ref="D18:E18" si="26">D10+D34</f>
        <v>14922375</v>
      </c>
      <c r="E18" s="8">
        <f t="shared" si="26"/>
        <v>34445971</v>
      </c>
      <c r="F18" s="8">
        <f>F10+F34</f>
        <v>24749016</v>
      </c>
      <c r="G18" s="8">
        <f t="shared" ref="G18:J18" si="27">G10+G34</f>
        <v>11733858</v>
      </c>
      <c r="H18" s="53">
        <f t="shared" si="27"/>
        <v>16685646</v>
      </c>
      <c r="I18" s="53">
        <f t="shared" si="27"/>
        <v>15723929</v>
      </c>
      <c r="J18" s="8">
        <f t="shared" si="27"/>
        <v>11671061</v>
      </c>
      <c r="K18" s="8">
        <f t="shared" ref="K18:T18" si="28">K10+K34</f>
        <v>178722240</v>
      </c>
      <c r="L18" s="8">
        <f>L10+L34</f>
        <v>45494007</v>
      </c>
      <c r="M18" s="8">
        <f t="shared" si="28"/>
        <v>14922375</v>
      </c>
      <c r="N18" s="8">
        <f t="shared" si="28"/>
        <v>34445971</v>
      </c>
      <c r="O18" s="8">
        <f>O10+O34</f>
        <v>24749016</v>
      </c>
      <c r="P18" s="8">
        <f t="shared" si="28"/>
        <v>11794483</v>
      </c>
      <c r="Q18" s="8">
        <f t="shared" si="28"/>
        <v>16685646</v>
      </c>
      <c r="R18" s="8">
        <f t="shared" si="28"/>
        <v>15723929</v>
      </c>
      <c r="S18" s="8">
        <f t="shared" si="28"/>
        <v>11671061</v>
      </c>
      <c r="T18" s="8">
        <f t="shared" si="28"/>
        <v>175486488</v>
      </c>
      <c r="U18" s="3">
        <f t="shared" si="13"/>
        <v>-3296377</v>
      </c>
      <c r="V18" s="3">
        <f t="shared" si="14"/>
        <v>0</v>
      </c>
      <c r="W18" s="3">
        <f t="shared" si="15"/>
        <v>0</v>
      </c>
      <c r="X18" s="3">
        <f t="shared" si="16"/>
        <v>0</v>
      </c>
      <c r="Y18" s="3">
        <f t="shared" si="17"/>
        <v>60625</v>
      </c>
      <c r="Z18" s="3">
        <f t="shared" si="18"/>
        <v>0</v>
      </c>
      <c r="AA18" s="3">
        <f t="shared" si="19"/>
        <v>0</v>
      </c>
      <c r="AB18" s="3">
        <f t="shared" si="20"/>
        <v>0</v>
      </c>
      <c r="AC18" s="37">
        <f t="shared" si="21"/>
        <v>-3235752</v>
      </c>
    </row>
    <row r="19" spans="1:31" s="28" customFormat="1" x14ac:dyDescent="0.25">
      <c r="A19" s="20" t="s">
        <v>22</v>
      </c>
      <c r="B19" s="2" t="s">
        <v>46</v>
      </c>
      <c r="C19" s="8">
        <f>SUM(C20+C22)</f>
        <v>293661949</v>
      </c>
      <c r="D19" s="8">
        <f t="shared" ref="D19" si="29">SUM(D20+D22)</f>
        <v>28731918</v>
      </c>
      <c r="E19" s="8">
        <f>SUM(E20+E22)</f>
        <v>235531985</v>
      </c>
      <c r="F19" s="8">
        <f t="shared" ref="F19:J19" si="30">SUM(F20+F22)</f>
        <v>196429061</v>
      </c>
      <c r="G19" s="8">
        <f t="shared" si="30"/>
        <v>101083960</v>
      </c>
      <c r="H19" s="53">
        <f t="shared" si="30"/>
        <v>164795750</v>
      </c>
      <c r="I19" s="53">
        <f t="shared" si="30"/>
        <v>96740279</v>
      </c>
      <c r="J19" s="8">
        <f t="shared" si="30"/>
        <v>53963844</v>
      </c>
      <c r="K19" s="8">
        <f t="shared" si="11"/>
        <v>1170938746</v>
      </c>
      <c r="L19" s="8">
        <f>SUM(L20+L22)</f>
        <v>300714579</v>
      </c>
      <c r="M19" s="8">
        <f t="shared" ref="M19:S19" si="31">SUM(M20+M22)</f>
        <v>28780774</v>
      </c>
      <c r="N19" s="8">
        <f>SUM(N20+N22)</f>
        <v>243895179</v>
      </c>
      <c r="O19" s="8">
        <f t="shared" si="31"/>
        <v>196829061</v>
      </c>
      <c r="P19" s="8">
        <f t="shared" si="31"/>
        <v>103566939</v>
      </c>
      <c r="Q19" s="8">
        <f t="shared" si="31"/>
        <v>170236935</v>
      </c>
      <c r="R19" s="8">
        <f t="shared" si="31"/>
        <v>97140279</v>
      </c>
      <c r="S19" s="8">
        <f t="shared" si="31"/>
        <v>56293695</v>
      </c>
      <c r="T19" s="8">
        <f t="shared" si="12"/>
        <v>1197457441</v>
      </c>
      <c r="U19" s="3">
        <f t="shared" si="13"/>
        <v>7052630</v>
      </c>
      <c r="V19" s="3">
        <f t="shared" si="14"/>
        <v>48856</v>
      </c>
      <c r="W19" s="3">
        <f t="shared" si="15"/>
        <v>8363194</v>
      </c>
      <c r="X19" s="3">
        <f t="shared" si="16"/>
        <v>400000</v>
      </c>
      <c r="Y19" s="3">
        <f t="shared" si="17"/>
        <v>2482979</v>
      </c>
      <c r="Z19" s="3">
        <f t="shared" si="18"/>
        <v>5441185</v>
      </c>
      <c r="AA19" s="3">
        <f t="shared" si="19"/>
        <v>400000</v>
      </c>
      <c r="AB19" s="3">
        <f t="shared" si="20"/>
        <v>2329851</v>
      </c>
      <c r="AC19" s="37">
        <f t="shared" si="21"/>
        <v>26518695</v>
      </c>
      <c r="AE19" s="24"/>
    </row>
    <row r="20" spans="1:31" s="28" customFormat="1" ht="26.25" customHeight="1" x14ac:dyDescent="0.25">
      <c r="A20" s="25" t="s">
        <v>23</v>
      </c>
      <c r="B20" s="5" t="s">
        <v>55</v>
      </c>
      <c r="C20" s="6">
        <f>242329634+11544460+1438027</f>
        <v>255312121</v>
      </c>
      <c r="D20" s="6">
        <f>22339534+1078730+570264+126840</f>
        <v>24115368</v>
      </c>
      <c r="E20" s="6">
        <f>187878680+8961970</f>
        <v>196840650</v>
      </c>
      <c r="F20" s="6">
        <f>173645650+8265490-3754770</f>
        <v>178156370</v>
      </c>
      <c r="G20" s="26">
        <f>87683081+4142740</f>
        <v>91825821</v>
      </c>
      <c r="H20" s="54">
        <f>145494598+7050100-300000+960691</f>
        <v>153205389</v>
      </c>
      <c r="I20" s="53">
        <f>86328083+4242230</f>
        <v>90570313</v>
      </c>
      <c r="J20" s="6">
        <f>48340726+2444620-56215</f>
        <v>50729131</v>
      </c>
      <c r="K20" s="6">
        <f t="shared" si="11"/>
        <v>1040755163</v>
      </c>
      <c r="L20" s="6">
        <f>242329634+11544460+1438027+1347386</f>
        <v>256659507</v>
      </c>
      <c r="M20" s="6">
        <f>22339534+1078730+570264+126840</f>
        <v>24115368</v>
      </c>
      <c r="N20" s="6">
        <f>187878680+8961970</f>
        <v>196840650</v>
      </c>
      <c r="O20" s="6">
        <f>173645650+8265490-3754770</f>
        <v>178156370</v>
      </c>
      <c r="P20" s="26">
        <f>87683081+4142740+1763829-700000</f>
        <v>92889650</v>
      </c>
      <c r="Q20" s="6">
        <f>145494598+7050100-300000+960691+4200000+241185</f>
        <v>157646574</v>
      </c>
      <c r="R20" s="8">
        <f>86328083+4242230</f>
        <v>90570313</v>
      </c>
      <c r="S20" s="6">
        <f>48340726+2444620-56215+1929851</f>
        <v>52658982</v>
      </c>
      <c r="T20" s="6">
        <f t="shared" si="12"/>
        <v>1049537414</v>
      </c>
      <c r="U20" s="3">
        <f t="shared" si="13"/>
        <v>1347386</v>
      </c>
      <c r="V20" s="3">
        <f t="shared" si="14"/>
        <v>0</v>
      </c>
      <c r="W20" s="3">
        <f t="shared" si="15"/>
        <v>0</v>
      </c>
      <c r="X20" s="3">
        <f t="shared" si="16"/>
        <v>0</v>
      </c>
      <c r="Y20" s="3">
        <f t="shared" si="17"/>
        <v>1063829</v>
      </c>
      <c r="Z20" s="3">
        <f t="shared" si="18"/>
        <v>4441185</v>
      </c>
      <c r="AA20" s="3">
        <f t="shared" si="19"/>
        <v>0</v>
      </c>
      <c r="AB20" s="3">
        <f t="shared" si="20"/>
        <v>1929851</v>
      </c>
      <c r="AC20" s="37">
        <f t="shared" si="21"/>
        <v>8782251</v>
      </c>
      <c r="AE20" s="24"/>
    </row>
    <row r="21" spans="1:31" s="28" customFormat="1" ht="38.25" x14ac:dyDescent="0.25">
      <c r="A21" s="25" t="s">
        <v>24</v>
      </c>
      <c r="B21" s="6" t="s">
        <v>64</v>
      </c>
      <c r="C21" s="6">
        <v>4652832</v>
      </c>
      <c r="D21" s="6">
        <v>862300</v>
      </c>
      <c r="E21" s="6">
        <v>2461357</v>
      </c>
      <c r="F21" s="6">
        <v>543112</v>
      </c>
      <c r="G21" s="6">
        <v>315456</v>
      </c>
      <c r="H21" s="54">
        <v>353991</v>
      </c>
      <c r="I21" s="53">
        <v>60096</v>
      </c>
      <c r="J21" s="6">
        <v>178867</v>
      </c>
      <c r="K21" s="6">
        <f t="shared" si="11"/>
        <v>9428011</v>
      </c>
      <c r="L21" s="6">
        <f>4652832+1347386</f>
        <v>6000218</v>
      </c>
      <c r="M21" s="6">
        <v>862300</v>
      </c>
      <c r="N21" s="6">
        <v>2461357</v>
      </c>
      <c r="O21" s="6">
        <v>543112</v>
      </c>
      <c r="P21" s="6">
        <v>315456</v>
      </c>
      <c r="Q21" s="6">
        <v>353991</v>
      </c>
      <c r="R21" s="8">
        <v>60096</v>
      </c>
      <c r="S21" s="6">
        <v>178867</v>
      </c>
      <c r="T21" s="6">
        <f t="shared" si="12"/>
        <v>10775397</v>
      </c>
      <c r="U21" s="3">
        <f t="shared" si="13"/>
        <v>1347386</v>
      </c>
      <c r="V21" s="3">
        <f t="shared" si="14"/>
        <v>0</v>
      </c>
      <c r="W21" s="3">
        <f t="shared" si="15"/>
        <v>0</v>
      </c>
      <c r="X21" s="3">
        <f t="shared" si="16"/>
        <v>0</v>
      </c>
      <c r="Y21" s="3">
        <f t="shared" si="17"/>
        <v>0</v>
      </c>
      <c r="Z21" s="3">
        <f t="shared" si="18"/>
        <v>0</v>
      </c>
      <c r="AA21" s="3">
        <f t="shared" si="19"/>
        <v>0</v>
      </c>
      <c r="AB21" s="3">
        <f t="shared" si="20"/>
        <v>0</v>
      </c>
      <c r="AC21" s="37">
        <f t="shared" si="21"/>
        <v>1347386</v>
      </c>
      <c r="AE21" s="24"/>
    </row>
    <row r="22" spans="1:31" s="24" customFormat="1" x14ac:dyDescent="0.25">
      <c r="A22" s="25" t="s">
        <v>25</v>
      </c>
      <c r="B22" s="5" t="s">
        <v>50</v>
      </c>
      <c r="C22" s="6">
        <f>38448312-98484</f>
        <v>38349828</v>
      </c>
      <c r="D22" s="6">
        <v>4616550</v>
      </c>
      <c r="E22" s="6">
        <f>38691335</f>
        <v>38691335</v>
      </c>
      <c r="F22" s="6">
        <f>13919318+3754770+598603</f>
        <v>18272691</v>
      </c>
      <c r="G22" s="26">
        <f>9292041-33902</f>
        <v>9258139</v>
      </c>
      <c r="H22" s="54">
        <v>11590361</v>
      </c>
      <c r="I22" s="53">
        <f>5980524+189442</f>
        <v>6169966</v>
      </c>
      <c r="J22" s="6">
        <f>3194795+39918</f>
        <v>3234713</v>
      </c>
      <c r="K22" s="6">
        <f t="shared" si="11"/>
        <v>130183583</v>
      </c>
      <c r="L22" s="6">
        <f>38448312-98484+5705244</f>
        <v>44055072</v>
      </c>
      <c r="M22" s="6">
        <f>4616550+48856</f>
        <v>4665406</v>
      </c>
      <c r="N22" s="6">
        <f>38691335+1500000+6863194</f>
        <v>47054529</v>
      </c>
      <c r="O22" s="6">
        <f>13919318+3754770+598603+362925+37075</f>
        <v>18672691</v>
      </c>
      <c r="P22" s="26">
        <f>9292041-33902+319150+400000+700000</f>
        <v>10677289</v>
      </c>
      <c r="Q22" s="6">
        <f>11590361+1000000</f>
        <v>12590361</v>
      </c>
      <c r="R22" s="8">
        <f>5980524+189442+400000</f>
        <v>6569966</v>
      </c>
      <c r="S22" s="6">
        <f>3194795+39918+400000</f>
        <v>3634713</v>
      </c>
      <c r="T22" s="6">
        <f t="shared" si="12"/>
        <v>147920027</v>
      </c>
      <c r="U22" s="3">
        <f t="shared" si="13"/>
        <v>5705244</v>
      </c>
      <c r="V22" s="3">
        <f t="shared" si="14"/>
        <v>48856</v>
      </c>
      <c r="W22" s="3">
        <f t="shared" si="15"/>
        <v>8363194</v>
      </c>
      <c r="X22" s="3">
        <f t="shared" si="16"/>
        <v>400000</v>
      </c>
      <c r="Y22" s="3">
        <f t="shared" si="17"/>
        <v>1419150</v>
      </c>
      <c r="Z22" s="3">
        <f t="shared" si="18"/>
        <v>1000000</v>
      </c>
      <c r="AA22" s="3">
        <f t="shared" si="19"/>
        <v>400000</v>
      </c>
      <c r="AB22" s="3">
        <f t="shared" si="20"/>
        <v>400000</v>
      </c>
      <c r="AC22" s="37">
        <f t="shared" si="21"/>
        <v>17736444</v>
      </c>
    </row>
    <row r="23" spans="1:31" s="24" customFormat="1" ht="25.5" x14ac:dyDescent="0.25">
      <c r="A23" s="25" t="s">
        <v>26</v>
      </c>
      <c r="B23" s="5" t="s">
        <v>42</v>
      </c>
      <c r="C23" s="6">
        <v>67450</v>
      </c>
      <c r="D23" s="6"/>
      <c r="E23" s="6">
        <v>197780</v>
      </c>
      <c r="F23" s="6">
        <v>20670</v>
      </c>
      <c r="G23" s="26">
        <v>230210</v>
      </c>
      <c r="H23" s="54">
        <v>157310</v>
      </c>
      <c r="I23" s="53">
        <v>2400</v>
      </c>
      <c r="J23" s="6">
        <v>15270</v>
      </c>
      <c r="K23" s="6">
        <f t="shared" si="11"/>
        <v>691090</v>
      </c>
      <c r="L23" s="6">
        <v>67450</v>
      </c>
      <c r="M23" s="6"/>
      <c r="N23" s="6">
        <v>197780</v>
      </c>
      <c r="O23" s="6">
        <v>20670</v>
      </c>
      <c r="P23" s="26">
        <v>230210</v>
      </c>
      <c r="Q23" s="6">
        <v>157310</v>
      </c>
      <c r="R23" s="8">
        <v>2400</v>
      </c>
      <c r="S23" s="6">
        <v>15270</v>
      </c>
      <c r="T23" s="6">
        <f t="shared" si="12"/>
        <v>691090</v>
      </c>
      <c r="U23" s="3">
        <f t="shared" si="13"/>
        <v>0</v>
      </c>
      <c r="V23" s="3">
        <f t="shared" si="14"/>
        <v>0</v>
      </c>
      <c r="W23" s="3">
        <f t="shared" si="15"/>
        <v>0</v>
      </c>
      <c r="X23" s="3">
        <f t="shared" si="16"/>
        <v>0</v>
      </c>
      <c r="Y23" s="3">
        <f t="shared" si="17"/>
        <v>0</v>
      </c>
      <c r="Z23" s="3">
        <f t="shared" si="18"/>
        <v>0</v>
      </c>
      <c r="AA23" s="3">
        <f t="shared" si="19"/>
        <v>0</v>
      </c>
      <c r="AB23" s="3">
        <f t="shared" si="20"/>
        <v>0</v>
      </c>
      <c r="AC23" s="37">
        <f t="shared" si="21"/>
        <v>0</v>
      </c>
    </row>
    <row r="24" spans="1:31" s="28" customFormat="1" x14ac:dyDescent="0.25">
      <c r="A24" s="25" t="s">
        <v>27</v>
      </c>
      <c r="B24" s="5" t="s">
        <v>51</v>
      </c>
      <c r="C24" s="6">
        <v>1951203</v>
      </c>
      <c r="D24" s="6">
        <v>1301231</v>
      </c>
      <c r="E24" s="6">
        <f>1635498</f>
        <v>1635498</v>
      </c>
      <c r="F24" s="6">
        <v>1606484</v>
      </c>
      <c r="G24" s="26">
        <f>642688-33902</f>
        <v>608786</v>
      </c>
      <c r="H24" s="54">
        <v>872162</v>
      </c>
      <c r="I24" s="53">
        <v>520382</v>
      </c>
      <c r="J24" s="6">
        <v>443851</v>
      </c>
      <c r="K24" s="6">
        <f t="shared" si="11"/>
        <v>8939597</v>
      </c>
      <c r="L24" s="6">
        <f>1951203</f>
        <v>1951203</v>
      </c>
      <c r="M24" s="6">
        <v>1301231</v>
      </c>
      <c r="N24" s="6">
        <f>1635498+19821</f>
        <v>1655319</v>
      </c>
      <c r="O24" s="6">
        <v>1606484</v>
      </c>
      <c r="P24" s="26">
        <f>642688-33902</f>
        <v>608786</v>
      </c>
      <c r="Q24" s="6">
        <v>872162</v>
      </c>
      <c r="R24" s="8">
        <v>520382</v>
      </c>
      <c r="S24" s="6">
        <v>443851</v>
      </c>
      <c r="T24" s="6">
        <f t="shared" si="12"/>
        <v>8959418</v>
      </c>
      <c r="U24" s="3">
        <f t="shared" si="13"/>
        <v>0</v>
      </c>
      <c r="V24" s="3">
        <f t="shared" si="14"/>
        <v>0</v>
      </c>
      <c r="W24" s="3">
        <f t="shared" si="15"/>
        <v>19821</v>
      </c>
      <c r="X24" s="3">
        <f t="shared" si="16"/>
        <v>0</v>
      </c>
      <c r="Y24" s="3">
        <f t="shared" si="17"/>
        <v>0</v>
      </c>
      <c r="Z24" s="3">
        <f t="shared" si="18"/>
        <v>0</v>
      </c>
      <c r="AA24" s="3">
        <f t="shared" si="19"/>
        <v>0</v>
      </c>
      <c r="AB24" s="3">
        <f t="shared" si="20"/>
        <v>0</v>
      </c>
      <c r="AC24" s="37">
        <f t="shared" si="21"/>
        <v>19821</v>
      </c>
      <c r="AE24" s="24"/>
    </row>
    <row r="25" spans="1:31" s="28" customFormat="1" ht="25.5" x14ac:dyDescent="0.25">
      <c r="A25" s="25" t="s">
        <v>57</v>
      </c>
      <c r="B25" s="5" t="s">
        <v>60</v>
      </c>
      <c r="C25" s="6">
        <v>14311588</v>
      </c>
      <c r="D25" s="6"/>
      <c r="E25" s="6">
        <v>18037514</v>
      </c>
      <c r="F25" s="6"/>
      <c r="G25" s="26"/>
      <c r="H25" s="54"/>
      <c r="I25" s="53"/>
      <c r="J25" s="6"/>
      <c r="K25" s="6">
        <f t="shared" si="11"/>
        <v>32349102</v>
      </c>
      <c r="L25" s="6">
        <v>14311588</v>
      </c>
      <c r="M25" s="6"/>
      <c r="N25" s="6">
        <v>18037514</v>
      </c>
      <c r="O25" s="6"/>
      <c r="P25" s="26"/>
      <c r="Q25" s="6"/>
      <c r="R25" s="8"/>
      <c r="S25" s="6"/>
      <c r="T25" s="6">
        <f t="shared" si="12"/>
        <v>32349102</v>
      </c>
      <c r="U25" s="3">
        <f t="shared" si="13"/>
        <v>0</v>
      </c>
      <c r="V25" s="3">
        <f t="shared" si="14"/>
        <v>0</v>
      </c>
      <c r="W25" s="3">
        <f t="shared" si="15"/>
        <v>0</v>
      </c>
      <c r="X25" s="3">
        <f t="shared" si="16"/>
        <v>0</v>
      </c>
      <c r="Y25" s="3">
        <f t="shared" si="17"/>
        <v>0</v>
      </c>
      <c r="Z25" s="3">
        <f t="shared" si="18"/>
        <v>0</v>
      </c>
      <c r="AA25" s="3">
        <f t="shared" si="19"/>
        <v>0</v>
      </c>
      <c r="AB25" s="3">
        <f t="shared" si="20"/>
        <v>0</v>
      </c>
      <c r="AC25" s="37">
        <f t="shared" si="21"/>
        <v>0</v>
      </c>
      <c r="AE25" s="24"/>
    </row>
    <row r="26" spans="1:31" s="24" customFormat="1" x14ac:dyDescent="0.25">
      <c r="A26" s="20" t="s">
        <v>11</v>
      </c>
      <c r="B26" s="2" t="s">
        <v>41</v>
      </c>
      <c r="C26" s="8">
        <f>C15-C9</f>
        <v>30889362</v>
      </c>
      <c r="D26" s="8">
        <f t="shared" ref="D26:J26" si="32">D15-D9</f>
        <v>5199003</v>
      </c>
      <c r="E26" s="8">
        <f t="shared" si="32"/>
        <v>40328691</v>
      </c>
      <c r="F26" s="8">
        <f t="shared" si="32"/>
        <v>27815595</v>
      </c>
      <c r="G26" s="8">
        <f t="shared" si="32"/>
        <v>24284877</v>
      </c>
      <c r="H26" s="53">
        <f t="shared" si="32"/>
        <v>54553831</v>
      </c>
      <c r="I26" s="53">
        <f t="shared" si="32"/>
        <v>46399313</v>
      </c>
      <c r="J26" s="8">
        <f t="shared" si="32"/>
        <v>28796629</v>
      </c>
      <c r="K26" s="8">
        <f>K15-K9</f>
        <v>258267301</v>
      </c>
      <c r="L26" s="8">
        <f>L15-L9</f>
        <v>28874816</v>
      </c>
      <c r="M26" s="8">
        <f t="shared" ref="M26:S26" si="33">M15-M9</f>
        <v>5199003</v>
      </c>
      <c r="N26" s="8">
        <f t="shared" si="33"/>
        <v>41008539</v>
      </c>
      <c r="O26" s="8">
        <f t="shared" si="33"/>
        <v>27815595</v>
      </c>
      <c r="P26" s="8">
        <f t="shared" si="33"/>
        <v>24296875</v>
      </c>
      <c r="Q26" s="8">
        <f t="shared" si="33"/>
        <v>53553831</v>
      </c>
      <c r="R26" s="8">
        <f t="shared" si="33"/>
        <v>47793866</v>
      </c>
      <c r="S26" s="8">
        <f t="shared" si="33"/>
        <v>30415865</v>
      </c>
      <c r="T26" s="8">
        <f>T15-T9</f>
        <v>258958390</v>
      </c>
      <c r="U26" s="3">
        <f t="shared" si="13"/>
        <v>-2014546</v>
      </c>
      <c r="V26" s="3">
        <f t="shared" si="14"/>
        <v>0</v>
      </c>
      <c r="W26" s="3">
        <f t="shared" si="15"/>
        <v>679848</v>
      </c>
      <c r="X26" s="3">
        <f t="shared" si="16"/>
        <v>0</v>
      </c>
      <c r="Y26" s="3">
        <f t="shared" si="17"/>
        <v>11998</v>
      </c>
      <c r="Z26" s="3">
        <f t="shared" si="18"/>
        <v>-1000000</v>
      </c>
      <c r="AA26" s="3">
        <f t="shared" si="19"/>
        <v>1394553</v>
      </c>
      <c r="AB26" s="3">
        <f t="shared" si="20"/>
        <v>1619236</v>
      </c>
      <c r="AC26" s="37">
        <f t="shared" si="21"/>
        <v>691089</v>
      </c>
    </row>
    <row r="27" spans="1:31" s="24" customFormat="1" x14ac:dyDescent="0.25">
      <c r="A27" s="20" t="s">
        <v>28</v>
      </c>
      <c r="B27" s="2" t="s">
        <v>43</v>
      </c>
      <c r="C27" s="8">
        <f>C17-C9</f>
        <v>18903404</v>
      </c>
      <c r="D27" s="8">
        <f t="shared" ref="D27:J27" si="34">D17-D9</f>
        <v>5199003</v>
      </c>
      <c r="E27" s="8">
        <f t="shared" si="34"/>
        <v>30282064</v>
      </c>
      <c r="F27" s="8">
        <f t="shared" si="34"/>
        <v>17947190</v>
      </c>
      <c r="G27" s="8">
        <f t="shared" si="34"/>
        <v>20336940</v>
      </c>
      <c r="H27" s="53">
        <f t="shared" si="34"/>
        <v>49196263</v>
      </c>
      <c r="I27" s="53">
        <f t="shared" si="34"/>
        <v>43202684</v>
      </c>
      <c r="J27" s="8">
        <f t="shared" si="34"/>
        <v>26070117</v>
      </c>
      <c r="K27" s="8">
        <f t="shared" ref="K27" si="35">K17-K9</f>
        <v>211137665</v>
      </c>
      <c r="L27" s="8">
        <f>L17-L9</f>
        <v>16888858</v>
      </c>
      <c r="M27" s="8">
        <f t="shared" ref="M27:T27" si="36">M17-M9</f>
        <v>5199003</v>
      </c>
      <c r="N27" s="8">
        <f t="shared" si="36"/>
        <v>29136254</v>
      </c>
      <c r="O27" s="8">
        <f t="shared" si="36"/>
        <v>17947190</v>
      </c>
      <c r="P27" s="8">
        <f t="shared" si="36"/>
        <v>20336940</v>
      </c>
      <c r="Q27" s="8">
        <f t="shared" si="36"/>
        <v>48196263</v>
      </c>
      <c r="R27" s="8">
        <f t="shared" si="36"/>
        <v>43729258</v>
      </c>
      <c r="S27" s="8">
        <f t="shared" si="36"/>
        <v>27689353</v>
      </c>
      <c r="T27" s="8">
        <f t="shared" si="36"/>
        <v>209123119</v>
      </c>
      <c r="U27" s="3">
        <f t="shared" si="13"/>
        <v>-2014546</v>
      </c>
      <c r="V27" s="3">
        <f t="shared" si="14"/>
        <v>0</v>
      </c>
      <c r="W27" s="3">
        <f t="shared" si="15"/>
        <v>-1145810</v>
      </c>
      <c r="X27" s="3">
        <f t="shared" si="16"/>
        <v>0</v>
      </c>
      <c r="Y27" s="3">
        <f t="shared" si="17"/>
        <v>0</v>
      </c>
      <c r="Z27" s="3">
        <f t="shared" si="18"/>
        <v>-1000000</v>
      </c>
      <c r="AA27" s="3">
        <f t="shared" si="19"/>
        <v>526574</v>
      </c>
      <c r="AB27" s="3">
        <f t="shared" si="20"/>
        <v>1619236</v>
      </c>
      <c r="AC27" s="37">
        <f t="shared" si="21"/>
        <v>-2014546</v>
      </c>
    </row>
    <row r="28" spans="1:31" s="24" customFormat="1" x14ac:dyDescent="0.25">
      <c r="A28" s="20" t="s">
        <v>30</v>
      </c>
      <c r="B28" s="2" t="s">
        <v>47</v>
      </c>
      <c r="C28" s="8">
        <f t="shared" ref="C28:I28" si="37">SUM(C29+C31)+C32</f>
        <v>30889362</v>
      </c>
      <c r="D28" s="8">
        <f t="shared" si="37"/>
        <v>5199003</v>
      </c>
      <c r="E28" s="8">
        <f t="shared" si="37"/>
        <v>40328691</v>
      </c>
      <c r="F28" s="8">
        <f t="shared" si="37"/>
        <v>27815595</v>
      </c>
      <c r="G28" s="8">
        <f t="shared" si="37"/>
        <v>24284877</v>
      </c>
      <c r="H28" s="53">
        <f t="shared" si="37"/>
        <v>54553831</v>
      </c>
      <c r="I28" s="53">
        <f t="shared" si="37"/>
        <v>46399313</v>
      </c>
      <c r="J28" s="8">
        <f>SUM(J29+J31)+J32</f>
        <v>28796629</v>
      </c>
      <c r="K28" s="8">
        <f>SUM(K29+K31)+K32</f>
        <v>258267301</v>
      </c>
      <c r="L28" s="8">
        <f t="shared" ref="L28:R28" si="38">SUM(L29+L31)+L32</f>
        <v>28874816</v>
      </c>
      <c r="M28" s="8">
        <f t="shared" si="38"/>
        <v>5199003</v>
      </c>
      <c r="N28" s="8">
        <f t="shared" si="38"/>
        <v>41008539</v>
      </c>
      <c r="O28" s="8">
        <f t="shared" si="38"/>
        <v>27815595</v>
      </c>
      <c r="P28" s="8">
        <f>SUM(P29+P31)+P32</f>
        <v>24296875</v>
      </c>
      <c r="Q28" s="8">
        <f t="shared" si="38"/>
        <v>53553831</v>
      </c>
      <c r="R28" s="8">
        <f t="shared" si="38"/>
        <v>47793866</v>
      </c>
      <c r="S28" s="8">
        <f>SUM(S29+S31)+S32</f>
        <v>30415865</v>
      </c>
      <c r="T28" s="8">
        <f>SUM(T29+T31)+T32</f>
        <v>258958390</v>
      </c>
      <c r="U28" s="3">
        <f t="shared" si="13"/>
        <v>-2014546</v>
      </c>
      <c r="V28" s="3">
        <f t="shared" si="14"/>
        <v>0</v>
      </c>
      <c r="W28" s="3">
        <f t="shared" si="15"/>
        <v>679848</v>
      </c>
      <c r="X28" s="3">
        <f t="shared" si="16"/>
        <v>0</v>
      </c>
      <c r="Y28" s="3">
        <f t="shared" si="17"/>
        <v>11998</v>
      </c>
      <c r="Z28" s="3">
        <f t="shared" si="18"/>
        <v>-1000000</v>
      </c>
      <c r="AA28" s="3">
        <f t="shared" si="19"/>
        <v>1394553</v>
      </c>
      <c r="AB28" s="3">
        <f t="shared" si="20"/>
        <v>1619236</v>
      </c>
      <c r="AC28" s="37">
        <f t="shared" si="21"/>
        <v>691089</v>
      </c>
    </row>
    <row r="29" spans="1:31" s="28" customFormat="1" ht="25.5" x14ac:dyDescent="0.25">
      <c r="A29" s="25" t="s">
        <v>31</v>
      </c>
      <c r="B29" s="5" t="s">
        <v>59</v>
      </c>
      <c r="C29" s="6">
        <f t="shared" ref="C29:G29" si="39">C27-C32</f>
        <v>9024962</v>
      </c>
      <c r="D29" s="6">
        <f t="shared" si="39"/>
        <v>0</v>
      </c>
      <c r="E29" s="6">
        <f t="shared" si="39"/>
        <v>27891796</v>
      </c>
      <c r="F29" s="6">
        <f t="shared" si="39"/>
        <v>13569522</v>
      </c>
      <c r="G29" s="6">
        <f t="shared" si="39"/>
        <v>15898318</v>
      </c>
      <c r="H29" s="54">
        <f>H27-H32</f>
        <v>40683385</v>
      </c>
      <c r="I29" s="53">
        <f t="shared" ref="I29:J29" si="40">I27-I32</f>
        <v>39810337</v>
      </c>
      <c r="J29" s="6">
        <f t="shared" si="40"/>
        <v>22888832</v>
      </c>
      <c r="K29" s="6">
        <f t="shared" ref="K29:M29" si="41">K27-K32</f>
        <v>169767152</v>
      </c>
      <c r="L29" s="6">
        <f t="shared" si="41"/>
        <v>7010416</v>
      </c>
      <c r="M29" s="6">
        <f t="shared" si="41"/>
        <v>0</v>
      </c>
      <c r="N29" s="6">
        <f>N27-N32</f>
        <v>26745986</v>
      </c>
      <c r="O29" s="6">
        <f>O27-O32</f>
        <v>13569522</v>
      </c>
      <c r="P29" s="6">
        <f t="shared" ref="P29:S29" si="42">P27-P32</f>
        <v>15898318</v>
      </c>
      <c r="Q29" s="6">
        <f>Q27-Q32</f>
        <v>39683385</v>
      </c>
      <c r="R29" s="8">
        <f t="shared" si="42"/>
        <v>40336911</v>
      </c>
      <c r="S29" s="6">
        <f t="shared" si="42"/>
        <v>24508068</v>
      </c>
      <c r="T29" s="6">
        <f t="shared" ref="T29" si="43">T27-T32</f>
        <v>167752606</v>
      </c>
      <c r="U29" s="3">
        <f t="shared" si="13"/>
        <v>-2014546</v>
      </c>
      <c r="V29" s="3">
        <f t="shared" si="14"/>
        <v>0</v>
      </c>
      <c r="W29" s="3">
        <f t="shared" si="15"/>
        <v>-1145810</v>
      </c>
      <c r="X29" s="3">
        <f t="shared" si="16"/>
        <v>0</v>
      </c>
      <c r="Y29" s="3">
        <f t="shared" si="17"/>
        <v>0</v>
      </c>
      <c r="Z29" s="3">
        <f t="shared" si="18"/>
        <v>-1000000</v>
      </c>
      <c r="AA29" s="3">
        <f t="shared" si="19"/>
        <v>526574</v>
      </c>
      <c r="AB29" s="3">
        <f t="shared" si="20"/>
        <v>1619236</v>
      </c>
      <c r="AC29" s="37">
        <f t="shared" si="21"/>
        <v>-2014546</v>
      </c>
      <c r="AD29" s="28">
        <f>X29+AA29+AB29</f>
        <v>2145810</v>
      </c>
      <c r="AE29" s="24"/>
    </row>
    <row r="30" spans="1:31" s="28" customFormat="1" ht="25.5" x14ac:dyDescent="0.25">
      <c r="A30" s="29" t="s">
        <v>58</v>
      </c>
      <c r="B30" s="5" t="s">
        <v>60</v>
      </c>
      <c r="C30" s="6">
        <f>C29</f>
        <v>9024962</v>
      </c>
      <c r="D30" s="6"/>
      <c r="E30" s="6">
        <v>18037514</v>
      </c>
      <c r="F30" s="6"/>
      <c r="G30" s="6"/>
      <c r="H30" s="54"/>
      <c r="I30" s="53"/>
      <c r="J30" s="6"/>
      <c r="K30" s="6">
        <f t="shared" ref="K30:K57" si="44">SUM(C30:J30)</f>
        <v>27062476</v>
      </c>
      <c r="L30" s="6">
        <f>L29</f>
        <v>7010416</v>
      </c>
      <c r="M30" s="6"/>
      <c r="N30" s="6">
        <v>18037514</v>
      </c>
      <c r="O30" s="6"/>
      <c r="P30" s="6"/>
      <c r="Q30" s="6"/>
      <c r="R30" s="8"/>
      <c r="S30" s="6"/>
      <c r="T30" s="6">
        <f t="shared" si="12"/>
        <v>25047930</v>
      </c>
      <c r="U30" s="3">
        <f t="shared" si="13"/>
        <v>-2014546</v>
      </c>
      <c r="V30" s="3">
        <f t="shared" si="14"/>
        <v>0</v>
      </c>
      <c r="W30" s="3">
        <f t="shared" si="15"/>
        <v>0</v>
      </c>
      <c r="X30" s="3">
        <f t="shared" si="16"/>
        <v>0</v>
      </c>
      <c r="Y30" s="3">
        <f t="shared" si="17"/>
        <v>0</v>
      </c>
      <c r="Z30" s="3">
        <f t="shared" si="18"/>
        <v>0</v>
      </c>
      <c r="AA30" s="3">
        <f t="shared" si="19"/>
        <v>0</v>
      </c>
      <c r="AB30" s="3">
        <f t="shared" si="20"/>
        <v>0</v>
      </c>
      <c r="AC30" s="37">
        <f t="shared" si="21"/>
        <v>-2014546</v>
      </c>
      <c r="AE30" s="24"/>
    </row>
    <row r="31" spans="1:31" s="28" customFormat="1" x14ac:dyDescent="0.25">
      <c r="A31" s="25" t="s">
        <v>48</v>
      </c>
      <c r="B31" s="6" t="s">
        <v>61</v>
      </c>
      <c r="C31" s="6">
        <f>C16-C21-C24</f>
        <v>11985958</v>
      </c>
      <c r="D31" s="6">
        <v>0</v>
      </c>
      <c r="E31" s="6">
        <v>10046627</v>
      </c>
      <c r="F31" s="6">
        <v>9868405</v>
      </c>
      <c r="G31" s="6">
        <v>3947937</v>
      </c>
      <c r="H31" s="54">
        <v>5357568</v>
      </c>
      <c r="I31" s="53">
        <v>3196629</v>
      </c>
      <c r="J31" s="6">
        <v>2726512</v>
      </c>
      <c r="K31" s="6">
        <f t="shared" si="44"/>
        <v>47129636</v>
      </c>
      <c r="L31" s="6">
        <f t="shared" ref="L31:O31" si="45">L16-L21-L24</f>
        <v>11985958</v>
      </c>
      <c r="M31" s="6">
        <f t="shared" si="45"/>
        <v>0</v>
      </c>
      <c r="N31" s="6">
        <f t="shared" si="45"/>
        <v>11872285</v>
      </c>
      <c r="O31" s="6">
        <f t="shared" si="45"/>
        <v>9868405</v>
      </c>
      <c r="P31" s="6">
        <f>P16-P21-P24</f>
        <v>3959935</v>
      </c>
      <c r="Q31" s="59">
        <f t="shared" ref="Q31:S31" si="46">Q16-Q21-Q24</f>
        <v>5357568</v>
      </c>
      <c r="R31" s="6">
        <f t="shared" si="46"/>
        <v>4064608</v>
      </c>
      <c r="S31" s="6">
        <f t="shared" si="46"/>
        <v>2726512</v>
      </c>
      <c r="T31" s="6">
        <f>SUM(L31:S31)</f>
        <v>49835271</v>
      </c>
      <c r="U31" s="3">
        <f t="shared" si="13"/>
        <v>0</v>
      </c>
      <c r="V31" s="3">
        <f t="shared" si="14"/>
        <v>0</v>
      </c>
      <c r="W31" s="3">
        <f t="shared" si="15"/>
        <v>1825658</v>
      </c>
      <c r="X31" s="3">
        <f t="shared" si="16"/>
        <v>0</v>
      </c>
      <c r="Y31" s="3">
        <f t="shared" si="17"/>
        <v>11998</v>
      </c>
      <c r="Z31" s="3">
        <f t="shared" si="18"/>
        <v>0</v>
      </c>
      <c r="AA31" s="3">
        <f t="shared" si="19"/>
        <v>867979</v>
      </c>
      <c r="AB31" s="3">
        <f t="shared" si="20"/>
        <v>0</v>
      </c>
      <c r="AC31" s="37">
        <f t="shared" si="21"/>
        <v>2705635</v>
      </c>
      <c r="AE31" s="24"/>
    </row>
    <row r="32" spans="1:31" s="28" customFormat="1" ht="25.5" x14ac:dyDescent="0.25">
      <c r="A32" s="25" t="s">
        <v>67</v>
      </c>
      <c r="B32" s="7" t="s">
        <v>68</v>
      </c>
      <c r="C32" s="30">
        <f t="shared" ref="C32:J32" si="47">C33+C34</f>
        <v>9878442</v>
      </c>
      <c r="D32" s="30">
        <f t="shared" si="47"/>
        <v>5199003</v>
      </c>
      <c r="E32" s="30">
        <f t="shared" si="47"/>
        <v>2390268</v>
      </c>
      <c r="F32" s="30">
        <f t="shared" si="47"/>
        <v>4377668</v>
      </c>
      <c r="G32" s="30">
        <f t="shared" si="47"/>
        <v>4438622</v>
      </c>
      <c r="H32" s="55">
        <f t="shared" si="47"/>
        <v>8512878</v>
      </c>
      <c r="I32" s="51">
        <f t="shared" si="47"/>
        <v>3392347</v>
      </c>
      <c r="J32" s="30">
        <f t="shared" si="47"/>
        <v>3181285</v>
      </c>
      <c r="K32" s="30">
        <f t="shared" ref="K32:T32" si="48">K33+K34</f>
        <v>41370513</v>
      </c>
      <c r="L32" s="30">
        <f t="shared" si="48"/>
        <v>9878442</v>
      </c>
      <c r="M32" s="30">
        <f t="shared" si="48"/>
        <v>5199003</v>
      </c>
      <c r="N32" s="30">
        <f t="shared" si="48"/>
        <v>2390268</v>
      </c>
      <c r="O32" s="30">
        <f t="shared" si="48"/>
        <v>4377668</v>
      </c>
      <c r="P32" s="30">
        <f t="shared" si="48"/>
        <v>4438622</v>
      </c>
      <c r="Q32" s="30">
        <f t="shared" si="48"/>
        <v>8512878</v>
      </c>
      <c r="R32" s="21">
        <f t="shared" si="48"/>
        <v>3392347</v>
      </c>
      <c r="S32" s="30">
        <f t="shared" si="48"/>
        <v>3181285</v>
      </c>
      <c r="T32" s="30">
        <f t="shared" si="48"/>
        <v>41370513</v>
      </c>
      <c r="U32" s="3">
        <f t="shared" si="13"/>
        <v>0</v>
      </c>
      <c r="V32" s="3">
        <f t="shared" si="14"/>
        <v>0</v>
      </c>
      <c r="W32" s="3">
        <f t="shared" si="15"/>
        <v>0</v>
      </c>
      <c r="X32" s="3">
        <f t="shared" si="16"/>
        <v>0</v>
      </c>
      <c r="Y32" s="3">
        <f t="shared" si="17"/>
        <v>0</v>
      </c>
      <c r="Z32" s="3">
        <f t="shared" si="18"/>
        <v>0</v>
      </c>
      <c r="AA32" s="3">
        <f t="shared" si="19"/>
        <v>0</v>
      </c>
      <c r="AB32" s="3">
        <f t="shared" si="20"/>
        <v>0</v>
      </c>
      <c r="AC32" s="37">
        <f t="shared" si="21"/>
        <v>0</v>
      </c>
      <c r="AE32" s="24"/>
    </row>
    <row r="33" spans="1:31" s="24" customFormat="1" x14ac:dyDescent="0.25">
      <c r="A33" s="20" t="s">
        <v>69</v>
      </c>
      <c r="B33" s="8" t="s">
        <v>70</v>
      </c>
      <c r="C33" s="21">
        <f>3558560+2876054</f>
        <v>6434614</v>
      </c>
      <c r="D33" s="21">
        <f>361392+783104</f>
        <v>1144496</v>
      </c>
      <c r="E33" s="21">
        <v>108233</v>
      </c>
      <c r="F33" s="21">
        <v>598603</v>
      </c>
      <c r="G33" s="22">
        <v>128330</v>
      </c>
      <c r="H33" s="51">
        <f>4640639+1921382</f>
        <v>6562021</v>
      </c>
      <c r="I33" s="51">
        <v>189442</v>
      </c>
      <c r="J33" s="21">
        <v>39918</v>
      </c>
      <c r="K33" s="8">
        <f t="shared" si="44"/>
        <v>15205657</v>
      </c>
      <c r="L33" s="21">
        <f>3558560+2876054</f>
        <v>6434614</v>
      </c>
      <c r="M33" s="21">
        <f>361392+783104</f>
        <v>1144496</v>
      </c>
      <c r="N33" s="21">
        <v>108233</v>
      </c>
      <c r="O33" s="21">
        <v>598603</v>
      </c>
      <c r="P33" s="22">
        <v>128330</v>
      </c>
      <c r="Q33" s="21">
        <f>4640639+1921382</f>
        <v>6562021</v>
      </c>
      <c r="R33" s="21">
        <v>189442</v>
      </c>
      <c r="S33" s="21">
        <v>39918</v>
      </c>
      <c r="T33" s="8">
        <f t="shared" si="12"/>
        <v>15205657</v>
      </c>
      <c r="U33" s="3">
        <f t="shared" si="13"/>
        <v>0</v>
      </c>
      <c r="V33" s="3">
        <f t="shared" si="14"/>
        <v>0</v>
      </c>
      <c r="W33" s="3">
        <f t="shared" si="15"/>
        <v>0</v>
      </c>
      <c r="X33" s="3">
        <f t="shared" si="16"/>
        <v>0</v>
      </c>
      <c r="Y33" s="3">
        <f t="shared" si="17"/>
        <v>0</v>
      </c>
      <c r="Z33" s="3">
        <f t="shared" si="18"/>
        <v>0</v>
      </c>
      <c r="AA33" s="3">
        <f t="shared" si="19"/>
        <v>0</v>
      </c>
      <c r="AB33" s="3">
        <f t="shared" si="20"/>
        <v>0</v>
      </c>
      <c r="AC33" s="37">
        <f t="shared" si="21"/>
        <v>0</v>
      </c>
    </row>
    <row r="34" spans="1:31" s="28" customFormat="1" x14ac:dyDescent="0.25">
      <c r="A34" s="25" t="s">
        <v>71</v>
      </c>
      <c r="B34" s="2" t="s">
        <v>37</v>
      </c>
      <c r="C34" s="30">
        <f>C35+C48+C49+C50</f>
        <v>3443828</v>
      </c>
      <c r="D34" s="30">
        <f>D35+D48+D49+D50</f>
        <v>4054507</v>
      </c>
      <c r="E34" s="30">
        <f>E35+E48+E49+E50</f>
        <v>2282035</v>
      </c>
      <c r="F34" s="30">
        <f t="shared" ref="F34:I34" si="49">F35+F48+F49+F50</f>
        <v>3779065</v>
      </c>
      <c r="G34" s="30">
        <f t="shared" si="49"/>
        <v>4310292</v>
      </c>
      <c r="H34" s="55">
        <f t="shared" si="49"/>
        <v>1950857</v>
      </c>
      <c r="I34" s="51">
        <f t="shared" si="49"/>
        <v>3202905</v>
      </c>
      <c r="J34" s="30">
        <f>J35+J48+J49+J50</f>
        <v>3141367</v>
      </c>
      <c r="K34" s="6">
        <f t="shared" si="44"/>
        <v>26164856</v>
      </c>
      <c r="L34" s="30">
        <f>L35+L48+L49+L50</f>
        <v>3443828</v>
      </c>
      <c r="M34" s="30">
        <f>M35+M48+M49+M50</f>
        <v>4054507</v>
      </c>
      <c r="N34" s="30">
        <f>N35+N48+N49+N50</f>
        <v>2282035</v>
      </c>
      <c r="O34" s="30">
        <f t="shared" ref="O34:R34" si="50">O35+O48+O49+O50</f>
        <v>3779065</v>
      </c>
      <c r="P34" s="30">
        <f t="shared" si="50"/>
        <v>4310292</v>
      </c>
      <c r="Q34" s="30">
        <f t="shared" si="50"/>
        <v>1950857</v>
      </c>
      <c r="R34" s="21">
        <f t="shared" si="50"/>
        <v>3202905</v>
      </c>
      <c r="S34" s="30">
        <f>S35+S48+S49+S50</f>
        <v>3141367</v>
      </c>
      <c r="T34" s="6">
        <f>SUM(L34:S34)</f>
        <v>26164856</v>
      </c>
      <c r="U34" s="3">
        <f t="shared" si="13"/>
        <v>0</v>
      </c>
      <c r="V34" s="3">
        <f t="shared" si="14"/>
        <v>0</v>
      </c>
      <c r="W34" s="3">
        <f t="shared" si="15"/>
        <v>0</v>
      </c>
      <c r="X34" s="3">
        <f t="shared" si="16"/>
        <v>0</v>
      </c>
      <c r="Y34" s="3">
        <f t="shared" si="17"/>
        <v>0</v>
      </c>
      <c r="Z34" s="3">
        <f t="shared" si="18"/>
        <v>0</v>
      </c>
      <c r="AA34" s="3">
        <f t="shared" si="19"/>
        <v>0</v>
      </c>
      <c r="AB34" s="3">
        <f t="shared" si="20"/>
        <v>0</v>
      </c>
      <c r="AC34" s="37">
        <f t="shared" si="21"/>
        <v>0</v>
      </c>
      <c r="AE34" s="24"/>
    </row>
    <row r="35" spans="1:31" s="28" customFormat="1" x14ac:dyDescent="0.25">
      <c r="A35" s="32" t="s">
        <v>72</v>
      </c>
      <c r="B35" s="9" t="s">
        <v>73</v>
      </c>
      <c r="C35" s="30">
        <f>SUM(C36:C47)</f>
        <v>550075</v>
      </c>
      <c r="D35" s="30">
        <f t="shared" ref="D35" si="51">SUM(D36:D47)</f>
        <v>2558121</v>
      </c>
      <c r="E35" s="30">
        <f>SUM(E36:E47)</f>
        <v>1044936</v>
      </c>
      <c r="F35" s="30">
        <f t="shared" ref="F35:G35" si="52">SUM(F36:F47)</f>
        <v>2963319</v>
      </c>
      <c r="G35" s="30">
        <f t="shared" si="52"/>
        <v>1544940</v>
      </c>
      <c r="H35" s="55">
        <f>SUM(H36:H47)</f>
        <v>1294577</v>
      </c>
      <c r="I35" s="51">
        <f t="shared" ref="I35:J35" si="53">SUM(I36:I47)</f>
        <v>1920974</v>
      </c>
      <c r="J35" s="30">
        <f t="shared" si="53"/>
        <v>1828415</v>
      </c>
      <c r="K35" s="6">
        <f t="shared" si="44"/>
        <v>13705357</v>
      </c>
      <c r="L35" s="30">
        <f>SUM(L36:L47)</f>
        <v>550075</v>
      </c>
      <c r="M35" s="30">
        <f t="shared" ref="M35:T35" si="54">SUM(M36:M47)</f>
        <v>2558121</v>
      </c>
      <c r="N35" s="30">
        <f>SUM(N36:N47)</f>
        <v>1044936</v>
      </c>
      <c r="O35" s="30">
        <f t="shared" si="54"/>
        <v>2963319</v>
      </c>
      <c r="P35" s="30">
        <f t="shared" si="54"/>
        <v>1544940</v>
      </c>
      <c r="Q35" s="30">
        <f>SUM(Q36:Q47)</f>
        <v>1294577</v>
      </c>
      <c r="R35" s="21">
        <f t="shared" si="54"/>
        <v>1920974</v>
      </c>
      <c r="S35" s="30">
        <f t="shared" si="54"/>
        <v>1828415</v>
      </c>
      <c r="T35" s="30">
        <f t="shared" si="54"/>
        <v>13705357</v>
      </c>
      <c r="U35" s="3">
        <f t="shared" si="13"/>
        <v>0</v>
      </c>
      <c r="V35" s="3">
        <f t="shared" si="14"/>
        <v>0</v>
      </c>
      <c r="W35" s="3">
        <f t="shared" si="15"/>
        <v>0</v>
      </c>
      <c r="X35" s="3">
        <f t="shared" si="16"/>
        <v>0</v>
      </c>
      <c r="Y35" s="3">
        <f t="shared" si="17"/>
        <v>0</v>
      </c>
      <c r="Z35" s="3">
        <f t="shared" si="18"/>
        <v>0</v>
      </c>
      <c r="AA35" s="3">
        <f t="shared" si="19"/>
        <v>0</v>
      </c>
      <c r="AB35" s="3">
        <f t="shared" si="20"/>
        <v>0</v>
      </c>
      <c r="AC35" s="37">
        <f t="shared" si="21"/>
        <v>0</v>
      </c>
      <c r="AE35" s="24"/>
    </row>
    <row r="36" spans="1:31" s="28" customFormat="1" ht="25.5" x14ac:dyDescent="0.25">
      <c r="A36" s="32" t="s">
        <v>74</v>
      </c>
      <c r="B36" s="9" t="s">
        <v>75</v>
      </c>
      <c r="C36" s="30">
        <v>23063</v>
      </c>
      <c r="D36" s="30"/>
      <c r="E36" s="30"/>
      <c r="F36" s="30">
        <v>299390</v>
      </c>
      <c r="G36" s="31">
        <v>347821</v>
      </c>
      <c r="H36" s="55">
        <v>210359</v>
      </c>
      <c r="I36" s="51">
        <v>275239</v>
      </c>
      <c r="J36" s="30">
        <v>191892</v>
      </c>
      <c r="K36" s="6">
        <f t="shared" si="44"/>
        <v>1347764</v>
      </c>
      <c r="L36" s="30">
        <v>23063</v>
      </c>
      <c r="M36" s="30"/>
      <c r="N36" s="30"/>
      <c r="O36" s="30">
        <v>299390</v>
      </c>
      <c r="P36" s="31">
        <v>347821</v>
      </c>
      <c r="Q36" s="30">
        <v>210359</v>
      </c>
      <c r="R36" s="21">
        <v>275239</v>
      </c>
      <c r="S36" s="30">
        <v>191892</v>
      </c>
      <c r="T36" s="6">
        <f t="shared" si="12"/>
        <v>1347764</v>
      </c>
      <c r="U36" s="3">
        <f t="shared" si="13"/>
        <v>0</v>
      </c>
      <c r="V36" s="3">
        <f t="shared" si="14"/>
        <v>0</v>
      </c>
      <c r="W36" s="3">
        <f t="shared" si="15"/>
        <v>0</v>
      </c>
      <c r="X36" s="3">
        <f t="shared" si="16"/>
        <v>0</v>
      </c>
      <c r="Y36" s="3">
        <f t="shared" si="17"/>
        <v>0</v>
      </c>
      <c r="Z36" s="3">
        <f t="shared" si="18"/>
        <v>0</v>
      </c>
      <c r="AA36" s="3">
        <f t="shared" si="19"/>
        <v>0</v>
      </c>
      <c r="AB36" s="3">
        <f t="shared" si="20"/>
        <v>0</v>
      </c>
      <c r="AC36" s="37">
        <f t="shared" si="21"/>
        <v>0</v>
      </c>
      <c r="AE36" s="24"/>
    </row>
    <row r="37" spans="1:31" s="28" customFormat="1" x14ac:dyDescent="0.25">
      <c r="A37" s="32"/>
      <c r="B37" s="9"/>
      <c r="C37" s="30"/>
      <c r="D37" s="30"/>
      <c r="E37" s="30"/>
      <c r="F37" s="30"/>
      <c r="G37" s="31"/>
      <c r="H37" s="55"/>
      <c r="I37" s="51"/>
      <c r="J37" s="30"/>
      <c r="K37" s="6">
        <f t="shared" si="44"/>
        <v>0</v>
      </c>
      <c r="L37" s="30"/>
      <c r="M37" s="30"/>
      <c r="N37" s="30"/>
      <c r="O37" s="30"/>
      <c r="P37" s="31"/>
      <c r="Q37" s="30"/>
      <c r="R37" s="21"/>
      <c r="S37" s="30"/>
      <c r="T37" s="6"/>
      <c r="U37" s="3">
        <f t="shared" si="13"/>
        <v>0</v>
      </c>
      <c r="V37" s="3">
        <f t="shared" si="14"/>
        <v>0</v>
      </c>
      <c r="W37" s="3">
        <f t="shared" si="15"/>
        <v>0</v>
      </c>
      <c r="X37" s="3">
        <f t="shared" si="16"/>
        <v>0</v>
      </c>
      <c r="Y37" s="3">
        <f t="shared" si="17"/>
        <v>0</v>
      </c>
      <c r="Z37" s="3">
        <f t="shared" si="18"/>
        <v>0</v>
      </c>
      <c r="AA37" s="3">
        <f t="shared" si="19"/>
        <v>0</v>
      </c>
      <c r="AB37" s="3">
        <f t="shared" si="20"/>
        <v>0</v>
      </c>
      <c r="AC37" s="37">
        <f t="shared" si="21"/>
        <v>0</v>
      </c>
      <c r="AE37" s="24"/>
    </row>
    <row r="38" spans="1:31" s="28" customFormat="1" ht="25.5" x14ac:dyDescent="0.25">
      <c r="A38" s="32" t="s">
        <v>76</v>
      </c>
      <c r="B38" s="9" t="s">
        <v>77</v>
      </c>
      <c r="C38" s="30">
        <v>21384</v>
      </c>
      <c r="D38" s="30"/>
      <c r="E38" s="30">
        <v>325</v>
      </c>
      <c r="F38" s="30">
        <v>838170</v>
      </c>
      <c r="G38" s="31">
        <v>191573</v>
      </c>
      <c r="H38" s="55">
        <v>300633</v>
      </c>
      <c r="I38" s="51">
        <v>474856</v>
      </c>
      <c r="J38" s="30">
        <v>212134</v>
      </c>
      <c r="K38" s="6">
        <f t="shared" si="44"/>
        <v>2039075</v>
      </c>
      <c r="L38" s="30">
        <v>21384</v>
      </c>
      <c r="M38" s="30"/>
      <c r="N38" s="30">
        <v>325</v>
      </c>
      <c r="O38" s="30">
        <v>838170</v>
      </c>
      <c r="P38" s="31">
        <v>191573</v>
      </c>
      <c r="Q38" s="30">
        <v>300633</v>
      </c>
      <c r="R38" s="21">
        <v>474856</v>
      </c>
      <c r="S38" s="30">
        <v>212134</v>
      </c>
      <c r="T38" s="6">
        <f t="shared" si="12"/>
        <v>2039075</v>
      </c>
      <c r="U38" s="3">
        <f t="shared" si="13"/>
        <v>0</v>
      </c>
      <c r="V38" s="3">
        <f t="shared" si="14"/>
        <v>0</v>
      </c>
      <c r="W38" s="3">
        <f t="shared" si="15"/>
        <v>0</v>
      </c>
      <c r="X38" s="3">
        <f t="shared" si="16"/>
        <v>0</v>
      </c>
      <c r="Y38" s="3">
        <f t="shared" si="17"/>
        <v>0</v>
      </c>
      <c r="Z38" s="3">
        <f t="shared" si="18"/>
        <v>0</v>
      </c>
      <c r="AA38" s="3">
        <f t="shared" si="19"/>
        <v>0</v>
      </c>
      <c r="AB38" s="3">
        <f t="shared" si="20"/>
        <v>0</v>
      </c>
      <c r="AC38" s="37">
        <f t="shared" si="21"/>
        <v>0</v>
      </c>
      <c r="AE38" s="24"/>
    </row>
    <row r="39" spans="1:31" s="28" customFormat="1" ht="25.5" x14ac:dyDescent="0.25">
      <c r="A39" s="32" t="s">
        <v>78</v>
      </c>
      <c r="B39" s="9" t="s">
        <v>12</v>
      </c>
      <c r="C39" s="30">
        <v>59934</v>
      </c>
      <c r="D39" s="30">
        <v>2443737</v>
      </c>
      <c r="E39" s="30">
        <v>21517</v>
      </c>
      <c r="F39" s="30">
        <v>986127</v>
      </c>
      <c r="G39" s="31">
        <v>455971</v>
      </c>
      <c r="H39" s="55">
        <v>19514</v>
      </c>
      <c r="I39" s="51">
        <v>674</v>
      </c>
      <c r="J39" s="30">
        <v>102115</v>
      </c>
      <c r="K39" s="6">
        <f t="shared" si="44"/>
        <v>4089589</v>
      </c>
      <c r="L39" s="30">
        <v>59934</v>
      </c>
      <c r="M39" s="30">
        <v>2443737</v>
      </c>
      <c r="N39" s="30">
        <v>21517</v>
      </c>
      <c r="O39" s="30">
        <v>986127</v>
      </c>
      <c r="P39" s="31">
        <v>455971</v>
      </c>
      <c r="Q39" s="30">
        <v>19514</v>
      </c>
      <c r="R39" s="21">
        <v>674</v>
      </c>
      <c r="S39" s="30">
        <v>102115</v>
      </c>
      <c r="T39" s="6">
        <f t="shared" si="12"/>
        <v>4089589</v>
      </c>
      <c r="U39" s="3">
        <f t="shared" si="13"/>
        <v>0</v>
      </c>
      <c r="V39" s="3">
        <f t="shared" si="14"/>
        <v>0</v>
      </c>
      <c r="W39" s="3">
        <f t="shared" si="15"/>
        <v>0</v>
      </c>
      <c r="X39" s="3">
        <f t="shared" si="16"/>
        <v>0</v>
      </c>
      <c r="Y39" s="3">
        <f t="shared" si="17"/>
        <v>0</v>
      </c>
      <c r="Z39" s="3">
        <f t="shared" si="18"/>
        <v>0</v>
      </c>
      <c r="AA39" s="3">
        <f t="shared" si="19"/>
        <v>0</v>
      </c>
      <c r="AB39" s="3">
        <f t="shared" si="20"/>
        <v>0</v>
      </c>
      <c r="AC39" s="37">
        <f t="shared" si="21"/>
        <v>0</v>
      </c>
      <c r="AE39" s="24"/>
    </row>
    <row r="40" spans="1:31" s="28" customFormat="1" x14ac:dyDescent="0.25">
      <c r="A40" s="32" t="s">
        <v>79</v>
      </c>
      <c r="B40" s="9" t="s">
        <v>80</v>
      </c>
      <c r="C40" s="30"/>
      <c r="D40" s="30"/>
      <c r="E40" s="30"/>
      <c r="F40" s="30"/>
      <c r="G40" s="31">
        <v>1956</v>
      </c>
      <c r="H40" s="55">
        <v>5130</v>
      </c>
      <c r="I40" s="51">
        <v>5982</v>
      </c>
      <c r="J40" s="30"/>
      <c r="K40" s="6">
        <f t="shared" si="44"/>
        <v>13068</v>
      </c>
      <c r="L40" s="30"/>
      <c r="M40" s="30"/>
      <c r="N40" s="30"/>
      <c r="O40" s="30"/>
      <c r="P40" s="31">
        <v>1956</v>
      </c>
      <c r="Q40" s="30">
        <v>5130</v>
      </c>
      <c r="R40" s="21">
        <v>5982</v>
      </c>
      <c r="S40" s="30"/>
      <c r="T40" s="6">
        <f t="shared" si="12"/>
        <v>13068</v>
      </c>
      <c r="U40" s="3">
        <f t="shared" si="13"/>
        <v>0</v>
      </c>
      <c r="V40" s="3">
        <f t="shared" si="14"/>
        <v>0</v>
      </c>
      <c r="W40" s="3">
        <f t="shared" si="15"/>
        <v>0</v>
      </c>
      <c r="X40" s="3">
        <f t="shared" si="16"/>
        <v>0</v>
      </c>
      <c r="Y40" s="3">
        <f t="shared" si="17"/>
        <v>0</v>
      </c>
      <c r="Z40" s="3">
        <f t="shared" si="18"/>
        <v>0</v>
      </c>
      <c r="AA40" s="3">
        <f t="shared" si="19"/>
        <v>0</v>
      </c>
      <c r="AB40" s="3">
        <f t="shared" si="20"/>
        <v>0</v>
      </c>
      <c r="AC40" s="37">
        <f t="shared" si="21"/>
        <v>0</v>
      </c>
      <c r="AE40" s="24"/>
    </row>
    <row r="41" spans="1:31" s="28" customFormat="1" ht="81.75" customHeight="1" x14ac:dyDescent="0.25">
      <c r="A41" s="32" t="s">
        <v>81</v>
      </c>
      <c r="B41" s="9" t="s">
        <v>82</v>
      </c>
      <c r="C41" s="30"/>
      <c r="D41" s="30"/>
      <c r="E41" s="30">
        <v>1305</v>
      </c>
      <c r="F41" s="30">
        <v>13979</v>
      </c>
      <c r="G41" s="31"/>
      <c r="H41" s="55"/>
      <c r="I41" s="51"/>
      <c r="J41" s="30">
        <v>14196</v>
      </c>
      <c r="K41" s="6">
        <f t="shared" si="44"/>
        <v>29480</v>
      </c>
      <c r="L41" s="30"/>
      <c r="M41" s="30"/>
      <c r="N41" s="30">
        <v>1305</v>
      </c>
      <c r="O41" s="30">
        <v>13979</v>
      </c>
      <c r="P41" s="31"/>
      <c r="Q41" s="30"/>
      <c r="R41" s="21"/>
      <c r="S41" s="30">
        <v>14196</v>
      </c>
      <c r="T41" s="6">
        <f t="shared" si="12"/>
        <v>29480</v>
      </c>
      <c r="U41" s="3">
        <f t="shared" si="13"/>
        <v>0</v>
      </c>
      <c r="V41" s="3">
        <f t="shared" si="14"/>
        <v>0</v>
      </c>
      <c r="W41" s="3">
        <f t="shared" si="15"/>
        <v>0</v>
      </c>
      <c r="X41" s="3">
        <f t="shared" si="16"/>
        <v>0</v>
      </c>
      <c r="Y41" s="3">
        <f t="shared" si="17"/>
        <v>0</v>
      </c>
      <c r="Z41" s="3">
        <f t="shared" si="18"/>
        <v>0</v>
      </c>
      <c r="AA41" s="3">
        <f t="shared" si="19"/>
        <v>0</v>
      </c>
      <c r="AB41" s="3">
        <f t="shared" si="20"/>
        <v>0</v>
      </c>
      <c r="AC41" s="37">
        <f t="shared" si="21"/>
        <v>0</v>
      </c>
      <c r="AE41" s="24"/>
    </row>
    <row r="42" spans="1:31" s="28" customFormat="1" x14ac:dyDescent="0.25">
      <c r="A42" s="32" t="s">
        <v>83</v>
      </c>
      <c r="B42" s="9" t="s">
        <v>84</v>
      </c>
      <c r="C42" s="30">
        <v>386426</v>
      </c>
      <c r="D42" s="30">
        <v>114384</v>
      </c>
      <c r="E42" s="30"/>
      <c r="F42" s="30">
        <v>86182</v>
      </c>
      <c r="G42" s="31">
        <v>393275</v>
      </c>
      <c r="H42" s="55"/>
      <c r="I42" s="51"/>
      <c r="J42" s="30"/>
      <c r="K42" s="6">
        <f t="shared" si="44"/>
        <v>980267</v>
      </c>
      <c r="L42" s="30">
        <v>386426</v>
      </c>
      <c r="M42" s="30">
        <v>114384</v>
      </c>
      <c r="N42" s="30"/>
      <c r="O42" s="30">
        <v>86182</v>
      </c>
      <c r="P42" s="31">
        <v>393275</v>
      </c>
      <c r="Q42" s="30"/>
      <c r="R42" s="21"/>
      <c r="S42" s="30"/>
      <c r="T42" s="6">
        <f t="shared" si="12"/>
        <v>980267</v>
      </c>
      <c r="U42" s="3">
        <f t="shared" si="13"/>
        <v>0</v>
      </c>
      <c r="V42" s="3">
        <f t="shared" si="14"/>
        <v>0</v>
      </c>
      <c r="W42" s="3">
        <f t="shared" si="15"/>
        <v>0</v>
      </c>
      <c r="X42" s="3">
        <f t="shared" si="16"/>
        <v>0</v>
      </c>
      <c r="Y42" s="3">
        <f t="shared" si="17"/>
        <v>0</v>
      </c>
      <c r="Z42" s="3">
        <f t="shared" si="18"/>
        <v>0</v>
      </c>
      <c r="AA42" s="3">
        <f t="shared" si="19"/>
        <v>0</v>
      </c>
      <c r="AB42" s="3">
        <f t="shared" si="20"/>
        <v>0</v>
      </c>
      <c r="AC42" s="37">
        <f t="shared" si="21"/>
        <v>0</v>
      </c>
      <c r="AE42" s="24"/>
    </row>
    <row r="43" spans="1:31" s="28" customFormat="1" ht="25.5" x14ac:dyDescent="0.25">
      <c r="A43" s="32" t="s">
        <v>85</v>
      </c>
      <c r="B43" s="9" t="s">
        <v>86</v>
      </c>
      <c r="C43" s="30"/>
      <c r="D43" s="30"/>
      <c r="E43" s="30"/>
      <c r="F43" s="30">
        <v>541915</v>
      </c>
      <c r="G43" s="31"/>
      <c r="H43" s="55">
        <v>381453</v>
      </c>
      <c r="I43" s="51">
        <v>816855</v>
      </c>
      <c r="J43" s="30">
        <v>968351</v>
      </c>
      <c r="K43" s="6">
        <f t="shared" si="44"/>
        <v>2708574</v>
      </c>
      <c r="L43" s="30"/>
      <c r="M43" s="30"/>
      <c r="N43" s="30"/>
      <c r="O43" s="30">
        <v>541915</v>
      </c>
      <c r="P43" s="31"/>
      <c r="Q43" s="30">
        <v>381453</v>
      </c>
      <c r="R43" s="21">
        <v>816855</v>
      </c>
      <c r="S43" s="30">
        <v>968351</v>
      </c>
      <c r="T43" s="6">
        <f t="shared" si="12"/>
        <v>2708574</v>
      </c>
      <c r="U43" s="3">
        <f t="shared" si="13"/>
        <v>0</v>
      </c>
      <c r="V43" s="3">
        <f t="shared" si="14"/>
        <v>0</v>
      </c>
      <c r="W43" s="3">
        <f t="shared" si="15"/>
        <v>0</v>
      </c>
      <c r="X43" s="3">
        <f t="shared" si="16"/>
        <v>0</v>
      </c>
      <c r="Y43" s="3">
        <f t="shared" si="17"/>
        <v>0</v>
      </c>
      <c r="Z43" s="3">
        <f t="shared" si="18"/>
        <v>0</v>
      </c>
      <c r="AA43" s="3">
        <f t="shared" si="19"/>
        <v>0</v>
      </c>
      <c r="AB43" s="3">
        <f t="shared" si="20"/>
        <v>0</v>
      </c>
      <c r="AC43" s="37">
        <f t="shared" si="21"/>
        <v>0</v>
      </c>
      <c r="AE43" s="24"/>
    </row>
    <row r="44" spans="1:31" s="28" customFormat="1" ht="38.25" x14ac:dyDescent="0.25">
      <c r="A44" s="32" t="s">
        <v>87</v>
      </c>
      <c r="B44" s="9" t="s">
        <v>88</v>
      </c>
      <c r="C44" s="30"/>
      <c r="D44" s="30"/>
      <c r="E44" s="30"/>
      <c r="F44" s="30">
        <v>44746</v>
      </c>
      <c r="G44" s="31"/>
      <c r="H44" s="55">
        <v>98779</v>
      </c>
      <c r="I44" s="51">
        <v>119895</v>
      </c>
      <c r="J44" s="30">
        <v>74740</v>
      </c>
      <c r="K44" s="6">
        <f t="shared" si="44"/>
        <v>338160</v>
      </c>
      <c r="L44" s="30"/>
      <c r="M44" s="30"/>
      <c r="N44" s="30"/>
      <c r="O44" s="30">
        <v>44746</v>
      </c>
      <c r="P44" s="31"/>
      <c r="Q44" s="30">
        <v>98779</v>
      </c>
      <c r="R44" s="21">
        <v>119895</v>
      </c>
      <c r="S44" s="30">
        <v>74740</v>
      </c>
      <c r="T44" s="6">
        <f t="shared" si="12"/>
        <v>338160</v>
      </c>
      <c r="U44" s="3">
        <f t="shared" si="13"/>
        <v>0</v>
      </c>
      <c r="V44" s="3">
        <f t="shared" si="14"/>
        <v>0</v>
      </c>
      <c r="W44" s="3">
        <f t="shared" si="15"/>
        <v>0</v>
      </c>
      <c r="X44" s="3">
        <f t="shared" si="16"/>
        <v>0</v>
      </c>
      <c r="Y44" s="3">
        <f t="shared" si="17"/>
        <v>0</v>
      </c>
      <c r="Z44" s="3">
        <f t="shared" si="18"/>
        <v>0</v>
      </c>
      <c r="AA44" s="3">
        <f t="shared" si="19"/>
        <v>0</v>
      </c>
      <c r="AB44" s="3">
        <f t="shared" si="20"/>
        <v>0</v>
      </c>
      <c r="AC44" s="37">
        <f t="shared" si="21"/>
        <v>0</v>
      </c>
      <c r="AE44" s="24"/>
    </row>
    <row r="45" spans="1:31" s="28" customFormat="1" ht="38.25" x14ac:dyDescent="0.25">
      <c r="A45" s="32" t="s">
        <v>89</v>
      </c>
      <c r="B45" s="9" t="s">
        <v>90</v>
      </c>
      <c r="C45" s="30">
        <v>59268</v>
      </c>
      <c r="D45" s="30"/>
      <c r="E45" s="30">
        <v>143216</v>
      </c>
      <c r="F45" s="30">
        <v>152810</v>
      </c>
      <c r="G45" s="31">
        <v>154344</v>
      </c>
      <c r="H45" s="55">
        <v>30350</v>
      </c>
      <c r="I45" s="51">
        <v>91324</v>
      </c>
      <c r="J45" s="30">
        <v>264987</v>
      </c>
      <c r="K45" s="6">
        <f t="shared" si="44"/>
        <v>896299</v>
      </c>
      <c r="L45" s="30">
        <v>59268</v>
      </c>
      <c r="M45" s="30"/>
      <c r="N45" s="30">
        <v>143216</v>
      </c>
      <c r="O45" s="30">
        <v>152810</v>
      </c>
      <c r="P45" s="31">
        <v>154344</v>
      </c>
      <c r="Q45" s="30">
        <v>30350</v>
      </c>
      <c r="R45" s="21">
        <v>91324</v>
      </c>
      <c r="S45" s="30">
        <v>264987</v>
      </c>
      <c r="T45" s="6">
        <f t="shared" si="12"/>
        <v>896299</v>
      </c>
      <c r="U45" s="3">
        <f t="shared" si="13"/>
        <v>0</v>
      </c>
      <c r="V45" s="3">
        <f t="shared" si="14"/>
        <v>0</v>
      </c>
      <c r="W45" s="3">
        <f t="shared" si="15"/>
        <v>0</v>
      </c>
      <c r="X45" s="3">
        <f t="shared" si="16"/>
        <v>0</v>
      </c>
      <c r="Y45" s="3">
        <f t="shared" si="17"/>
        <v>0</v>
      </c>
      <c r="Z45" s="3">
        <f t="shared" si="18"/>
        <v>0</v>
      </c>
      <c r="AA45" s="3">
        <f t="shared" si="19"/>
        <v>0</v>
      </c>
      <c r="AB45" s="3">
        <f t="shared" si="20"/>
        <v>0</v>
      </c>
      <c r="AC45" s="37">
        <f t="shared" si="21"/>
        <v>0</v>
      </c>
      <c r="AE45" s="24"/>
    </row>
    <row r="46" spans="1:31" s="28" customFormat="1" ht="15.75" x14ac:dyDescent="0.25">
      <c r="A46" s="32" t="s">
        <v>91</v>
      </c>
      <c r="B46" s="9" t="s">
        <v>92</v>
      </c>
      <c r="C46" s="30"/>
      <c r="D46" s="30"/>
      <c r="E46" s="30">
        <v>458635</v>
      </c>
      <c r="F46" s="30"/>
      <c r="G46" s="31"/>
      <c r="H46" s="56">
        <v>128800</v>
      </c>
      <c r="I46" s="51">
        <v>71799</v>
      </c>
      <c r="J46" s="30"/>
      <c r="K46" s="6">
        <f t="shared" si="44"/>
        <v>659234</v>
      </c>
      <c r="L46" s="30"/>
      <c r="M46" s="30"/>
      <c r="N46" s="30">
        <v>458635</v>
      </c>
      <c r="O46" s="30"/>
      <c r="P46" s="31"/>
      <c r="Q46" s="46">
        <v>128800</v>
      </c>
      <c r="R46" s="21">
        <v>71799</v>
      </c>
      <c r="S46" s="30"/>
      <c r="T46" s="6">
        <f t="shared" si="12"/>
        <v>659234</v>
      </c>
      <c r="U46" s="3">
        <f t="shared" si="13"/>
        <v>0</v>
      </c>
      <c r="V46" s="3">
        <f t="shared" si="14"/>
        <v>0</v>
      </c>
      <c r="W46" s="3">
        <f t="shared" si="15"/>
        <v>0</v>
      </c>
      <c r="X46" s="3">
        <f t="shared" si="16"/>
        <v>0</v>
      </c>
      <c r="Y46" s="3">
        <f t="shared" si="17"/>
        <v>0</v>
      </c>
      <c r="Z46" s="3">
        <f t="shared" si="18"/>
        <v>0</v>
      </c>
      <c r="AA46" s="3">
        <f t="shared" si="19"/>
        <v>0</v>
      </c>
      <c r="AB46" s="3">
        <f t="shared" si="20"/>
        <v>0</v>
      </c>
      <c r="AC46" s="37">
        <f t="shared" si="21"/>
        <v>0</v>
      </c>
      <c r="AE46" s="24"/>
    </row>
    <row r="47" spans="1:31" s="28" customFormat="1" ht="15.75" x14ac:dyDescent="0.25">
      <c r="A47" s="32" t="s">
        <v>93</v>
      </c>
      <c r="B47" s="9" t="s">
        <v>94</v>
      </c>
      <c r="C47" s="30"/>
      <c r="D47" s="30"/>
      <c r="E47" s="30">
        <v>419938</v>
      </c>
      <c r="F47" s="30"/>
      <c r="G47" s="31"/>
      <c r="H47" s="56">
        <v>119559</v>
      </c>
      <c r="I47" s="51">
        <v>64350</v>
      </c>
      <c r="J47" s="30"/>
      <c r="K47" s="6">
        <f t="shared" si="44"/>
        <v>603847</v>
      </c>
      <c r="L47" s="30"/>
      <c r="M47" s="30"/>
      <c r="N47" s="30">
        <v>419938</v>
      </c>
      <c r="O47" s="30"/>
      <c r="P47" s="31"/>
      <c r="Q47" s="46">
        <v>119559</v>
      </c>
      <c r="R47" s="21">
        <v>64350</v>
      </c>
      <c r="S47" s="30"/>
      <c r="T47" s="6">
        <f t="shared" si="12"/>
        <v>603847</v>
      </c>
      <c r="U47" s="3">
        <f t="shared" si="13"/>
        <v>0</v>
      </c>
      <c r="V47" s="3">
        <f t="shared" si="14"/>
        <v>0</v>
      </c>
      <c r="W47" s="3">
        <f t="shared" si="15"/>
        <v>0</v>
      </c>
      <c r="X47" s="3">
        <f t="shared" si="16"/>
        <v>0</v>
      </c>
      <c r="Y47" s="3">
        <f t="shared" si="17"/>
        <v>0</v>
      </c>
      <c r="Z47" s="3">
        <f t="shared" si="18"/>
        <v>0</v>
      </c>
      <c r="AA47" s="3">
        <f t="shared" si="19"/>
        <v>0</v>
      </c>
      <c r="AB47" s="3">
        <f t="shared" si="20"/>
        <v>0</v>
      </c>
      <c r="AC47" s="37">
        <f t="shared" si="21"/>
        <v>0</v>
      </c>
      <c r="AE47" s="24"/>
    </row>
    <row r="48" spans="1:31" s="28" customFormat="1" x14ac:dyDescent="0.25">
      <c r="A48" s="32" t="s">
        <v>95</v>
      </c>
      <c r="B48" s="9" t="s">
        <v>96</v>
      </c>
      <c r="C48" s="30">
        <v>1871711</v>
      </c>
      <c r="D48" s="30">
        <v>220199</v>
      </c>
      <c r="E48" s="30">
        <v>893342</v>
      </c>
      <c r="F48" s="30">
        <v>553359</v>
      </c>
      <c r="G48" s="31">
        <v>2586855</v>
      </c>
      <c r="H48" s="55">
        <v>419398</v>
      </c>
      <c r="I48" s="51">
        <v>619576</v>
      </c>
      <c r="J48" s="30">
        <v>290507</v>
      </c>
      <c r="K48" s="6">
        <f t="shared" si="44"/>
        <v>7454947</v>
      </c>
      <c r="L48" s="30">
        <v>1871711</v>
      </c>
      <c r="M48" s="30">
        <v>220199</v>
      </c>
      <c r="N48" s="30">
        <v>893342</v>
      </c>
      <c r="O48" s="30">
        <v>553359</v>
      </c>
      <c r="P48" s="31">
        <v>2586855</v>
      </c>
      <c r="Q48" s="30">
        <v>419398</v>
      </c>
      <c r="R48" s="21">
        <v>619576</v>
      </c>
      <c r="S48" s="30">
        <v>290507</v>
      </c>
      <c r="T48" s="6">
        <f t="shared" si="12"/>
        <v>7454947</v>
      </c>
      <c r="U48" s="3">
        <f t="shared" si="13"/>
        <v>0</v>
      </c>
      <c r="V48" s="3">
        <f t="shared" si="14"/>
        <v>0</v>
      </c>
      <c r="W48" s="3">
        <f t="shared" si="15"/>
        <v>0</v>
      </c>
      <c r="X48" s="3">
        <f t="shared" si="16"/>
        <v>0</v>
      </c>
      <c r="Y48" s="3">
        <f t="shared" si="17"/>
        <v>0</v>
      </c>
      <c r="Z48" s="3">
        <f t="shared" si="18"/>
        <v>0</v>
      </c>
      <c r="AA48" s="3">
        <f t="shared" si="19"/>
        <v>0</v>
      </c>
      <c r="AB48" s="3">
        <f t="shared" si="20"/>
        <v>0</v>
      </c>
      <c r="AC48" s="37">
        <f t="shared" si="21"/>
        <v>0</v>
      </c>
      <c r="AE48" s="24"/>
    </row>
    <row r="49" spans="1:31" s="28" customFormat="1" x14ac:dyDescent="0.25">
      <c r="A49" s="32" t="s">
        <v>97</v>
      </c>
      <c r="B49" s="9" t="s">
        <v>98</v>
      </c>
      <c r="C49" s="30">
        <v>676041</v>
      </c>
      <c r="D49" s="30">
        <v>1192582</v>
      </c>
      <c r="E49" s="30">
        <v>139830</v>
      </c>
      <c r="F49" s="30">
        <v>262325</v>
      </c>
      <c r="G49" s="31">
        <v>157567</v>
      </c>
      <c r="H49" s="55">
        <v>236882</v>
      </c>
      <c r="I49" s="51">
        <v>662355</v>
      </c>
      <c r="J49" s="30">
        <v>457720</v>
      </c>
      <c r="K49" s="6">
        <f t="shared" si="44"/>
        <v>3785302</v>
      </c>
      <c r="L49" s="30">
        <v>676041</v>
      </c>
      <c r="M49" s="30">
        <v>1192582</v>
      </c>
      <c r="N49" s="30">
        <v>139830</v>
      </c>
      <c r="O49" s="30">
        <v>262325</v>
      </c>
      <c r="P49" s="31">
        <v>157567</v>
      </c>
      <c r="Q49" s="30">
        <v>236882</v>
      </c>
      <c r="R49" s="21">
        <v>662355</v>
      </c>
      <c r="S49" s="30">
        <v>457720</v>
      </c>
      <c r="T49" s="6">
        <f t="shared" si="12"/>
        <v>3785302</v>
      </c>
      <c r="U49" s="3">
        <f t="shared" si="13"/>
        <v>0</v>
      </c>
      <c r="V49" s="3">
        <f t="shared" si="14"/>
        <v>0</v>
      </c>
      <c r="W49" s="3">
        <f t="shared" si="15"/>
        <v>0</v>
      </c>
      <c r="X49" s="3">
        <f t="shared" si="16"/>
        <v>0</v>
      </c>
      <c r="Y49" s="3">
        <f t="shared" si="17"/>
        <v>0</v>
      </c>
      <c r="Z49" s="3">
        <f t="shared" si="18"/>
        <v>0</v>
      </c>
      <c r="AA49" s="3">
        <f t="shared" si="19"/>
        <v>0</v>
      </c>
      <c r="AB49" s="3">
        <f t="shared" si="20"/>
        <v>0</v>
      </c>
      <c r="AC49" s="37">
        <f t="shared" si="21"/>
        <v>0</v>
      </c>
      <c r="AE49" s="24"/>
    </row>
    <row r="50" spans="1:31" s="28" customFormat="1" x14ac:dyDescent="0.25">
      <c r="A50" s="32" t="s">
        <v>99</v>
      </c>
      <c r="B50" s="10" t="s">
        <v>105</v>
      </c>
      <c r="C50" s="30">
        <v>346001</v>
      </c>
      <c r="D50" s="30">
        <v>83605</v>
      </c>
      <c r="E50" s="30">
        <v>203927</v>
      </c>
      <c r="F50" s="30">
        <v>62</v>
      </c>
      <c r="G50" s="30">
        <v>20930</v>
      </c>
      <c r="H50" s="55">
        <v>0</v>
      </c>
      <c r="I50" s="51">
        <v>0</v>
      </c>
      <c r="J50" s="30">
        <v>564725</v>
      </c>
      <c r="K50" s="6">
        <f t="shared" si="44"/>
        <v>1219250</v>
      </c>
      <c r="L50" s="30">
        <v>346001</v>
      </c>
      <c r="M50" s="30">
        <v>83605</v>
      </c>
      <c r="N50" s="30">
        <v>203927</v>
      </c>
      <c r="O50" s="30">
        <v>62</v>
      </c>
      <c r="P50" s="30">
        <v>20930</v>
      </c>
      <c r="Q50" s="30">
        <v>0</v>
      </c>
      <c r="R50" s="21">
        <v>0</v>
      </c>
      <c r="S50" s="30">
        <v>564725</v>
      </c>
      <c r="T50" s="30">
        <f>SUM(L50:S50)</f>
        <v>1219250</v>
      </c>
      <c r="U50" s="3">
        <f t="shared" si="13"/>
        <v>0</v>
      </c>
      <c r="V50" s="3">
        <f t="shared" si="14"/>
        <v>0</v>
      </c>
      <c r="W50" s="3">
        <f t="shared" si="15"/>
        <v>0</v>
      </c>
      <c r="X50" s="3">
        <f t="shared" si="16"/>
        <v>0</v>
      </c>
      <c r="Y50" s="3">
        <f t="shared" si="17"/>
        <v>0</v>
      </c>
      <c r="Z50" s="3">
        <f t="shared" si="18"/>
        <v>0</v>
      </c>
      <c r="AA50" s="3">
        <f t="shared" si="19"/>
        <v>0</v>
      </c>
      <c r="AB50" s="3">
        <f t="shared" si="20"/>
        <v>0</v>
      </c>
      <c r="AC50" s="37">
        <f t="shared" si="21"/>
        <v>0</v>
      </c>
      <c r="AE50" s="24"/>
    </row>
    <row r="51" spans="1:31" s="28" customFormat="1" x14ac:dyDescent="0.25">
      <c r="A51" s="32" t="s">
        <v>101</v>
      </c>
      <c r="B51" s="11" t="s">
        <v>102</v>
      </c>
      <c r="C51" s="30"/>
      <c r="D51" s="30">
        <v>28828</v>
      </c>
      <c r="E51" s="30">
        <v>1</v>
      </c>
      <c r="F51" s="30"/>
      <c r="G51" s="31">
        <v>20930</v>
      </c>
      <c r="H51" s="55"/>
      <c r="I51" s="51"/>
      <c r="J51" s="30"/>
      <c r="K51" s="6">
        <f t="shared" si="44"/>
        <v>49759</v>
      </c>
      <c r="L51" s="30"/>
      <c r="M51" s="30">
        <v>28828</v>
      </c>
      <c r="N51" s="30">
        <v>1</v>
      </c>
      <c r="O51" s="30"/>
      <c r="P51" s="31">
        <v>20930</v>
      </c>
      <c r="Q51" s="30"/>
      <c r="R51" s="21"/>
      <c r="S51" s="30"/>
      <c r="T51" s="6">
        <f t="shared" si="12"/>
        <v>49759</v>
      </c>
      <c r="U51" s="3">
        <f t="shared" si="13"/>
        <v>0</v>
      </c>
      <c r="V51" s="3">
        <f t="shared" si="14"/>
        <v>0</v>
      </c>
      <c r="W51" s="3">
        <f t="shared" si="15"/>
        <v>0</v>
      </c>
      <c r="X51" s="3">
        <f t="shared" si="16"/>
        <v>0</v>
      </c>
      <c r="Y51" s="3">
        <f t="shared" si="17"/>
        <v>0</v>
      </c>
      <c r="Z51" s="3">
        <f t="shared" si="18"/>
        <v>0</v>
      </c>
      <c r="AA51" s="3">
        <f t="shared" si="19"/>
        <v>0</v>
      </c>
      <c r="AB51" s="3">
        <f t="shared" si="20"/>
        <v>0</v>
      </c>
      <c r="AC51" s="37">
        <f t="shared" si="21"/>
        <v>0</v>
      </c>
      <c r="AE51" s="24"/>
    </row>
    <row r="52" spans="1:31" s="28" customFormat="1" ht="25.5" x14ac:dyDescent="0.25">
      <c r="A52" s="32" t="s">
        <v>103</v>
      </c>
      <c r="B52" s="11" t="s">
        <v>104</v>
      </c>
      <c r="C52" s="30">
        <v>346001</v>
      </c>
      <c r="D52" s="30"/>
      <c r="E52" s="30"/>
      <c r="F52" s="30"/>
      <c r="G52" s="31"/>
      <c r="H52" s="55"/>
      <c r="I52" s="51"/>
      <c r="J52" s="30"/>
      <c r="K52" s="6">
        <f t="shared" si="44"/>
        <v>346001</v>
      </c>
      <c r="L52" s="30">
        <v>346001</v>
      </c>
      <c r="M52" s="30"/>
      <c r="N52" s="30"/>
      <c r="O52" s="30"/>
      <c r="P52" s="31"/>
      <c r="Q52" s="30"/>
      <c r="R52" s="21"/>
      <c r="S52" s="30"/>
      <c r="T52" s="6">
        <f t="shared" si="12"/>
        <v>346001</v>
      </c>
      <c r="U52" s="3">
        <f t="shared" si="13"/>
        <v>0</v>
      </c>
      <c r="V52" s="3">
        <f t="shared" si="14"/>
        <v>0</v>
      </c>
      <c r="W52" s="3">
        <f t="shared" si="15"/>
        <v>0</v>
      </c>
      <c r="X52" s="3">
        <f t="shared" si="16"/>
        <v>0</v>
      </c>
      <c r="Y52" s="3">
        <f t="shared" si="17"/>
        <v>0</v>
      </c>
      <c r="Z52" s="3">
        <f t="shared" si="18"/>
        <v>0</v>
      </c>
      <c r="AA52" s="3">
        <f t="shared" si="19"/>
        <v>0</v>
      </c>
      <c r="AB52" s="3">
        <f t="shared" si="20"/>
        <v>0</v>
      </c>
      <c r="AC52" s="37">
        <f t="shared" si="21"/>
        <v>0</v>
      </c>
      <c r="AE52" s="24"/>
    </row>
    <row r="53" spans="1:31" s="24" customFormat="1" x14ac:dyDescent="0.25">
      <c r="A53" s="20" t="s">
        <v>29</v>
      </c>
      <c r="B53" s="2" t="s">
        <v>52</v>
      </c>
      <c r="C53" s="8">
        <f>SUM(C54+C55+C57)</f>
        <v>31362757</v>
      </c>
      <c r="D53" s="8">
        <f t="shared" ref="D53:J53" si="55">SUM(D54+D55+D57)</f>
        <v>1017129</v>
      </c>
      <c r="E53" s="8">
        <f t="shared" si="55"/>
        <v>38767161</v>
      </c>
      <c r="F53" s="8">
        <f t="shared" si="55"/>
        <v>25300892</v>
      </c>
      <c r="G53" s="8">
        <f t="shared" si="55"/>
        <v>17666702</v>
      </c>
      <c r="H53" s="53">
        <f t="shared" si="55"/>
        <v>27927412</v>
      </c>
      <c r="I53" s="53">
        <f t="shared" si="55"/>
        <v>16355935</v>
      </c>
      <c r="J53" s="8">
        <f t="shared" si="55"/>
        <v>13634161</v>
      </c>
      <c r="K53" s="8">
        <f t="shared" si="44"/>
        <v>172032149</v>
      </c>
      <c r="L53" s="8">
        <f>SUM(L54+L55+L57)</f>
        <v>31362757</v>
      </c>
      <c r="M53" s="8">
        <f t="shared" ref="M53:S53" si="56">SUM(M54+M55+M57)</f>
        <v>1017129</v>
      </c>
      <c r="N53" s="8">
        <f t="shared" si="56"/>
        <v>38767161</v>
      </c>
      <c r="O53" s="8">
        <f t="shared" si="56"/>
        <v>25300892</v>
      </c>
      <c r="P53" s="8">
        <f t="shared" si="56"/>
        <v>17666702</v>
      </c>
      <c r="Q53" s="8">
        <f t="shared" si="56"/>
        <v>27927412</v>
      </c>
      <c r="R53" s="8">
        <f t="shared" si="56"/>
        <v>16355935</v>
      </c>
      <c r="S53" s="8">
        <f t="shared" si="56"/>
        <v>13634161</v>
      </c>
      <c r="T53" s="8">
        <f t="shared" si="12"/>
        <v>172032149</v>
      </c>
      <c r="U53" s="3">
        <f t="shared" si="13"/>
        <v>0</v>
      </c>
      <c r="V53" s="3">
        <f t="shared" si="14"/>
        <v>0</v>
      </c>
      <c r="W53" s="3">
        <f t="shared" si="15"/>
        <v>0</v>
      </c>
      <c r="X53" s="3">
        <f t="shared" si="16"/>
        <v>0</v>
      </c>
      <c r="Y53" s="3">
        <f t="shared" si="17"/>
        <v>0</v>
      </c>
      <c r="Z53" s="3">
        <f t="shared" si="18"/>
        <v>0</v>
      </c>
      <c r="AA53" s="3">
        <f t="shared" si="19"/>
        <v>0</v>
      </c>
      <c r="AB53" s="3">
        <f t="shared" si="20"/>
        <v>0</v>
      </c>
      <c r="AC53" s="37">
        <f t="shared" si="21"/>
        <v>0</v>
      </c>
    </row>
    <row r="54" spans="1:31" ht="25.5" x14ac:dyDescent="0.2">
      <c r="A54" s="25" t="s">
        <v>32</v>
      </c>
      <c r="B54" s="5" t="s">
        <v>53</v>
      </c>
      <c r="C54" s="6">
        <v>1345528</v>
      </c>
      <c r="D54" s="6">
        <v>61566</v>
      </c>
      <c r="E54" s="6">
        <f>1028160</f>
        <v>1028160</v>
      </c>
      <c r="F54" s="6">
        <v>684482</v>
      </c>
      <c r="G54" s="26">
        <v>447982</v>
      </c>
      <c r="H54" s="54">
        <v>657490</v>
      </c>
      <c r="I54" s="53">
        <v>463210</v>
      </c>
      <c r="J54" s="6">
        <v>433327</v>
      </c>
      <c r="K54" s="6">
        <f t="shared" si="44"/>
        <v>5121745</v>
      </c>
      <c r="L54" s="6">
        <v>1345528</v>
      </c>
      <c r="M54" s="6">
        <v>61566</v>
      </c>
      <c r="N54" s="6">
        <f>1028160</f>
        <v>1028160</v>
      </c>
      <c r="O54" s="6">
        <v>684482</v>
      </c>
      <c r="P54" s="26">
        <v>447982</v>
      </c>
      <c r="Q54" s="6">
        <v>657490</v>
      </c>
      <c r="R54" s="8">
        <v>463210</v>
      </c>
      <c r="S54" s="6">
        <v>433327</v>
      </c>
      <c r="T54" s="6">
        <f t="shared" si="12"/>
        <v>5121745</v>
      </c>
      <c r="U54" s="3">
        <f t="shared" si="13"/>
        <v>0</v>
      </c>
      <c r="V54" s="3">
        <f t="shared" si="14"/>
        <v>0</v>
      </c>
      <c r="W54" s="3">
        <f t="shared" si="15"/>
        <v>0</v>
      </c>
      <c r="X54" s="3">
        <f t="shared" si="16"/>
        <v>0</v>
      </c>
      <c r="Y54" s="3">
        <f t="shared" si="17"/>
        <v>0</v>
      </c>
      <c r="Z54" s="3">
        <f t="shared" si="18"/>
        <v>0</v>
      </c>
      <c r="AA54" s="3">
        <f t="shared" si="19"/>
        <v>0</v>
      </c>
      <c r="AB54" s="3">
        <f t="shared" si="20"/>
        <v>0</v>
      </c>
      <c r="AC54" s="37">
        <f t="shared" si="21"/>
        <v>0</v>
      </c>
      <c r="AE54" s="24"/>
    </row>
    <row r="55" spans="1:31" ht="25.5" x14ac:dyDescent="0.2">
      <c r="A55" s="25" t="s">
        <v>33</v>
      </c>
      <c r="B55" s="5" t="s">
        <v>65</v>
      </c>
      <c r="C55" s="6">
        <v>3999587</v>
      </c>
      <c r="D55" s="6"/>
      <c r="E55" s="6"/>
      <c r="F55" s="6"/>
      <c r="G55" s="26"/>
      <c r="H55" s="54"/>
      <c r="I55" s="53"/>
      <c r="J55" s="6"/>
      <c r="K55" s="6">
        <f t="shared" si="44"/>
        <v>3999587</v>
      </c>
      <c r="L55" s="6">
        <v>3999587</v>
      </c>
      <c r="M55" s="6"/>
      <c r="N55" s="6"/>
      <c r="O55" s="6"/>
      <c r="P55" s="26"/>
      <c r="Q55" s="6"/>
      <c r="R55" s="8"/>
      <c r="S55" s="6"/>
      <c r="T55" s="6">
        <f t="shared" si="12"/>
        <v>3999587</v>
      </c>
      <c r="U55" s="3">
        <f t="shared" si="13"/>
        <v>0</v>
      </c>
      <c r="V55" s="3">
        <f t="shared" si="14"/>
        <v>0</v>
      </c>
      <c r="W55" s="3">
        <f t="shared" si="15"/>
        <v>0</v>
      </c>
      <c r="X55" s="3">
        <f t="shared" si="16"/>
        <v>0</v>
      </c>
      <c r="Y55" s="3">
        <f t="shared" si="17"/>
        <v>0</v>
      </c>
      <c r="Z55" s="3">
        <f t="shared" si="18"/>
        <v>0</v>
      </c>
      <c r="AA55" s="3">
        <f t="shared" si="19"/>
        <v>0</v>
      </c>
      <c r="AB55" s="3">
        <f t="shared" si="20"/>
        <v>0</v>
      </c>
      <c r="AC55" s="37">
        <f t="shared" si="21"/>
        <v>0</v>
      </c>
      <c r="AE55" s="24"/>
    </row>
    <row r="56" spans="1:31" x14ac:dyDescent="0.2">
      <c r="A56" s="25" t="s">
        <v>35</v>
      </c>
      <c r="B56" s="5" t="s">
        <v>56</v>
      </c>
      <c r="C56" s="6">
        <v>3500000</v>
      </c>
      <c r="D56" s="6"/>
      <c r="E56" s="6"/>
      <c r="F56" s="6"/>
      <c r="G56" s="26"/>
      <c r="H56" s="54"/>
      <c r="I56" s="53"/>
      <c r="J56" s="6"/>
      <c r="K56" s="6">
        <f t="shared" si="44"/>
        <v>3500000</v>
      </c>
      <c r="L56" s="6">
        <v>3500000</v>
      </c>
      <c r="M56" s="6"/>
      <c r="N56" s="6"/>
      <c r="O56" s="6"/>
      <c r="P56" s="26"/>
      <c r="Q56" s="6"/>
      <c r="R56" s="8"/>
      <c r="S56" s="6"/>
      <c r="T56" s="6">
        <f t="shared" si="12"/>
        <v>3500000</v>
      </c>
      <c r="U56" s="3">
        <f t="shared" si="13"/>
        <v>0</v>
      </c>
      <c r="V56" s="3">
        <f t="shared" si="14"/>
        <v>0</v>
      </c>
      <c r="W56" s="3">
        <f t="shared" si="15"/>
        <v>0</v>
      </c>
      <c r="X56" s="3">
        <f t="shared" si="16"/>
        <v>0</v>
      </c>
      <c r="Y56" s="3">
        <f t="shared" si="17"/>
        <v>0</v>
      </c>
      <c r="Z56" s="3">
        <f t="shared" si="18"/>
        <v>0</v>
      </c>
      <c r="AA56" s="3">
        <f t="shared" si="19"/>
        <v>0</v>
      </c>
      <c r="AB56" s="3">
        <f t="shared" si="20"/>
        <v>0</v>
      </c>
      <c r="AC56" s="37">
        <f t="shared" si="21"/>
        <v>0</v>
      </c>
      <c r="AE56" s="24"/>
    </row>
    <row r="57" spans="1:31" ht="26.25" thickBot="1" x14ac:dyDescent="0.25">
      <c r="A57" s="33" t="s">
        <v>34</v>
      </c>
      <c r="B57" s="12" t="s">
        <v>54</v>
      </c>
      <c r="C57" s="34">
        <f>25797040+220602</f>
        <v>26017642</v>
      </c>
      <c r="D57" s="34">
        <f>948955+6608</f>
        <v>955563</v>
      </c>
      <c r="E57" s="34">
        <f>22784341+154660+14800000</f>
        <v>37739001</v>
      </c>
      <c r="F57" s="34">
        <f>24367407+249003</f>
        <v>24616410</v>
      </c>
      <c r="G57" s="35">
        <f>17038190+180530</f>
        <v>17218720</v>
      </c>
      <c r="H57" s="57">
        <f>26982676+287246</f>
        <v>27269922</v>
      </c>
      <c r="I57" s="58">
        <f>15727661+165064</f>
        <v>15892725</v>
      </c>
      <c r="J57" s="34">
        <f>13058547+142287</f>
        <v>13200834</v>
      </c>
      <c r="K57" s="34">
        <f t="shared" si="44"/>
        <v>162910817</v>
      </c>
      <c r="L57" s="34">
        <f>25797040+220602</f>
        <v>26017642</v>
      </c>
      <c r="M57" s="34">
        <f>948955+6608</f>
        <v>955563</v>
      </c>
      <c r="N57" s="34">
        <f>22784341+154660+14800000</f>
        <v>37739001</v>
      </c>
      <c r="O57" s="34">
        <f>24367407+249003</f>
        <v>24616410</v>
      </c>
      <c r="P57" s="35">
        <f>17038190+180530</f>
        <v>17218720</v>
      </c>
      <c r="Q57" s="34">
        <f>26982676+287246</f>
        <v>27269922</v>
      </c>
      <c r="R57" s="47">
        <f>15727661+165064</f>
        <v>15892725</v>
      </c>
      <c r="S57" s="34">
        <f>13058547+142287</f>
        <v>13200834</v>
      </c>
      <c r="T57" s="34">
        <f t="shared" si="12"/>
        <v>162910817</v>
      </c>
      <c r="U57" s="60">
        <f t="shared" si="13"/>
        <v>0</v>
      </c>
      <c r="V57" s="60">
        <f t="shared" si="14"/>
        <v>0</v>
      </c>
      <c r="W57" s="60">
        <f t="shared" si="15"/>
        <v>0</v>
      </c>
      <c r="X57" s="60">
        <f t="shared" si="16"/>
        <v>0</v>
      </c>
      <c r="Y57" s="60">
        <f t="shared" si="17"/>
        <v>0</v>
      </c>
      <c r="Z57" s="60">
        <f t="shared" si="18"/>
        <v>0</v>
      </c>
      <c r="AA57" s="60">
        <f t="shared" si="19"/>
        <v>0</v>
      </c>
      <c r="AB57" s="60">
        <f t="shared" si="20"/>
        <v>0</v>
      </c>
      <c r="AC57" s="61">
        <f t="shared" si="21"/>
        <v>0</v>
      </c>
      <c r="AE57" s="24"/>
    </row>
    <row r="58" spans="1:31" x14ac:dyDescent="0.2">
      <c r="G58" s="13"/>
      <c r="P58" s="13"/>
      <c r="Y58" s="13"/>
    </row>
    <row r="59" spans="1:31" x14ac:dyDescent="0.2">
      <c r="Y59" s="13"/>
    </row>
    <row r="61" spans="1:31" x14ac:dyDescent="0.2">
      <c r="Y61" s="13"/>
    </row>
    <row r="62" spans="1:31" x14ac:dyDescent="0.2">
      <c r="Y62" s="13"/>
    </row>
    <row r="64" spans="1:31" x14ac:dyDescent="0.2">
      <c r="Y64" s="13"/>
    </row>
  </sheetData>
  <mergeCells count="7">
    <mergeCell ref="C7:K7"/>
    <mergeCell ref="L7:T7"/>
    <mergeCell ref="U7:AC7"/>
    <mergeCell ref="C5:K5"/>
    <mergeCell ref="I1:K1"/>
    <mergeCell ref="I2:K2"/>
    <mergeCell ref="I3:K3"/>
  </mergeCells>
  <phoneticPr fontId="1" type="noConversion"/>
  <printOptions horizontalCentered="1"/>
  <pageMargins left="0.39370078740157483" right="0.39370078740157483" top="1.1811023622047245" bottom="0.39370078740157483" header="0" footer="0"/>
  <pageSetup paperSize="9" scale="75" firstPageNumber="182" fitToHeight="5" orientation="landscape" useFirstPageNumber="1" r:id="rId1"/>
  <headerFooter>
    <oddHeader>&amp;C&amp;P</oddHeader>
  </headerFooter>
  <colBreaks count="2" manualBreakCount="2">
    <brk id="11" max="56" man="1"/>
    <brk id="20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 к Приложению № 12</vt:lpstr>
      <vt:lpstr>'С к Приложению № 12'!Заголовки_для_печати</vt:lpstr>
      <vt:lpstr>'С к Приложению № 12'!Область_печати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2021-11-02T07:18:09Z</dcterms:modified>
</cp:coreProperties>
</file>