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С к Приложению № 2" sheetId="1" r:id="rId1"/>
  </sheets>
  <definedNames>
    <definedName name="_xlnm.Print_Titles" localSheetId="0">'С к Приложению № 2'!$A:$B,'С к Приложению № 2'!$7:$7</definedName>
    <definedName name="_xlnm.Print_Area" localSheetId="0">'С к Приложению № 2'!$A$1:$AC$88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65" i="1" l="1"/>
  <c r="AA64" i="1"/>
  <c r="AA65" i="1"/>
  <c r="Z64" i="1"/>
  <c r="Z65" i="1"/>
  <c r="Y64" i="1"/>
  <c r="Y65" i="1"/>
  <c r="X64" i="1"/>
  <c r="X65" i="1"/>
  <c r="W65" i="1"/>
  <c r="W64" i="1"/>
  <c r="V65" i="1"/>
  <c r="U64" i="1"/>
  <c r="U65" i="1"/>
  <c r="L85" i="1" l="1"/>
  <c r="P87" i="1" l="1"/>
  <c r="L87" i="1"/>
  <c r="L73" i="1"/>
  <c r="Q56" i="1"/>
  <c r="N56" i="1"/>
  <c r="M56" i="1"/>
  <c r="L56" i="1"/>
  <c r="L53" i="1"/>
  <c r="L54" i="1"/>
  <c r="Q46" i="1"/>
  <c r="Q45" i="1"/>
  <c r="P46" i="1"/>
  <c r="P45" i="1"/>
  <c r="N45" i="1"/>
  <c r="N46" i="1"/>
  <c r="M45" i="1"/>
  <c r="M46" i="1"/>
  <c r="L45" i="1"/>
  <c r="L46" i="1"/>
  <c r="N42" i="1"/>
  <c r="L42" i="1"/>
  <c r="S17" i="1"/>
  <c r="R14" i="1"/>
  <c r="Q15" i="1"/>
  <c r="Q16" i="1"/>
  <c r="Q17" i="1"/>
  <c r="P17" i="1"/>
  <c r="P11" i="1"/>
  <c r="O11" i="1"/>
  <c r="N17" i="1"/>
  <c r="N15" i="1"/>
  <c r="N11" i="1"/>
  <c r="L17" i="1"/>
  <c r="L16" i="1"/>
  <c r="Q87" i="1"/>
  <c r="L83" i="1"/>
  <c r="L79" i="1"/>
  <c r="L38" i="1"/>
  <c r="N87" i="1" l="1"/>
  <c r="S87" i="1" l="1"/>
  <c r="R87" i="1"/>
  <c r="O87" i="1"/>
  <c r="M87" i="1"/>
  <c r="T87" i="1" s="1"/>
  <c r="T86" i="1"/>
  <c r="T85" i="1"/>
  <c r="T83" i="1"/>
  <c r="T82" i="1"/>
  <c r="T81" i="1"/>
  <c r="T80" i="1"/>
  <c r="T79" i="1"/>
  <c r="T78" i="1"/>
  <c r="L77" i="1"/>
  <c r="T77" i="1" s="1"/>
  <c r="T75" i="1"/>
  <c r="T74" i="1"/>
  <c r="T73" i="1"/>
  <c r="T72" i="1"/>
  <c r="S71" i="1"/>
  <c r="R71" i="1"/>
  <c r="R67" i="1" s="1"/>
  <c r="Q71" i="1"/>
  <c r="P71" i="1"/>
  <c r="P67" i="1" s="1"/>
  <c r="O71" i="1"/>
  <c r="N71" i="1"/>
  <c r="N67" i="1" s="1"/>
  <c r="M71" i="1"/>
  <c r="L71" i="1"/>
  <c r="T71" i="1" s="1"/>
  <c r="T70" i="1"/>
  <c r="Q69" i="1"/>
  <c r="O69" i="1"/>
  <c r="N69" i="1"/>
  <c r="M69" i="1"/>
  <c r="L69" i="1"/>
  <c r="T69" i="1" s="1"/>
  <c r="Q68" i="1"/>
  <c r="O68" i="1"/>
  <c r="N68" i="1"/>
  <c r="M68" i="1"/>
  <c r="L68" i="1"/>
  <c r="S67" i="1"/>
  <c r="Q67" i="1"/>
  <c r="O67" i="1"/>
  <c r="M67" i="1"/>
  <c r="T65" i="1"/>
  <c r="AC65" i="1" s="1"/>
  <c r="T64" i="1"/>
  <c r="L63" i="1"/>
  <c r="S62" i="1"/>
  <c r="R62" i="1"/>
  <c r="Q62" i="1"/>
  <c r="P62" i="1"/>
  <c r="O62" i="1"/>
  <c r="N62" i="1"/>
  <c r="M62" i="1"/>
  <c r="L62" i="1"/>
  <c r="T61" i="1"/>
  <c r="T60" i="1"/>
  <c r="T58" i="1"/>
  <c r="T56" i="1"/>
  <c r="S54" i="1"/>
  <c r="T54" i="1"/>
  <c r="S53" i="1"/>
  <c r="T53" i="1"/>
  <c r="L51" i="1"/>
  <c r="T51" i="1" s="1"/>
  <c r="T50" i="1"/>
  <c r="P49" i="1"/>
  <c r="T49" i="1" s="1"/>
  <c r="T48" i="1"/>
  <c r="T47" i="1"/>
  <c r="T46" i="1"/>
  <c r="T45" i="1"/>
  <c r="S44" i="1"/>
  <c r="R44" i="1"/>
  <c r="Q44" i="1"/>
  <c r="P44" i="1"/>
  <c r="O44" i="1"/>
  <c r="N44" i="1"/>
  <c r="M44" i="1"/>
  <c r="L44" i="1"/>
  <c r="M42" i="1"/>
  <c r="T42" i="1" s="1"/>
  <c r="T41" i="1"/>
  <c r="S40" i="1"/>
  <c r="R40" i="1"/>
  <c r="Q40" i="1"/>
  <c r="P40" i="1"/>
  <c r="O40" i="1"/>
  <c r="N40" i="1"/>
  <c r="M40" i="1"/>
  <c r="L40" i="1"/>
  <c r="T40" i="1" s="1"/>
  <c r="T38" i="1"/>
  <c r="S37" i="1"/>
  <c r="S8" i="1" s="1"/>
  <c r="R37" i="1"/>
  <c r="Q37" i="1"/>
  <c r="Q8" i="1" s="1"/>
  <c r="P37" i="1"/>
  <c r="O37" i="1"/>
  <c r="O8" i="1" s="1"/>
  <c r="N37" i="1"/>
  <c r="M37" i="1"/>
  <c r="L37" i="1"/>
  <c r="T35" i="1"/>
  <c r="T34" i="1"/>
  <c r="T33" i="1"/>
  <c r="T32" i="1"/>
  <c r="T31" i="1"/>
  <c r="T30" i="1"/>
  <c r="T29" i="1"/>
  <c r="S28" i="1"/>
  <c r="R28" i="1"/>
  <c r="Q28" i="1"/>
  <c r="P28" i="1"/>
  <c r="O28" i="1"/>
  <c r="N28" i="1"/>
  <c r="M28" i="1"/>
  <c r="L28" i="1"/>
  <c r="T28" i="1" s="1"/>
  <c r="T27" i="1"/>
  <c r="T25" i="1"/>
  <c r="T23" i="1"/>
  <c r="T22" i="1"/>
  <c r="T21" i="1"/>
  <c r="T20" i="1"/>
  <c r="S19" i="1"/>
  <c r="R19" i="1"/>
  <c r="Q19" i="1"/>
  <c r="P19" i="1"/>
  <c r="O19" i="1"/>
  <c r="N19" i="1"/>
  <c r="M19" i="1"/>
  <c r="L19" i="1"/>
  <c r="T19" i="1" s="1"/>
  <c r="T18" i="1"/>
  <c r="R17" i="1"/>
  <c r="O17" i="1"/>
  <c r="M17" i="1"/>
  <c r="T17" i="1" s="1"/>
  <c r="T16" i="1"/>
  <c r="T15" i="1"/>
  <c r="T14" i="1"/>
  <c r="T13" i="1"/>
  <c r="Q12" i="1"/>
  <c r="O12" i="1"/>
  <c r="N12" i="1"/>
  <c r="M12" i="1"/>
  <c r="L12" i="1"/>
  <c r="T12" i="1" s="1"/>
  <c r="Q11" i="1"/>
  <c r="M11" i="1"/>
  <c r="M9" i="1" s="1"/>
  <c r="M8" i="1" s="1"/>
  <c r="L11" i="1"/>
  <c r="T10" i="1"/>
  <c r="S9" i="1"/>
  <c r="R9" i="1"/>
  <c r="Q9" i="1"/>
  <c r="P9" i="1"/>
  <c r="O9" i="1"/>
  <c r="N9" i="1"/>
  <c r="L9" i="1"/>
  <c r="R8" i="1"/>
  <c r="P8" i="1"/>
  <c r="N8" i="1"/>
  <c r="L8" i="1"/>
  <c r="J87" i="1"/>
  <c r="I87" i="1"/>
  <c r="H87" i="1"/>
  <c r="G87" i="1"/>
  <c r="F87" i="1"/>
  <c r="E87" i="1"/>
  <c r="D87" i="1"/>
  <c r="C87" i="1"/>
  <c r="K87" i="1" s="1"/>
  <c r="K86" i="1"/>
  <c r="K85" i="1"/>
  <c r="C85" i="1"/>
  <c r="K83" i="1"/>
  <c r="K82" i="1"/>
  <c r="K81" i="1"/>
  <c r="K80" i="1"/>
  <c r="K79" i="1"/>
  <c r="C79" i="1"/>
  <c r="K78" i="1"/>
  <c r="C77" i="1"/>
  <c r="K77" i="1" s="1"/>
  <c r="K75" i="1"/>
  <c r="K74" i="1"/>
  <c r="K73" i="1"/>
  <c r="K72" i="1"/>
  <c r="J71" i="1"/>
  <c r="J67" i="1" s="1"/>
  <c r="I71" i="1"/>
  <c r="H71" i="1"/>
  <c r="G71" i="1"/>
  <c r="F71" i="1"/>
  <c r="F67" i="1" s="1"/>
  <c r="E71" i="1"/>
  <c r="D71" i="1"/>
  <c r="C71" i="1"/>
  <c r="K70" i="1"/>
  <c r="H69" i="1"/>
  <c r="F69" i="1"/>
  <c r="E69" i="1"/>
  <c r="D69" i="1"/>
  <c r="C69" i="1"/>
  <c r="H68" i="1"/>
  <c r="H67" i="1" s="1"/>
  <c r="F68" i="1"/>
  <c r="E68" i="1"/>
  <c r="E67" i="1" s="1"/>
  <c r="D68" i="1"/>
  <c r="C68" i="1"/>
  <c r="K68" i="1" s="1"/>
  <c r="I67" i="1"/>
  <c r="G67" i="1"/>
  <c r="D67" i="1"/>
  <c r="K65" i="1"/>
  <c r="K64" i="1"/>
  <c r="C63" i="1"/>
  <c r="K63" i="1" s="1"/>
  <c r="J62" i="1"/>
  <c r="I62" i="1"/>
  <c r="H62" i="1"/>
  <c r="G62" i="1"/>
  <c r="F62" i="1"/>
  <c r="E62" i="1"/>
  <c r="D62" i="1"/>
  <c r="C62" i="1"/>
  <c r="K62" i="1" s="1"/>
  <c r="K61" i="1"/>
  <c r="K60" i="1"/>
  <c r="K58" i="1"/>
  <c r="K56" i="1"/>
  <c r="J54" i="1"/>
  <c r="C54" i="1"/>
  <c r="K54" i="1" s="1"/>
  <c r="J53" i="1"/>
  <c r="C53" i="1"/>
  <c r="K53" i="1" s="1"/>
  <c r="C51" i="1"/>
  <c r="K51" i="1" s="1"/>
  <c r="K50" i="1"/>
  <c r="G49" i="1"/>
  <c r="K49" i="1" s="1"/>
  <c r="K48" i="1"/>
  <c r="K47" i="1"/>
  <c r="K46" i="1"/>
  <c r="G45" i="1"/>
  <c r="G44" i="1" s="1"/>
  <c r="C45" i="1"/>
  <c r="J44" i="1"/>
  <c r="I44" i="1"/>
  <c r="H44" i="1"/>
  <c r="F44" i="1"/>
  <c r="E44" i="1"/>
  <c r="D44" i="1"/>
  <c r="D42" i="1"/>
  <c r="K42" i="1" s="1"/>
  <c r="K41" i="1"/>
  <c r="J40" i="1"/>
  <c r="I40" i="1"/>
  <c r="H40" i="1"/>
  <c r="G40" i="1"/>
  <c r="F40" i="1"/>
  <c r="E40" i="1"/>
  <c r="C40" i="1"/>
  <c r="C38" i="1"/>
  <c r="K38" i="1" s="1"/>
  <c r="J37" i="1"/>
  <c r="I37" i="1"/>
  <c r="H37" i="1"/>
  <c r="G37" i="1"/>
  <c r="F37" i="1"/>
  <c r="E37" i="1"/>
  <c r="D37" i="1"/>
  <c r="K35" i="1"/>
  <c r="K34" i="1"/>
  <c r="K33" i="1"/>
  <c r="K32" i="1"/>
  <c r="K31" i="1"/>
  <c r="K30" i="1"/>
  <c r="K29" i="1"/>
  <c r="J28" i="1"/>
  <c r="I28" i="1"/>
  <c r="H28" i="1"/>
  <c r="G28" i="1"/>
  <c r="F28" i="1"/>
  <c r="E28" i="1"/>
  <c r="D28" i="1"/>
  <c r="C28" i="1"/>
  <c r="K27" i="1"/>
  <c r="K25" i="1"/>
  <c r="K23" i="1"/>
  <c r="K22" i="1"/>
  <c r="K21" i="1"/>
  <c r="K20" i="1"/>
  <c r="J19" i="1"/>
  <c r="I19" i="1"/>
  <c r="H19" i="1"/>
  <c r="G19" i="1"/>
  <c r="F19" i="1"/>
  <c r="E19" i="1"/>
  <c r="D19" i="1"/>
  <c r="C19" i="1"/>
  <c r="K18" i="1"/>
  <c r="J17" i="1"/>
  <c r="I17" i="1"/>
  <c r="I9" i="1" s="1"/>
  <c r="I8" i="1" s="1"/>
  <c r="I88" i="1" s="1"/>
  <c r="H17" i="1"/>
  <c r="G17" i="1"/>
  <c r="F17" i="1"/>
  <c r="E17" i="1"/>
  <c r="D17" i="1"/>
  <c r="C17" i="1"/>
  <c r="K17" i="1" s="1"/>
  <c r="K16" i="1"/>
  <c r="K15" i="1"/>
  <c r="K14" i="1"/>
  <c r="K13" i="1"/>
  <c r="H12" i="1"/>
  <c r="F12" i="1"/>
  <c r="E12" i="1"/>
  <c r="D12" i="1"/>
  <c r="C12" i="1"/>
  <c r="H11" i="1"/>
  <c r="H9" i="1" s="1"/>
  <c r="H8" i="1" s="1"/>
  <c r="F11" i="1"/>
  <c r="E11" i="1"/>
  <c r="D11" i="1"/>
  <c r="C11" i="1"/>
  <c r="K11" i="1" s="1"/>
  <c r="K10" i="1"/>
  <c r="J9" i="1"/>
  <c r="J8" i="1" s="1"/>
  <c r="J88" i="1" s="1"/>
  <c r="G9" i="1"/>
  <c r="G8" i="1" s="1"/>
  <c r="F9" i="1"/>
  <c r="E9" i="1"/>
  <c r="E8" i="1" s="1"/>
  <c r="E88" i="1" s="1"/>
  <c r="D9" i="1"/>
  <c r="C9" i="1"/>
  <c r="F8" i="1"/>
  <c r="F88" i="1" l="1"/>
  <c r="G88" i="1"/>
  <c r="H88" i="1"/>
  <c r="N88" i="1"/>
  <c r="P88" i="1"/>
  <c r="R88" i="1"/>
  <c r="T63" i="1"/>
  <c r="AC63" i="1" s="1"/>
  <c r="U63" i="1"/>
  <c r="K12" i="1"/>
  <c r="K19" i="1"/>
  <c r="K28" i="1"/>
  <c r="C44" i="1"/>
  <c r="K44" i="1" s="1"/>
  <c r="K45" i="1"/>
  <c r="K69" i="1"/>
  <c r="K71" i="1"/>
  <c r="T11" i="1"/>
  <c r="T37" i="1"/>
  <c r="L67" i="1"/>
  <c r="L88" i="1" s="1"/>
  <c r="T68" i="1"/>
  <c r="AC64" i="1"/>
  <c r="T62" i="1"/>
  <c r="M88" i="1"/>
  <c r="O88" i="1"/>
  <c r="Q88" i="1"/>
  <c r="S88" i="1"/>
  <c r="T67" i="1"/>
  <c r="T44" i="1"/>
  <c r="T9" i="1"/>
  <c r="T8" i="1"/>
  <c r="K9" i="1"/>
  <c r="C37" i="1"/>
  <c r="K37" i="1" s="1"/>
  <c r="D40" i="1"/>
  <c r="D8" i="1" s="1"/>
  <c r="D88" i="1" s="1"/>
  <c r="C67" i="1"/>
  <c r="K67" i="1" s="1"/>
  <c r="K40" i="1" l="1"/>
  <c r="T88" i="1"/>
  <c r="C8" i="1"/>
  <c r="C88" i="1" l="1"/>
  <c r="K88" i="1" s="1"/>
  <c r="K8" i="1"/>
  <c r="AB87" i="1" l="1"/>
  <c r="Z87" i="1"/>
  <c r="Y87" i="1"/>
  <c r="X87" i="1"/>
  <c r="W87" i="1"/>
  <c r="U87" i="1"/>
  <c r="V87" i="1"/>
  <c r="AB86" i="1"/>
  <c r="AA86" i="1"/>
  <c r="Z86" i="1"/>
  <c r="Y86" i="1"/>
  <c r="X86" i="1"/>
  <c r="W86" i="1"/>
  <c r="V86" i="1"/>
  <c r="U86" i="1"/>
  <c r="AB85" i="1"/>
  <c r="AA85" i="1"/>
  <c r="Z85" i="1"/>
  <c r="Y85" i="1"/>
  <c r="X85" i="1"/>
  <c r="W85" i="1"/>
  <c r="V85" i="1"/>
  <c r="U85" i="1"/>
  <c r="AC84" i="1"/>
  <c r="AB84" i="1"/>
  <c r="AA84" i="1"/>
  <c r="Z84" i="1"/>
  <c r="Y84" i="1"/>
  <c r="X84" i="1"/>
  <c r="W84" i="1"/>
  <c r="V84" i="1"/>
  <c r="U84" i="1"/>
  <c r="AB83" i="1"/>
  <c r="AA83" i="1"/>
  <c r="Z83" i="1"/>
  <c r="Y83" i="1"/>
  <c r="X83" i="1"/>
  <c r="W83" i="1"/>
  <c r="V83" i="1"/>
  <c r="U83" i="1"/>
  <c r="AB82" i="1"/>
  <c r="AA82" i="1"/>
  <c r="Z82" i="1"/>
  <c r="Y82" i="1"/>
  <c r="X82" i="1"/>
  <c r="W82" i="1"/>
  <c r="V82" i="1"/>
  <c r="U82" i="1"/>
  <c r="AB81" i="1"/>
  <c r="AA81" i="1"/>
  <c r="Z81" i="1"/>
  <c r="Y81" i="1"/>
  <c r="X81" i="1"/>
  <c r="W81" i="1"/>
  <c r="V81" i="1"/>
  <c r="U81" i="1"/>
  <c r="AB80" i="1"/>
  <c r="AA80" i="1"/>
  <c r="Z80" i="1"/>
  <c r="Y80" i="1"/>
  <c r="X80" i="1"/>
  <c r="W80" i="1"/>
  <c r="V80" i="1"/>
  <c r="U80" i="1"/>
  <c r="AB79" i="1"/>
  <c r="AA79" i="1"/>
  <c r="Z79" i="1"/>
  <c r="Y79" i="1"/>
  <c r="X79" i="1"/>
  <c r="W79" i="1"/>
  <c r="V79" i="1"/>
  <c r="U79" i="1"/>
  <c r="AB78" i="1"/>
  <c r="AA78" i="1"/>
  <c r="Z78" i="1"/>
  <c r="Y78" i="1"/>
  <c r="X78" i="1"/>
  <c r="W78" i="1"/>
  <c r="V78" i="1"/>
  <c r="U78" i="1"/>
  <c r="AC78" i="1"/>
  <c r="AB77" i="1"/>
  <c r="AA77" i="1"/>
  <c r="Z77" i="1"/>
  <c r="Y77" i="1"/>
  <c r="X77" i="1"/>
  <c r="W77" i="1"/>
  <c r="V77" i="1"/>
  <c r="AC76" i="1"/>
  <c r="AB76" i="1"/>
  <c r="AA76" i="1"/>
  <c r="Z76" i="1"/>
  <c r="Y76" i="1"/>
  <c r="X76" i="1"/>
  <c r="W76" i="1"/>
  <c r="V76" i="1"/>
  <c r="U76" i="1"/>
  <c r="AB75" i="1"/>
  <c r="AA75" i="1"/>
  <c r="Z75" i="1"/>
  <c r="Y75" i="1"/>
  <c r="X75" i="1"/>
  <c r="W75" i="1"/>
  <c r="V75" i="1"/>
  <c r="U75" i="1"/>
  <c r="AB74" i="1"/>
  <c r="AA74" i="1"/>
  <c r="Z74" i="1"/>
  <c r="Y74" i="1"/>
  <c r="X74" i="1"/>
  <c r="W74" i="1"/>
  <c r="V74" i="1"/>
  <c r="U74" i="1"/>
  <c r="AB73" i="1"/>
  <c r="AA73" i="1"/>
  <c r="Z73" i="1"/>
  <c r="Y73" i="1"/>
  <c r="X73" i="1"/>
  <c r="W73" i="1"/>
  <c r="V73" i="1"/>
  <c r="U73" i="1"/>
  <c r="AB72" i="1"/>
  <c r="AA72" i="1"/>
  <c r="Z72" i="1"/>
  <c r="Y72" i="1"/>
  <c r="X72" i="1"/>
  <c r="W72" i="1"/>
  <c r="V72" i="1"/>
  <c r="U72" i="1"/>
  <c r="Z71" i="1"/>
  <c r="V71" i="1"/>
  <c r="AB71" i="1"/>
  <c r="X71" i="1"/>
  <c r="AB70" i="1"/>
  <c r="AA70" i="1"/>
  <c r="Z70" i="1"/>
  <c r="Y70" i="1"/>
  <c r="X70" i="1"/>
  <c r="W70" i="1"/>
  <c r="V70" i="1"/>
  <c r="U70" i="1"/>
  <c r="AB69" i="1"/>
  <c r="AA69" i="1"/>
  <c r="Z69" i="1"/>
  <c r="Y69" i="1"/>
  <c r="X69" i="1"/>
  <c r="W69" i="1"/>
  <c r="U69" i="1"/>
  <c r="V69" i="1"/>
  <c r="AB68" i="1"/>
  <c r="AA68" i="1"/>
  <c r="Z68" i="1"/>
  <c r="Y68" i="1"/>
  <c r="X68" i="1"/>
  <c r="W68" i="1"/>
  <c r="V68" i="1"/>
  <c r="AB67" i="1"/>
  <c r="Z67" i="1"/>
  <c r="X67" i="1"/>
  <c r="AB64" i="1"/>
  <c r="V64" i="1"/>
  <c r="AB63" i="1"/>
  <c r="AA63" i="1"/>
  <c r="Z63" i="1"/>
  <c r="Y63" i="1"/>
  <c r="X63" i="1"/>
  <c r="W63" i="1"/>
  <c r="V63" i="1"/>
  <c r="AB62" i="1"/>
  <c r="AA62" i="1"/>
  <c r="Z62" i="1"/>
  <c r="Y62" i="1"/>
  <c r="X62" i="1"/>
  <c r="W62" i="1"/>
  <c r="V62" i="1"/>
  <c r="AB61" i="1"/>
  <c r="AA61" i="1"/>
  <c r="Z61" i="1"/>
  <c r="Y61" i="1"/>
  <c r="X61" i="1"/>
  <c r="W61" i="1"/>
  <c r="V61" i="1"/>
  <c r="U61" i="1"/>
  <c r="AB60" i="1"/>
  <c r="AA60" i="1"/>
  <c r="Z60" i="1"/>
  <c r="Y60" i="1"/>
  <c r="X60" i="1"/>
  <c r="W60" i="1"/>
  <c r="V60" i="1"/>
  <c r="U60" i="1"/>
  <c r="AC59" i="1"/>
  <c r="AB59" i="1"/>
  <c r="AA59" i="1"/>
  <c r="Z59" i="1"/>
  <c r="Y59" i="1"/>
  <c r="X59" i="1"/>
  <c r="W59" i="1"/>
  <c r="V59" i="1"/>
  <c r="U59" i="1"/>
  <c r="AB58" i="1"/>
  <c r="AA58" i="1"/>
  <c r="Z58" i="1"/>
  <c r="Y58" i="1"/>
  <c r="X58" i="1"/>
  <c r="W58" i="1"/>
  <c r="V58" i="1"/>
  <c r="U58" i="1"/>
  <c r="AC57" i="1"/>
  <c r="AB57" i="1"/>
  <c r="AA57" i="1"/>
  <c r="Z57" i="1"/>
  <c r="Y57" i="1"/>
  <c r="X57" i="1"/>
  <c r="W57" i="1"/>
  <c r="V57" i="1"/>
  <c r="U57" i="1"/>
  <c r="AB56" i="1"/>
  <c r="AA56" i="1"/>
  <c r="Z56" i="1"/>
  <c r="Y56" i="1"/>
  <c r="X56" i="1"/>
  <c r="W56" i="1"/>
  <c r="V56" i="1"/>
  <c r="U56" i="1"/>
  <c r="AC55" i="1"/>
  <c r="AB55" i="1"/>
  <c r="AA55" i="1"/>
  <c r="Z55" i="1"/>
  <c r="Y55" i="1"/>
  <c r="X55" i="1"/>
  <c r="W55" i="1"/>
  <c r="V55" i="1"/>
  <c r="U55" i="1"/>
  <c r="AA54" i="1"/>
  <c r="Z54" i="1"/>
  <c r="Y54" i="1"/>
  <c r="X54" i="1"/>
  <c r="W54" i="1"/>
  <c r="V54" i="1"/>
  <c r="AB54" i="1"/>
  <c r="U54" i="1"/>
  <c r="AA53" i="1"/>
  <c r="Z53" i="1"/>
  <c r="Y53" i="1"/>
  <c r="X53" i="1"/>
  <c r="W53" i="1"/>
  <c r="V53" i="1"/>
  <c r="AC52" i="1"/>
  <c r="AB52" i="1"/>
  <c r="AA52" i="1"/>
  <c r="Z52" i="1"/>
  <c r="Y52" i="1"/>
  <c r="X52" i="1"/>
  <c r="W52" i="1"/>
  <c r="V52" i="1"/>
  <c r="U52" i="1"/>
  <c r="AB51" i="1"/>
  <c r="AA51" i="1"/>
  <c r="Z51" i="1"/>
  <c r="Y51" i="1"/>
  <c r="X51" i="1"/>
  <c r="W51" i="1"/>
  <c r="V51" i="1"/>
  <c r="U51" i="1"/>
  <c r="AB50" i="1"/>
  <c r="AA50" i="1"/>
  <c r="Z50" i="1"/>
  <c r="Y50" i="1"/>
  <c r="X50" i="1"/>
  <c r="W50" i="1"/>
  <c r="V50" i="1"/>
  <c r="U50" i="1"/>
  <c r="AB49" i="1"/>
  <c r="AA49" i="1"/>
  <c r="Z49" i="1"/>
  <c r="Y49" i="1"/>
  <c r="X49" i="1"/>
  <c r="W49" i="1"/>
  <c r="V49" i="1"/>
  <c r="U49" i="1"/>
  <c r="AB48" i="1"/>
  <c r="AA48" i="1"/>
  <c r="Z48" i="1"/>
  <c r="Y48" i="1"/>
  <c r="X48" i="1"/>
  <c r="W48" i="1"/>
  <c r="V48" i="1"/>
  <c r="U48" i="1"/>
  <c r="AB47" i="1"/>
  <c r="AA47" i="1"/>
  <c r="Z47" i="1"/>
  <c r="Y47" i="1"/>
  <c r="X47" i="1"/>
  <c r="W47" i="1"/>
  <c r="V47" i="1"/>
  <c r="AB46" i="1"/>
  <c r="AA46" i="1"/>
  <c r="Z46" i="1"/>
  <c r="Y46" i="1"/>
  <c r="X46" i="1"/>
  <c r="W46" i="1"/>
  <c r="V46" i="1"/>
  <c r="U46" i="1"/>
  <c r="AB45" i="1"/>
  <c r="AA45" i="1"/>
  <c r="Z45" i="1"/>
  <c r="X45" i="1"/>
  <c r="W45" i="1"/>
  <c r="V45" i="1"/>
  <c r="U45" i="1"/>
  <c r="AC43" i="1"/>
  <c r="AB43" i="1"/>
  <c r="AA43" i="1"/>
  <c r="Z43" i="1"/>
  <c r="Y43" i="1"/>
  <c r="X43" i="1"/>
  <c r="W43" i="1"/>
  <c r="V43" i="1"/>
  <c r="U43" i="1"/>
  <c r="AB42" i="1"/>
  <c r="AA42" i="1"/>
  <c r="Z42" i="1"/>
  <c r="Y42" i="1"/>
  <c r="X42" i="1"/>
  <c r="W42" i="1"/>
  <c r="U42" i="1"/>
  <c r="V42" i="1"/>
  <c r="AB41" i="1"/>
  <c r="AA41" i="1"/>
  <c r="Z41" i="1"/>
  <c r="Y41" i="1"/>
  <c r="X41" i="1"/>
  <c r="W41" i="1"/>
  <c r="V41" i="1"/>
  <c r="U41" i="1"/>
  <c r="AA40" i="1"/>
  <c r="W40" i="1"/>
  <c r="AC39" i="1"/>
  <c r="AB39" i="1"/>
  <c r="AA39" i="1"/>
  <c r="Z39" i="1"/>
  <c r="Y39" i="1"/>
  <c r="X39" i="1"/>
  <c r="W39" i="1"/>
  <c r="V39" i="1"/>
  <c r="U39" i="1"/>
  <c r="AB38" i="1"/>
  <c r="AA38" i="1"/>
  <c r="Z38" i="1"/>
  <c r="Y38" i="1"/>
  <c r="X38" i="1"/>
  <c r="W38" i="1"/>
  <c r="V38" i="1"/>
  <c r="V37" i="1"/>
  <c r="Z37" i="1"/>
  <c r="AC36" i="1"/>
  <c r="AB36" i="1"/>
  <c r="AA36" i="1"/>
  <c r="Z36" i="1"/>
  <c r="Y36" i="1"/>
  <c r="X36" i="1"/>
  <c r="W36" i="1"/>
  <c r="V36" i="1"/>
  <c r="U36" i="1"/>
  <c r="AB35" i="1"/>
  <c r="AA35" i="1"/>
  <c r="Z35" i="1"/>
  <c r="Y35" i="1"/>
  <c r="X35" i="1"/>
  <c r="W35" i="1"/>
  <c r="V35" i="1"/>
  <c r="U35" i="1"/>
  <c r="AB34" i="1"/>
  <c r="AA34" i="1"/>
  <c r="Z34" i="1"/>
  <c r="Y34" i="1"/>
  <c r="X34" i="1"/>
  <c r="W34" i="1"/>
  <c r="V34" i="1"/>
  <c r="U34" i="1"/>
  <c r="AB33" i="1"/>
  <c r="AA33" i="1"/>
  <c r="Z33" i="1"/>
  <c r="Y33" i="1"/>
  <c r="X33" i="1"/>
  <c r="W33" i="1"/>
  <c r="V33" i="1"/>
  <c r="U33" i="1"/>
  <c r="AB32" i="1"/>
  <c r="AA32" i="1"/>
  <c r="Z32" i="1"/>
  <c r="Y32" i="1"/>
  <c r="X32" i="1"/>
  <c r="W32" i="1"/>
  <c r="V32" i="1"/>
  <c r="U32" i="1"/>
  <c r="AB31" i="1"/>
  <c r="AA31" i="1"/>
  <c r="Z31" i="1"/>
  <c r="Y31" i="1"/>
  <c r="X31" i="1"/>
  <c r="W31" i="1"/>
  <c r="V31" i="1"/>
  <c r="U31" i="1"/>
  <c r="AB30" i="1"/>
  <c r="AA30" i="1"/>
  <c r="Z30" i="1"/>
  <c r="Y30" i="1"/>
  <c r="X30" i="1"/>
  <c r="W30" i="1"/>
  <c r="V30" i="1"/>
  <c r="U30" i="1"/>
  <c r="AB29" i="1"/>
  <c r="AA29" i="1"/>
  <c r="Z29" i="1"/>
  <c r="Y29" i="1"/>
  <c r="X29" i="1"/>
  <c r="W29" i="1"/>
  <c r="V29" i="1"/>
  <c r="U29" i="1"/>
  <c r="AA28" i="1"/>
  <c r="Y28" i="1"/>
  <c r="W28" i="1"/>
  <c r="U28" i="1"/>
  <c r="AB27" i="1"/>
  <c r="AA27" i="1"/>
  <c r="Z27" i="1"/>
  <c r="Y27" i="1"/>
  <c r="X27" i="1"/>
  <c r="W27" i="1"/>
  <c r="V27" i="1"/>
  <c r="U27" i="1"/>
  <c r="AC26" i="1"/>
  <c r="AB26" i="1"/>
  <c r="AA26" i="1"/>
  <c r="Z26" i="1"/>
  <c r="Y26" i="1"/>
  <c r="X26" i="1"/>
  <c r="W26" i="1"/>
  <c r="V26" i="1"/>
  <c r="U26" i="1"/>
  <c r="AB25" i="1"/>
  <c r="AA25" i="1"/>
  <c r="Z25" i="1"/>
  <c r="Y25" i="1"/>
  <c r="X25" i="1"/>
  <c r="W25" i="1"/>
  <c r="V25" i="1"/>
  <c r="U25" i="1"/>
  <c r="AC24" i="1"/>
  <c r="AB24" i="1"/>
  <c r="AA24" i="1"/>
  <c r="Z24" i="1"/>
  <c r="Y24" i="1"/>
  <c r="X24" i="1"/>
  <c r="W24" i="1"/>
  <c r="V24" i="1"/>
  <c r="U24" i="1"/>
  <c r="AB23" i="1"/>
  <c r="AA23" i="1"/>
  <c r="Z23" i="1"/>
  <c r="Y23" i="1"/>
  <c r="X23" i="1"/>
  <c r="W23" i="1"/>
  <c r="V23" i="1"/>
  <c r="U23" i="1"/>
  <c r="AB22" i="1"/>
  <c r="AA22" i="1"/>
  <c r="Z22" i="1"/>
  <c r="Y22" i="1"/>
  <c r="X22" i="1"/>
  <c r="W22" i="1"/>
  <c r="V22" i="1"/>
  <c r="U22" i="1"/>
  <c r="AB21" i="1"/>
  <c r="AA21" i="1"/>
  <c r="Z21" i="1"/>
  <c r="Y21" i="1"/>
  <c r="X21" i="1"/>
  <c r="W21" i="1"/>
  <c r="V21" i="1"/>
  <c r="U21" i="1"/>
  <c r="AB20" i="1"/>
  <c r="AA20" i="1"/>
  <c r="Z20" i="1"/>
  <c r="Y20" i="1"/>
  <c r="X20" i="1"/>
  <c r="W20" i="1"/>
  <c r="V20" i="1"/>
  <c r="U20" i="1"/>
  <c r="Z19" i="1"/>
  <c r="X19" i="1"/>
  <c r="V19" i="1"/>
  <c r="AB19" i="1"/>
  <c r="AB18" i="1"/>
  <c r="AA18" i="1"/>
  <c r="Z18" i="1"/>
  <c r="Y18" i="1"/>
  <c r="X18" i="1"/>
  <c r="W18" i="1"/>
  <c r="V18" i="1"/>
  <c r="U18" i="1"/>
  <c r="AC18" i="1"/>
  <c r="AA17" i="1"/>
  <c r="W17" i="1"/>
  <c r="U17" i="1"/>
  <c r="AB16" i="1"/>
  <c r="AA16" i="1"/>
  <c r="Z16" i="1"/>
  <c r="Y16" i="1"/>
  <c r="X16" i="1"/>
  <c r="W16" i="1"/>
  <c r="V16" i="1"/>
  <c r="U16" i="1"/>
  <c r="AB15" i="1"/>
  <c r="AA15" i="1"/>
  <c r="Z15" i="1"/>
  <c r="Y15" i="1"/>
  <c r="X15" i="1"/>
  <c r="W15" i="1"/>
  <c r="V15" i="1"/>
  <c r="U15" i="1"/>
  <c r="AB14" i="1"/>
  <c r="AA14" i="1"/>
  <c r="Z14" i="1"/>
  <c r="Y14" i="1"/>
  <c r="X14" i="1"/>
  <c r="W14" i="1"/>
  <c r="V14" i="1"/>
  <c r="U14" i="1"/>
  <c r="AB13" i="1"/>
  <c r="AA13" i="1"/>
  <c r="Z13" i="1"/>
  <c r="Y13" i="1"/>
  <c r="X13" i="1"/>
  <c r="W13" i="1"/>
  <c r="V13" i="1"/>
  <c r="U13" i="1"/>
  <c r="AB12" i="1"/>
  <c r="AA12" i="1"/>
  <c r="Z12" i="1"/>
  <c r="Y12" i="1"/>
  <c r="X12" i="1"/>
  <c r="W12" i="1"/>
  <c r="U12" i="1"/>
  <c r="V12" i="1"/>
  <c r="AB11" i="1"/>
  <c r="AA11" i="1"/>
  <c r="Z11" i="1"/>
  <c r="Y11" i="1"/>
  <c r="X11" i="1"/>
  <c r="W11" i="1"/>
  <c r="U11" i="1"/>
  <c r="V11" i="1"/>
  <c r="AB10" i="1"/>
  <c r="AA10" i="1"/>
  <c r="Z10" i="1"/>
  <c r="Y10" i="1"/>
  <c r="X10" i="1"/>
  <c r="W10" i="1"/>
  <c r="V10" i="1"/>
  <c r="U10" i="1"/>
  <c r="Y17" i="1" l="1"/>
  <c r="V67" i="1"/>
  <c r="U68" i="1"/>
  <c r="AC70" i="1"/>
  <c r="AC72" i="1"/>
  <c r="AC74" i="1"/>
  <c r="X37" i="1"/>
  <c r="Z44" i="1"/>
  <c r="AC20" i="1"/>
  <c r="AC22" i="1"/>
  <c r="AC25" i="1"/>
  <c r="AC30" i="1"/>
  <c r="AC32" i="1"/>
  <c r="AC34" i="1"/>
  <c r="AC11" i="1"/>
  <c r="AC13" i="1"/>
  <c r="AC15" i="1"/>
  <c r="AB37" i="1"/>
  <c r="Y40" i="1"/>
  <c r="AC42" i="1"/>
  <c r="AC46" i="1"/>
  <c r="AC48" i="1"/>
  <c r="AC50" i="1"/>
  <c r="AC56" i="1"/>
  <c r="AC60" i="1"/>
  <c r="AC81" i="1"/>
  <c r="AC83" i="1"/>
  <c r="AC86" i="1"/>
  <c r="W19" i="1"/>
  <c r="Y19" i="1"/>
  <c r="AA19" i="1"/>
  <c r="W37" i="1"/>
  <c r="Y37" i="1"/>
  <c r="AA37" i="1"/>
  <c r="U40" i="1"/>
  <c r="W67" i="1"/>
  <c r="Y67" i="1"/>
  <c r="AA67" i="1"/>
  <c r="U71" i="1"/>
  <c r="W71" i="1"/>
  <c r="Y71" i="1"/>
  <c r="AA71" i="1"/>
  <c r="AC10" i="1"/>
  <c r="AC12" i="1"/>
  <c r="AC14" i="1"/>
  <c r="AC16" i="1"/>
  <c r="V17" i="1"/>
  <c r="X17" i="1"/>
  <c r="Z17" i="1"/>
  <c r="AB17" i="1"/>
  <c r="AC21" i="1"/>
  <c r="AC23" i="1"/>
  <c r="AC27" i="1"/>
  <c r="V28" i="1"/>
  <c r="X28" i="1"/>
  <c r="Z28" i="1"/>
  <c r="AB28" i="1"/>
  <c r="AC29" i="1"/>
  <c r="AC31" i="1"/>
  <c r="AC33" i="1"/>
  <c r="AC35" i="1"/>
  <c r="V40" i="1"/>
  <c r="X40" i="1"/>
  <c r="Z40" i="1"/>
  <c r="AB40" i="1"/>
  <c r="AC41" i="1"/>
  <c r="V44" i="1"/>
  <c r="X44" i="1"/>
  <c r="U44" i="1"/>
  <c r="W44" i="1"/>
  <c r="AA44" i="1"/>
  <c r="AC47" i="1"/>
  <c r="AC49" i="1"/>
  <c r="AC51" i="1"/>
  <c r="AC53" i="1"/>
  <c r="U53" i="1"/>
  <c r="AC58" i="1"/>
  <c r="AC61" i="1"/>
  <c r="AC69" i="1"/>
  <c r="AC73" i="1"/>
  <c r="AC75" i="1"/>
  <c r="U77" i="1"/>
  <c r="AC79" i="1"/>
  <c r="AC80" i="1"/>
  <c r="AC82" i="1"/>
  <c r="AC85" i="1"/>
  <c r="AA87" i="1"/>
  <c r="V9" i="1"/>
  <c r="X9" i="1"/>
  <c r="Z9" i="1"/>
  <c r="AB9" i="1"/>
  <c r="W9" i="1"/>
  <c r="Y8" i="1"/>
  <c r="U9" i="1"/>
  <c r="Y9" i="1"/>
  <c r="U19" i="1"/>
  <c r="AC38" i="1"/>
  <c r="U38" i="1"/>
  <c r="U47" i="1"/>
  <c r="AB53" i="1"/>
  <c r="AB44" i="1"/>
  <c r="AC54" i="1"/>
  <c r="AC77" i="1"/>
  <c r="AC17" i="1"/>
  <c r="AC37" i="1"/>
  <c r="Y45" i="1"/>
  <c r="AC71" i="1"/>
  <c r="AC87" i="1"/>
  <c r="W8" i="1" l="1"/>
  <c r="AC67" i="1"/>
  <c r="W88" i="1"/>
  <c r="AA9" i="1"/>
  <c r="AC40" i="1"/>
  <c r="AA8" i="1"/>
  <c r="AC19" i="1"/>
  <c r="AC9" i="1"/>
  <c r="AC28" i="1"/>
  <c r="U37" i="1"/>
  <c r="U67" i="1"/>
  <c r="Y88" i="1"/>
  <c r="AB8" i="1"/>
  <c r="Z8" i="1"/>
  <c r="X8" i="1"/>
  <c r="V8" i="1"/>
  <c r="AC68" i="1"/>
  <c r="Y44" i="1"/>
  <c r="U62" i="1"/>
  <c r="AC62" i="1"/>
  <c r="AC45" i="1"/>
  <c r="V88" i="1" l="1"/>
  <c r="X88" i="1"/>
  <c r="Z88" i="1"/>
  <c r="AB88" i="1"/>
  <c r="AA88" i="1"/>
  <c r="U88" i="1"/>
  <c r="U8" i="1"/>
  <c r="AC44" i="1"/>
  <c r="AC88" i="1" l="1"/>
  <c r="AC8" i="1"/>
</calcChain>
</file>

<file path=xl/sharedStrings.xml><?xml version="1.0" encoding="utf-8"?>
<sst xmlns="http://schemas.openxmlformats.org/spreadsheetml/2006/main" count="100" uniqueCount="82">
  <si>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</si>
  <si>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</si>
  <si>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</si>
  <si>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</si>
  <si>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</si>
  <si>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</si>
  <si>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</si>
  <si>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</si>
  <si>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</si>
  <si>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</si>
  <si>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</si>
  <si>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</si>
  <si>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</si>
  <si>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</si>
  <si>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</si>
  <si>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</si>
  <si>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</si>
  <si>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</si>
  <si>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потенциально возможного к получению годового дохода для индивидуальных предпринимателей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</si>
  <si>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</si>
  <si>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</si>
  <si>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</si>
  <si>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</si>
  <si>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</si>
  <si>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</si>
  <si>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</si>
  <si>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</si>
  <si>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</si>
  <si>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</si>
  <si>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</si>
  <si>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</si>
  <si>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</si>
  <si>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</si>
  <si>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Платежи за пользование водными ресурсами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</si>
  <si>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</si>
  <si>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</si>
  <si>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</si>
  <si>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</si>
  <si>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</si>
  <si>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</si>
  <si>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</si>
  <si>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</si>
  <si>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</si>
  <si>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</si>
  <si>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</t>
  </si>
  <si>
    <t>Перечисление процентов за пользование кредитами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</si>
  <si>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</si>
  <si>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</si>
  <si>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</si>
  <si>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</si>
  <si>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</si>
  <si>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</si>
  <si>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Прочие неналоговые доходы</t>
  </si>
  <si>
    <t>Доходы целевых бюджетных фондов</t>
  </si>
  <si>
    <t>Дорожные фонды</t>
  </si>
  <si>
    <t>Отчисления от налога на доходы организаций</t>
  </si>
  <si>
    <t>Экологические фонды</t>
  </si>
  <si>
    <t>Республиканский целевой бюджетный экологический фонд</t>
  </si>
  <si>
    <t>Территориальные целевые бюджетные экологические фонды</t>
  </si>
  <si>
    <t>Фонд по обеспечению государственных гарантий по расчетам с гражданами, имеющими подтвержденное документально право на земельную долю (пай)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</si>
  <si>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</si>
  <si>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</si>
  <si>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</si>
  <si>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</si>
  <si>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"О республиканском бюджете на 2021 год"</t>
  </si>
  <si>
    <t xml:space="preserve">к Закону Приднестровской Молдавской Республики </t>
  </si>
  <si>
    <t>Фонд развития мелиоративного комплекса</t>
  </si>
  <si>
    <t>Фонд поддержки сельского хозяйства</t>
  </si>
  <si>
    <t>Единый таможенный платеж</t>
  </si>
  <si>
    <t>Доходы  консолидированного бюджета в разрезе основных видов налоговых, неналоговых и иных обязательных платежей на 2021 год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</si>
  <si>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</si>
  <si>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ИТОГО</t>
  </si>
  <si>
    <t>Предлагаемая редакция</t>
  </si>
  <si>
    <t>Отклонение</t>
  </si>
  <si>
    <t>Безвозмездные перечисления</t>
  </si>
  <si>
    <t>3010000</t>
  </si>
  <si>
    <t>ОТ НЕРЕЗИДЕНТОВ</t>
  </si>
  <si>
    <t>3011000</t>
  </si>
  <si>
    <t>От нерезидентов на цели субсидирования хозяйствующих субъектов</t>
  </si>
  <si>
    <t xml:space="preserve">Действующая редакция </t>
  </si>
  <si>
    <t>Прочие безвозмездные перечисления</t>
  </si>
  <si>
    <t>Сравнительная таблица к  Приложению №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</si>
</sst>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(* #,##0.00_);_(* \(#,##0.00\);_(* &quot;-&quot;??_);_(@_)"/>
    <numFmt numFmtId="166" formatCode="_-* #,##0_р_._-;\-* #,##0_р_._-;_-* &quot;-&quot;_р_._-;_-@_-"/>
    <numFmt numFmtId="167" formatCode="_-* #,##0_-;\-* #,##0_-;_-* &quot;-&quot;??_-;_-@_-"/>
    <numFmt numFmtId="168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0">
    <xf numFmtId="0" fontId="0" fillId="0" borderId="0" xfId="0"/>
    <xf numFmtId="3" fontId="3" fillId="2" borderId="2" xfId="0" applyNumberFormat="1" applyFont="1" applyFill="1" applyBorder="1" applyAlignment="1">
      <alignment vertical="center" wrapText="1"/>
    </xf>
    <xf numFmtId="3" fontId="8" fillId="2" borderId="0" xfId="0" applyNumberFormat="1" applyFont="1" applyFill="1" applyAlignment="1">
      <alignment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horizontal="right" vertical="center" wrapText="1"/>
    </xf>
    <xf numFmtId="3" fontId="3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vertical="center" wrapText="1"/>
    </xf>
    <xf numFmtId="3" fontId="4" fillId="2" borderId="0" xfId="0" applyNumberFormat="1" applyFont="1" applyFill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2" xfId="2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left" vertical="center" wrapText="1"/>
    </xf>
    <xf numFmtId="3" fontId="5" fillId="2" borderId="2" xfId="1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3" fontId="6" fillId="0" borderId="2" xfId="2" applyNumberFormat="1" applyFont="1" applyBorder="1" applyAlignment="1">
      <alignment horizontal="left" vertical="center" wrapText="1"/>
    </xf>
    <xf numFmtId="3" fontId="7" fillId="0" borderId="2" xfId="0" applyNumberFormat="1" applyFont="1" applyBorder="1" applyAlignment="1">
      <alignment horizontal="left" vertical="center" wrapText="1"/>
    </xf>
    <xf numFmtId="3" fontId="7" fillId="0" borderId="2" xfId="0" applyNumberFormat="1" applyFont="1" applyBorder="1" applyAlignment="1">
      <alignment horizontal="left" wrapText="1"/>
    </xf>
    <xf numFmtId="3" fontId="5" fillId="2" borderId="8" xfId="0" applyNumberFormat="1" applyFont="1" applyFill="1" applyBorder="1" applyAlignment="1">
      <alignment vertical="center" wrapText="1"/>
    </xf>
    <xf numFmtId="3" fontId="5" fillId="2" borderId="8" xfId="1" applyNumberFormat="1" applyFont="1" applyFill="1" applyBorder="1" applyAlignment="1">
      <alignment horizontal="center" vertical="center" wrapText="1"/>
    </xf>
    <xf numFmtId="3" fontId="5" fillId="2" borderId="9" xfId="2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vertical="center" wrapText="1"/>
    </xf>
    <xf numFmtId="166" fontId="5" fillId="3" borderId="14" xfId="0" applyNumberFormat="1" applyFont="1" applyFill="1" applyBorder="1" applyAlignment="1">
      <alignment horizontal="center" vertical="center"/>
    </xf>
    <xf numFmtId="166" fontId="5" fillId="3" borderId="14" xfId="2" applyNumberFormat="1" applyFont="1" applyFill="1" applyBorder="1" applyAlignment="1">
      <alignment horizontal="center" vertical="center"/>
    </xf>
    <xf numFmtId="167" fontId="5" fillId="3" borderId="15" xfId="2" applyNumberFormat="1" applyFont="1" applyFill="1" applyBorder="1" applyAlignment="1">
      <alignment horizontal="center" vertical="center"/>
    </xf>
    <xf numFmtId="166" fontId="5" fillId="0" borderId="10" xfId="1" applyNumberFormat="1" applyFont="1" applyBorder="1" applyAlignment="1">
      <alignment horizontal="center" vertical="center"/>
    </xf>
    <xf numFmtId="167" fontId="5" fillId="0" borderId="11" xfId="2" applyNumberFormat="1" applyFont="1" applyBorder="1" applyAlignment="1">
      <alignment horizontal="center" vertical="center"/>
    </xf>
    <xf numFmtId="166" fontId="5" fillId="0" borderId="2" xfId="1" applyNumberFormat="1" applyFont="1" applyBorder="1" applyAlignment="1">
      <alignment horizontal="center" vertical="center"/>
    </xf>
    <xf numFmtId="167" fontId="5" fillId="0" borderId="2" xfId="2" applyNumberFormat="1" applyFont="1" applyBorder="1" applyAlignment="1">
      <alignment horizontal="center" vertical="center"/>
    </xf>
    <xf numFmtId="167" fontId="5" fillId="0" borderId="1" xfId="2" applyNumberFormat="1" applyFont="1" applyBorder="1" applyAlignment="1">
      <alignment horizontal="center" vertical="center"/>
    </xf>
    <xf numFmtId="166" fontId="3" fillId="0" borderId="2" xfId="1" applyNumberFormat="1" applyFont="1" applyBorder="1" applyAlignment="1">
      <alignment horizontal="center" vertical="center"/>
    </xf>
    <xf numFmtId="167" fontId="3" fillId="0" borderId="2" xfId="2" applyNumberFormat="1" applyFont="1" applyBorder="1" applyAlignment="1">
      <alignment horizontal="center" vertical="center"/>
    </xf>
    <xf numFmtId="167" fontId="3" fillId="0" borderId="1" xfId="2" applyNumberFormat="1" applyFont="1" applyBorder="1" applyAlignment="1">
      <alignment horizontal="center" vertical="center"/>
    </xf>
    <xf numFmtId="166" fontId="5" fillId="0" borderId="12" xfId="1" applyNumberFormat="1" applyFont="1" applyBorder="1" applyAlignment="1">
      <alignment horizontal="center" vertical="center"/>
    </xf>
    <xf numFmtId="167" fontId="3" fillId="0" borderId="12" xfId="2" applyNumberFormat="1" applyFont="1" applyBorder="1" applyAlignment="1">
      <alignment horizontal="center" vertical="center"/>
    </xf>
    <xf numFmtId="167" fontId="5" fillId="0" borderId="12" xfId="2" applyNumberFormat="1" applyFont="1" applyBorder="1" applyAlignment="1">
      <alignment horizontal="center" vertical="center"/>
    </xf>
    <xf numFmtId="167" fontId="3" fillId="0" borderId="13" xfId="2" applyNumberFormat="1" applyFont="1" applyBorder="1" applyAlignment="1">
      <alignment horizontal="center" vertical="center"/>
    </xf>
    <xf numFmtId="166" fontId="5" fillId="3" borderId="14" xfId="1" applyNumberFormat="1" applyFont="1" applyFill="1" applyBorder="1" applyAlignment="1">
      <alignment horizontal="center" vertical="center"/>
    </xf>
    <xf numFmtId="167" fontId="5" fillId="0" borderId="10" xfId="2" applyNumberFormat="1" applyFont="1" applyBorder="1" applyAlignment="1">
      <alignment horizontal="center" vertical="center"/>
    </xf>
    <xf numFmtId="167" fontId="5" fillId="0" borderId="13" xfId="2" applyNumberFormat="1" applyFont="1" applyBorder="1" applyAlignment="1">
      <alignment horizontal="center" vertical="center"/>
    </xf>
    <xf numFmtId="168" fontId="9" fillId="4" borderId="14" xfId="1" applyNumberFormat="1" applyFont="1" applyFill="1" applyBorder="1" applyAlignment="1">
      <alignment horizontal="right" vertical="center"/>
    </xf>
    <xf numFmtId="168" fontId="9" fillId="4" borderId="15" xfId="0" applyNumberFormat="1" applyFont="1" applyFill="1" applyBorder="1" applyAlignment="1">
      <alignment horizontal="right" vertical="center"/>
    </xf>
    <xf numFmtId="168" fontId="9" fillId="0" borderId="10" xfId="0" applyNumberFormat="1" applyFont="1" applyBorder="1" applyAlignment="1">
      <alignment horizontal="right" vertical="center"/>
    </xf>
    <xf numFmtId="168" fontId="10" fillId="0" borderId="11" xfId="0" applyNumberFormat="1" applyFont="1" applyBorder="1" applyAlignment="1">
      <alignment horizontal="right" vertical="center"/>
    </xf>
    <xf numFmtId="168" fontId="9" fillId="0" borderId="16" xfId="0" applyNumberFormat="1" applyFont="1" applyBorder="1" applyAlignment="1">
      <alignment horizontal="right" vertical="center"/>
    </xf>
    <xf numFmtId="167" fontId="5" fillId="3" borderId="14" xfId="2" applyNumberFormat="1" applyFont="1" applyFill="1" applyBorder="1" applyAlignment="1">
      <alignment horizontal="center" vertical="center"/>
    </xf>
    <xf numFmtId="166" fontId="5" fillId="0" borderId="14" xfId="1" applyNumberFormat="1" applyFont="1" applyBorder="1" applyAlignment="1">
      <alignment horizontal="center" vertical="center"/>
    </xf>
    <xf numFmtId="167" fontId="5" fillId="0" borderId="15" xfId="2" applyNumberFormat="1" applyFont="1" applyBorder="1" applyAlignment="1">
      <alignment horizontal="center" vertical="center"/>
    </xf>
    <xf numFmtId="1" fontId="8" fillId="2" borderId="0" xfId="0" applyNumberFormat="1" applyFont="1" applyFill="1" applyAlignment="1">
      <alignment vertical="center" wrapText="1"/>
    </xf>
    <xf numFmtId="1" fontId="3" fillId="2" borderId="0" xfId="0" applyNumberFormat="1" applyFont="1" applyFill="1" applyAlignment="1">
      <alignment vertical="center" wrapText="1"/>
    </xf>
    <xf numFmtId="1" fontId="4" fillId="2" borderId="4" xfId="0" applyNumberFormat="1" applyFont="1" applyFill="1" applyBorder="1" applyAlignment="1">
      <alignment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right" vertical="center" wrapText="1"/>
    </xf>
    <xf numFmtId="1" fontId="7" fillId="0" borderId="3" xfId="0" applyNumberFormat="1" applyFont="1" applyBorder="1" applyAlignment="1">
      <alignment horizontal="right" vertical="center" wrapText="1"/>
    </xf>
    <xf numFmtId="1" fontId="7" fillId="0" borderId="3" xfId="0" applyNumberFormat="1" applyFont="1" applyBorder="1" applyAlignment="1">
      <alignment horizontal="right" wrapText="1"/>
    </xf>
    <xf numFmtId="1" fontId="3" fillId="2" borderId="7" xfId="0" applyNumberFormat="1" applyFont="1" applyFill="1" applyBorder="1" applyAlignment="1">
      <alignment horizontal="center" vertical="center" wrapText="1"/>
    </xf>
    <xf numFmtId="168" fontId="10" fillId="0" borderId="10" xfId="0" applyNumberFormat="1" applyFont="1" applyBorder="1" applyAlignment="1">
      <alignment horizontal="right" vertical="center"/>
    </xf>
    <xf numFmtId="166" fontId="9" fillId="5" borderId="16" xfId="1" applyNumberFormat="1" applyFont="1" applyFill="1" applyBorder="1" applyAlignment="1">
      <alignment horizontal="right" vertical="center"/>
    </xf>
    <xf numFmtId="166" fontId="9" fillId="5" borderId="17" xfId="0" applyNumberFormat="1" applyFont="1" applyFill="1" applyBorder="1" applyAlignment="1">
      <alignment horizontal="right" vertical="center"/>
    </xf>
    <xf numFmtId="3" fontId="5" fillId="2" borderId="18" xfId="1" applyNumberFormat="1" applyFont="1" applyFill="1" applyBorder="1" applyAlignment="1">
      <alignment horizontal="center" vertical="center" wrapText="1"/>
    </xf>
    <xf numFmtId="168" fontId="10" fillId="0" borderId="0" xfId="0" applyNumberFormat="1" applyFont="1" applyBorder="1" applyAlignment="1">
      <alignment horizontal="right" vertical="center"/>
    </xf>
    <xf numFmtId="166" fontId="10" fillId="5" borderId="0" xfId="1" applyNumberFormat="1" applyFont="1" applyFill="1" applyBorder="1" applyAlignment="1">
      <alignment horizontal="right" vertical="center"/>
    </xf>
    <xf numFmtId="166" fontId="10" fillId="5" borderId="0" xfId="0" applyNumberFormat="1" applyFont="1" applyFill="1" applyBorder="1" applyAlignment="1">
      <alignment horizontal="right" vertical="center"/>
    </xf>
    <xf numFmtId="166" fontId="5" fillId="3" borderId="19" xfId="1" applyNumberFormat="1" applyFont="1" applyFill="1" applyBorder="1" applyAlignment="1">
      <alignment horizontal="center" vertical="center"/>
    </xf>
    <xf numFmtId="168" fontId="10" fillId="0" borderId="3" xfId="0" applyNumberFormat="1" applyFont="1" applyBorder="1" applyAlignment="1">
      <alignment horizontal="right" vertical="center"/>
    </xf>
    <xf numFmtId="166" fontId="10" fillId="5" borderId="2" xfId="1" applyNumberFormat="1" applyFont="1" applyFill="1" applyBorder="1" applyAlignment="1">
      <alignment horizontal="right" vertical="center"/>
    </xf>
    <xf numFmtId="166" fontId="10" fillId="5" borderId="1" xfId="0" applyNumberFormat="1" applyFont="1" applyFill="1" applyBorder="1" applyAlignment="1">
      <alignment horizontal="right" vertical="center"/>
    </xf>
    <xf numFmtId="1" fontId="3" fillId="2" borderId="2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vertical="center" wrapText="1"/>
    </xf>
    <xf numFmtId="166" fontId="9" fillId="5" borderId="2" xfId="1" applyNumberFormat="1" applyFont="1" applyFill="1" applyBorder="1" applyAlignment="1">
      <alignment horizontal="right" vertical="center"/>
    </xf>
    <xf numFmtId="166" fontId="9" fillId="5" borderId="1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</cellXfs>
  <cellStyles count="5">
    <cellStyle name="Обычный" xfId="0" builtinId="0"/>
    <cellStyle name="Финансовый" xfId="2" builtinId="3"/>
    <cellStyle name="Финансовый 2" xfId="1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8"/>
  <sheetViews>
    <sheetView tabSelected="1" view="pageBreakPreview" zoomScale="110" zoomScaleNormal="110" zoomScaleSheetLayoutView="110" workbookViewId="0">
      <pane xSplit="2" ySplit="7" topLeftCell="H8" activePane="bottomRight" state="frozen"/>
      <selection pane="topRight" activeCell="C1" sqref="C1"/>
      <selection pane="bottomLeft" activeCell="A8" sqref="A8"/>
      <selection pane="bottomRight" activeCell="H1" sqref="H1:K1"/>
    </sheetView>
  </sheetViews>
  <sheetFormatPr defaultColWidth="58.28515625" defaultRowHeight="12.75" x14ac:dyDescent="0.25"/>
  <cols>
    <col min="1" max="1" width="8.140625" style="53" bestFit="1" customWidth="1"/>
    <col min="2" max="2" width="98.85546875" style="4" customWidth="1"/>
    <col min="3" max="3" width="15.7109375" style="4" customWidth="1"/>
    <col min="4" max="4" width="13.85546875" style="4" customWidth="1"/>
    <col min="5" max="5" width="14.7109375" style="4" customWidth="1"/>
    <col min="6" max="6" width="14.140625" style="4" customWidth="1"/>
    <col min="7" max="7" width="14.42578125" style="4" customWidth="1"/>
    <col min="8" max="8" width="14.85546875" style="4" customWidth="1"/>
    <col min="9" max="9" width="14.140625" style="4" bestFit="1" customWidth="1"/>
    <col min="10" max="10" width="13" style="4" customWidth="1"/>
    <col min="11" max="11" width="15" style="6" customWidth="1"/>
    <col min="12" max="12" width="15.42578125" style="4" customWidth="1"/>
    <col min="13" max="13" width="15.28515625" style="4" customWidth="1"/>
    <col min="14" max="14" width="15.7109375" style="4" customWidth="1"/>
    <col min="15" max="16" width="14.5703125" style="4" customWidth="1"/>
    <col min="17" max="17" width="14.42578125" style="4" customWidth="1"/>
    <col min="18" max="18" width="14" style="4" bestFit="1" customWidth="1"/>
    <col min="19" max="19" width="13.42578125" style="4" customWidth="1"/>
    <col min="20" max="20" width="15.42578125" style="4" customWidth="1"/>
    <col min="21" max="21" width="10.85546875" style="4" bestFit="1" customWidth="1"/>
    <col min="22" max="22" width="11.5703125" style="6" bestFit="1" customWidth="1"/>
    <col min="23" max="23" width="9.28515625" style="4" bestFit="1" customWidth="1"/>
    <col min="24" max="24" width="9.140625" style="4" customWidth="1"/>
    <col min="25" max="25" width="10.5703125" style="4" bestFit="1" customWidth="1"/>
    <col min="26" max="26" width="10.42578125" style="4" bestFit="1" customWidth="1"/>
    <col min="27" max="27" width="14" style="4" bestFit="1" customWidth="1"/>
    <col min="28" max="28" width="10.28515625" style="4" customWidth="1"/>
    <col min="29" max="29" width="10.85546875" style="4" bestFit="1" customWidth="1"/>
    <col min="30" max="247" width="58.28515625" style="4"/>
    <col min="248" max="248" width="8" style="4" customWidth="1"/>
    <col min="249" max="249" width="67" style="4" customWidth="1"/>
    <col min="250" max="250" width="13.85546875" style="4" customWidth="1"/>
    <col min="251" max="253" width="13.85546875" style="4" bestFit="1" customWidth="1"/>
    <col min="254" max="254" width="12.7109375" style="4" bestFit="1" customWidth="1"/>
    <col min="255" max="255" width="14.28515625" style="4" customWidth="1"/>
    <col min="256" max="256" width="15.28515625" style="4" bestFit="1" customWidth="1"/>
    <col min="257" max="257" width="12.7109375" style="4" bestFit="1" customWidth="1"/>
    <col min="258" max="258" width="15.42578125" style="4" bestFit="1" customWidth="1"/>
    <col min="259" max="259" width="17.7109375" style="4" bestFit="1" customWidth="1"/>
    <col min="260" max="260" width="7.7109375" style="4" bestFit="1" customWidth="1"/>
    <col min="261" max="261" width="13.28515625" style="4" customWidth="1"/>
    <col min="262" max="262" width="23.5703125" style="4" customWidth="1"/>
    <col min="263" max="503" width="58.28515625" style="4"/>
    <col min="504" max="504" width="8" style="4" customWidth="1"/>
    <col min="505" max="505" width="67" style="4" customWidth="1"/>
    <col min="506" max="506" width="13.85546875" style="4" customWidth="1"/>
    <col min="507" max="509" width="13.85546875" style="4" bestFit="1" customWidth="1"/>
    <col min="510" max="510" width="12.7109375" style="4" bestFit="1" customWidth="1"/>
    <col min="511" max="511" width="14.28515625" style="4" customWidth="1"/>
    <col min="512" max="512" width="15.28515625" style="4" bestFit="1" customWidth="1"/>
    <col min="513" max="513" width="12.7109375" style="4" bestFit="1" customWidth="1"/>
    <col min="514" max="514" width="15.42578125" style="4" bestFit="1" customWidth="1"/>
    <col min="515" max="515" width="17.7109375" style="4" bestFit="1" customWidth="1"/>
    <col min="516" max="516" width="7.7109375" style="4" bestFit="1" customWidth="1"/>
    <col min="517" max="517" width="13.28515625" style="4" customWidth="1"/>
    <col min="518" max="518" width="23.5703125" style="4" customWidth="1"/>
    <col min="519" max="759" width="58.28515625" style="4"/>
    <col min="760" max="760" width="8" style="4" customWidth="1"/>
    <col min="761" max="761" width="67" style="4" customWidth="1"/>
    <col min="762" max="762" width="13.85546875" style="4" customWidth="1"/>
    <col min="763" max="765" width="13.85546875" style="4" bestFit="1" customWidth="1"/>
    <col min="766" max="766" width="12.7109375" style="4" bestFit="1" customWidth="1"/>
    <col min="767" max="767" width="14.28515625" style="4" customWidth="1"/>
    <col min="768" max="768" width="15.28515625" style="4" bestFit="1" customWidth="1"/>
    <col min="769" max="769" width="12.7109375" style="4" bestFit="1" customWidth="1"/>
    <col min="770" max="770" width="15.42578125" style="4" bestFit="1" customWidth="1"/>
    <col min="771" max="771" width="17.7109375" style="4" bestFit="1" customWidth="1"/>
    <col min="772" max="772" width="7.7109375" style="4" bestFit="1" customWidth="1"/>
    <col min="773" max="773" width="13.28515625" style="4" customWidth="1"/>
    <col min="774" max="774" width="23.5703125" style="4" customWidth="1"/>
    <col min="775" max="1015" width="58.28515625" style="4"/>
    <col min="1016" max="1016" width="8" style="4" customWidth="1"/>
    <col min="1017" max="1017" width="67" style="4" customWidth="1"/>
    <col min="1018" max="1018" width="13.85546875" style="4" customWidth="1"/>
    <col min="1019" max="1021" width="13.85546875" style="4" bestFit="1" customWidth="1"/>
    <col min="1022" max="1022" width="12.7109375" style="4" bestFit="1" customWidth="1"/>
    <col min="1023" max="1023" width="14.28515625" style="4" customWidth="1"/>
    <col min="1024" max="1024" width="15.28515625" style="4" bestFit="1" customWidth="1"/>
    <col min="1025" max="1025" width="12.7109375" style="4" bestFit="1" customWidth="1"/>
    <col min="1026" max="1026" width="15.42578125" style="4" bestFit="1" customWidth="1"/>
    <col min="1027" max="1027" width="17.7109375" style="4" bestFit="1" customWidth="1"/>
    <col min="1028" max="1028" width="7.7109375" style="4" bestFit="1" customWidth="1"/>
    <col min="1029" max="1029" width="13.28515625" style="4" customWidth="1"/>
    <col min="1030" max="1030" width="23.5703125" style="4" customWidth="1"/>
    <col min="1031" max="1271" width="58.28515625" style="4"/>
    <col min="1272" max="1272" width="8" style="4" customWidth="1"/>
    <col min="1273" max="1273" width="67" style="4" customWidth="1"/>
    <col min="1274" max="1274" width="13.85546875" style="4" customWidth="1"/>
    <col min="1275" max="1277" width="13.85546875" style="4" bestFit="1" customWidth="1"/>
    <col min="1278" max="1278" width="12.7109375" style="4" bestFit="1" customWidth="1"/>
    <col min="1279" max="1279" width="14.28515625" style="4" customWidth="1"/>
    <col min="1280" max="1280" width="15.28515625" style="4" bestFit="1" customWidth="1"/>
    <col min="1281" max="1281" width="12.7109375" style="4" bestFit="1" customWidth="1"/>
    <col min="1282" max="1282" width="15.42578125" style="4" bestFit="1" customWidth="1"/>
    <col min="1283" max="1283" width="17.7109375" style="4" bestFit="1" customWidth="1"/>
    <col min="1284" max="1284" width="7.7109375" style="4" bestFit="1" customWidth="1"/>
    <col min="1285" max="1285" width="13.28515625" style="4" customWidth="1"/>
    <col min="1286" max="1286" width="23.5703125" style="4" customWidth="1"/>
    <col min="1287" max="1527" width="58.28515625" style="4"/>
    <col min="1528" max="1528" width="8" style="4" customWidth="1"/>
    <col min="1529" max="1529" width="67" style="4" customWidth="1"/>
    <col min="1530" max="1530" width="13.85546875" style="4" customWidth="1"/>
    <col min="1531" max="1533" width="13.85546875" style="4" bestFit="1" customWidth="1"/>
    <col min="1534" max="1534" width="12.7109375" style="4" bestFit="1" customWidth="1"/>
    <col min="1535" max="1535" width="14.28515625" style="4" customWidth="1"/>
    <col min="1536" max="1536" width="15.28515625" style="4" bestFit="1" customWidth="1"/>
    <col min="1537" max="1537" width="12.7109375" style="4" bestFit="1" customWidth="1"/>
    <col min="1538" max="1538" width="15.42578125" style="4" bestFit="1" customWidth="1"/>
    <col min="1539" max="1539" width="17.7109375" style="4" bestFit="1" customWidth="1"/>
    <col min="1540" max="1540" width="7.7109375" style="4" bestFit="1" customWidth="1"/>
    <col min="1541" max="1541" width="13.28515625" style="4" customWidth="1"/>
    <col min="1542" max="1542" width="23.5703125" style="4" customWidth="1"/>
    <col min="1543" max="1783" width="58.28515625" style="4"/>
    <col min="1784" max="1784" width="8" style="4" customWidth="1"/>
    <col min="1785" max="1785" width="67" style="4" customWidth="1"/>
    <col min="1786" max="1786" width="13.85546875" style="4" customWidth="1"/>
    <col min="1787" max="1789" width="13.85546875" style="4" bestFit="1" customWidth="1"/>
    <col min="1790" max="1790" width="12.7109375" style="4" bestFit="1" customWidth="1"/>
    <col min="1791" max="1791" width="14.28515625" style="4" customWidth="1"/>
    <col min="1792" max="1792" width="15.28515625" style="4" bestFit="1" customWidth="1"/>
    <col min="1793" max="1793" width="12.7109375" style="4" bestFit="1" customWidth="1"/>
    <col min="1794" max="1794" width="15.42578125" style="4" bestFit="1" customWidth="1"/>
    <col min="1795" max="1795" width="17.7109375" style="4" bestFit="1" customWidth="1"/>
    <col min="1796" max="1796" width="7.7109375" style="4" bestFit="1" customWidth="1"/>
    <col min="1797" max="1797" width="13.28515625" style="4" customWidth="1"/>
    <col min="1798" max="1798" width="23.5703125" style="4" customWidth="1"/>
    <col min="1799" max="2039" width="58.28515625" style="4"/>
    <col min="2040" max="2040" width="8" style="4" customWidth="1"/>
    <col min="2041" max="2041" width="67" style="4" customWidth="1"/>
    <col min="2042" max="2042" width="13.85546875" style="4" customWidth="1"/>
    <col min="2043" max="2045" width="13.85546875" style="4" bestFit="1" customWidth="1"/>
    <col min="2046" max="2046" width="12.7109375" style="4" bestFit="1" customWidth="1"/>
    <col min="2047" max="2047" width="14.28515625" style="4" customWidth="1"/>
    <col min="2048" max="2048" width="15.28515625" style="4" bestFit="1" customWidth="1"/>
    <col min="2049" max="2049" width="12.7109375" style="4" bestFit="1" customWidth="1"/>
    <col min="2050" max="2050" width="15.42578125" style="4" bestFit="1" customWidth="1"/>
    <col min="2051" max="2051" width="17.7109375" style="4" bestFit="1" customWidth="1"/>
    <col min="2052" max="2052" width="7.7109375" style="4" bestFit="1" customWidth="1"/>
    <col min="2053" max="2053" width="13.28515625" style="4" customWidth="1"/>
    <col min="2054" max="2054" width="23.5703125" style="4" customWidth="1"/>
    <col min="2055" max="2295" width="58.28515625" style="4"/>
    <col min="2296" max="2296" width="8" style="4" customWidth="1"/>
    <col min="2297" max="2297" width="67" style="4" customWidth="1"/>
    <col min="2298" max="2298" width="13.85546875" style="4" customWidth="1"/>
    <col min="2299" max="2301" width="13.85546875" style="4" bestFit="1" customWidth="1"/>
    <col min="2302" max="2302" width="12.7109375" style="4" bestFit="1" customWidth="1"/>
    <col min="2303" max="2303" width="14.28515625" style="4" customWidth="1"/>
    <col min="2304" max="2304" width="15.28515625" style="4" bestFit="1" customWidth="1"/>
    <col min="2305" max="2305" width="12.7109375" style="4" bestFit="1" customWidth="1"/>
    <col min="2306" max="2306" width="15.42578125" style="4" bestFit="1" customWidth="1"/>
    <col min="2307" max="2307" width="17.7109375" style="4" bestFit="1" customWidth="1"/>
    <col min="2308" max="2308" width="7.7109375" style="4" bestFit="1" customWidth="1"/>
    <col min="2309" max="2309" width="13.28515625" style="4" customWidth="1"/>
    <col min="2310" max="2310" width="23.5703125" style="4" customWidth="1"/>
    <col min="2311" max="2551" width="58.28515625" style="4"/>
    <col min="2552" max="2552" width="8" style="4" customWidth="1"/>
    <col min="2553" max="2553" width="67" style="4" customWidth="1"/>
    <col min="2554" max="2554" width="13.85546875" style="4" customWidth="1"/>
    <col min="2555" max="2557" width="13.85546875" style="4" bestFit="1" customWidth="1"/>
    <col min="2558" max="2558" width="12.7109375" style="4" bestFit="1" customWidth="1"/>
    <col min="2559" max="2559" width="14.28515625" style="4" customWidth="1"/>
    <col min="2560" max="2560" width="15.28515625" style="4" bestFit="1" customWidth="1"/>
    <col min="2561" max="2561" width="12.7109375" style="4" bestFit="1" customWidth="1"/>
    <col min="2562" max="2562" width="15.42578125" style="4" bestFit="1" customWidth="1"/>
    <col min="2563" max="2563" width="17.7109375" style="4" bestFit="1" customWidth="1"/>
    <col min="2564" max="2564" width="7.7109375" style="4" bestFit="1" customWidth="1"/>
    <col min="2565" max="2565" width="13.28515625" style="4" customWidth="1"/>
    <col min="2566" max="2566" width="23.5703125" style="4" customWidth="1"/>
    <col min="2567" max="2807" width="58.28515625" style="4"/>
    <col min="2808" max="2808" width="8" style="4" customWidth="1"/>
    <col min="2809" max="2809" width="67" style="4" customWidth="1"/>
    <col min="2810" max="2810" width="13.85546875" style="4" customWidth="1"/>
    <col min="2811" max="2813" width="13.85546875" style="4" bestFit="1" customWidth="1"/>
    <col min="2814" max="2814" width="12.7109375" style="4" bestFit="1" customWidth="1"/>
    <col min="2815" max="2815" width="14.28515625" style="4" customWidth="1"/>
    <col min="2816" max="2816" width="15.28515625" style="4" bestFit="1" customWidth="1"/>
    <col min="2817" max="2817" width="12.7109375" style="4" bestFit="1" customWidth="1"/>
    <col min="2818" max="2818" width="15.42578125" style="4" bestFit="1" customWidth="1"/>
    <col min="2819" max="2819" width="17.7109375" style="4" bestFit="1" customWidth="1"/>
    <col min="2820" max="2820" width="7.7109375" style="4" bestFit="1" customWidth="1"/>
    <col min="2821" max="2821" width="13.28515625" style="4" customWidth="1"/>
    <col min="2822" max="2822" width="23.5703125" style="4" customWidth="1"/>
    <col min="2823" max="3063" width="58.28515625" style="4"/>
    <col min="3064" max="3064" width="8" style="4" customWidth="1"/>
    <col min="3065" max="3065" width="67" style="4" customWidth="1"/>
    <col min="3066" max="3066" width="13.85546875" style="4" customWidth="1"/>
    <col min="3067" max="3069" width="13.85546875" style="4" bestFit="1" customWidth="1"/>
    <col min="3070" max="3070" width="12.7109375" style="4" bestFit="1" customWidth="1"/>
    <col min="3071" max="3071" width="14.28515625" style="4" customWidth="1"/>
    <col min="3072" max="3072" width="15.28515625" style="4" bestFit="1" customWidth="1"/>
    <col min="3073" max="3073" width="12.7109375" style="4" bestFit="1" customWidth="1"/>
    <col min="3074" max="3074" width="15.42578125" style="4" bestFit="1" customWidth="1"/>
    <col min="3075" max="3075" width="17.7109375" style="4" bestFit="1" customWidth="1"/>
    <col min="3076" max="3076" width="7.7109375" style="4" bestFit="1" customWidth="1"/>
    <col min="3077" max="3077" width="13.28515625" style="4" customWidth="1"/>
    <col min="3078" max="3078" width="23.5703125" style="4" customWidth="1"/>
    <col min="3079" max="3319" width="58.28515625" style="4"/>
    <col min="3320" max="3320" width="8" style="4" customWidth="1"/>
    <col min="3321" max="3321" width="67" style="4" customWidth="1"/>
    <col min="3322" max="3322" width="13.85546875" style="4" customWidth="1"/>
    <col min="3323" max="3325" width="13.85546875" style="4" bestFit="1" customWidth="1"/>
    <col min="3326" max="3326" width="12.7109375" style="4" bestFit="1" customWidth="1"/>
    <col min="3327" max="3327" width="14.28515625" style="4" customWidth="1"/>
    <col min="3328" max="3328" width="15.28515625" style="4" bestFit="1" customWidth="1"/>
    <col min="3329" max="3329" width="12.7109375" style="4" bestFit="1" customWidth="1"/>
    <col min="3330" max="3330" width="15.42578125" style="4" bestFit="1" customWidth="1"/>
    <col min="3331" max="3331" width="17.7109375" style="4" bestFit="1" customWidth="1"/>
    <col min="3332" max="3332" width="7.7109375" style="4" bestFit="1" customWidth="1"/>
    <col min="3333" max="3333" width="13.28515625" style="4" customWidth="1"/>
    <col min="3334" max="3334" width="23.5703125" style="4" customWidth="1"/>
    <col min="3335" max="3575" width="58.28515625" style="4"/>
    <col min="3576" max="3576" width="8" style="4" customWidth="1"/>
    <col min="3577" max="3577" width="67" style="4" customWidth="1"/>
    <col min="3578" max="3578" width="13.85546875" style="4" customWidth="1"/>
    <col min="3579" max="3581" width="13.85546875" style="4" bestFit="1" customWidth="1"/>
    <col min="3582" max="3582" width="12.7109375" style="4" bestFit="1" customWidth="1"/>
    <col min="3583" max="3583" width="14.28515625" style="4" customWidth="1"/>
    <col min="3584" max="3584" width="15.28515625" style="4" bestFit="1" customWidth="1"/>
    <col min="3585" max="3585" width="12.7109375" style="4" bestFit="1" customWidth="1"/>
    <col min="3586" max="3586" width="15.42578125" style="4" bestFit="1" customWidth="1"/>
    <col min="3587" max="3587" width="17.7109375" style="4" bestFit="1" customWidth="1"/>
    <col min="3588" max="3588" width="7.7109375" style="4" bestFit="1" customWidth="1"/>
    <col min="3589" max="3589" width="13.28515625" style="4" customWidth="1"/>
    <col min="3590" max="3590" width="23.5703125" style="4" customWidth="1"/>
    <col min="3591" max="3831" width="58.28515625" style="4"/>
    <col min="3832" max="3832" width="8" style="4" customWidth="1"/>
    <col min="3833" max="3833" width="67" style="4" customWidth="1"/>
    <col min="3834" max="3834" width="13.85546875" style="4" customWidth="1"/>
    <col min="3835" max="3837" width="13.85546875" style="4" bestFit="1" customWidth="1"/>
    <col min="3838" max="3838" width="12.7109375" style="4" bestFit="1" customWidth="1"/>
    <col min="3839" max="3839" width="14.28515625" style="4" customWidth="1"/>
    <col min="3840" max="3840" width="15.28515625" style="4" bestFit="1" customWidth="1"/>
    <col min="3841" max="3841" width="12.7109375" style="4" bestFit="1" customWidth="1"/>
    <col min="3842" max="3842" width="15.42578125" style="4" bestFit="1" customWidth="1"/>
    <col min="3843" max="3843" width="17.7109375" style="4" bestFit="1" customWidth="1"/>
    <col min="3844" max="3844" width="7.7109375" style="4" bestFit="1" customWidth="1"/>
    <col min="3845" max="3845" width="13.28515625" style="4" customWidth="1"/>
    <col min="3846" max="3846" width="23.5703125" style="4" customWidth="1"/>
    <col min="3847" max="4087" width="58.28515625" style="4"/>
    <col min="4088" max="4088" width="8" style="4" customWidth="1"/>
    <col min="4089" max="4089" width="67" style="4" customWidth="1"/>
    <col min="4090" max="4090" width="13.85546875" style="4" customWidth="1"/>
    <col min="4091" max="4093" width="13.85546875" style="4" bestFit="1" customWidth="1"/>
    <col min="4094" max="4094" width="12.7109375" style="4" bestFit="1" customWidth="1"/>
    <col min="4095" max="4095" width="14.28515625" style="4" customWidth="1"/>
    <col min="4096" max="4096" width="15.28515625" style="4" bestFit="1" customWidth="1"/>
    <col min="4097" max="4097" width="12.7109375" style="4" bestFit="1" customWidth="1"/>
    <col min="4098" max="4098" width="15.42578125" style="4" bestFit="1" customWidth="1"/>
    <col min="4099" max="4099" width="17.7109375" style="4" bestFit="1" customWidth="1"/>
    <col min="4100" max="4100" width="7.7109375" style="4" bestFit="1" customWidth="1"/>
    <col min="4101" max="4101" width="13.28515625" style="4" customWidth="1"/>
    <col min="4102" max="4102" width="23.5703125" style="4" customWidth="1"/>
    <col min="4103" max="4343" width="58.28515625" style="4"/>
    <col min="4344" max="4344" width="8" style="4" customWidth="1"/>
    <col min="4345" max="4345" width="67" style="4" customWidth="1"/>
    <col min="4346" max="4346" width="13.85546875" style="4" customWidth="1"/>
    <col min="4347" max="4349" width="13.85546875" style="4" bestFit="1" customWidth="1"/>
    <col min="4350" max="4350" width="12.7109375" style="4" bestFit="1" customWidth="1"/>
    <col min="4351" max="4351" width="14.28515625" style="4" customWidth="1"/>
    <col min="4352" max="4352" width="15.28515625" style="4" bestFit="1" customWidth="1"/>
    <col min="4353" max="4353" width="12.7109375" style="4" bestFit="1" customWidth="1"/>
    <col min="4354" max="4354" width="15.42578125" style="4" bestFit="1" customWidth="1"/>
    <col min="4355" max="4355" width="17.7109375" style="4" bestFit="1" customWidth="1"/>
    <col min="4356" max="4356" width="7.7109375" style="4" bestFit="1" customWidth="1"/>
    <col min="4357" max="4357" width="13.28515625" style="4" customWidth="1"/>
    <col min="4358" max="4358" width="23.5703125" style="4" customWidth="1"/>
    <col min="4359" max="4599" width="58.28515625" style="4"/>
    <col min="4600" max="4600" width="8" style="4" customWidth="1"/>
    <col min="4601" max="4601" width="67" style="4" customWidth="1"/>
    <col min="4602" max="4602" width="13.85546875" style="4" customWidth="1"/>
    <col min="4603" max="4605" width="13.85546875" style="4" bestFit="1" customWidth="1"/>
    <col min="4606" max="4606" width="12.7109375" style="4" bestFit="1" customWidth="1"/>
    <col min="4607" max="4607" width="14.28515625" style="4" customWidth="1"/>
    <col min="4608" max="4608" width="15.28515625" style="4" bestFit="1" customWidth="1"/>
    <col min="4609" max="4609" width="12.7109375" style="4" bestFit="1" customWidth="1"/>
    <col min="4610" max="4610" width="15.42578125" style="4" bestFit="1" customWidth="1"/>
    <col min="4611" max="4611" width="17.7109375" style="4" bestFit="1" customWidth="1"/>
    <col min="4612" max="4612" width="7.7109375" style="4" bestFit="1" customWidth="1"/>
    <col min="4613" max="4613" width="13.28515625" style="4" customWidth="1"/>
    <col min="4614" max="4614" width="23.5703125" style="4" customWidth="1"/>
    <col min="4615" max="4855" width="58.28515625" style="4"/>
    <col min="4856" max="4856" width="8" style="4" customWidth="1"/>
    <col min="4857" max="4857" width="67" style="4" customWidth="1"/>
    <col min="4858" max="4858" width="13.85546875" style="4" customWidth="1"/>
    <col min="4859" max="4861" width="13.85546875" style="4" bestFit="1" customWidth="1"/>
    <col min="4862" max="4862" width="12.7109375" style="4" bestFit="1" customWidth="1"/>
    <col min="4863" max="4863" width="14.28515625" style="4" customWidth="1"/>
    <col min="4864" max="4864" width="15.28515625" style="4" bestFit="1" customWidth="1"/>
    <col min="4865" max="4865" width="12.7109375" style="4" bestFit="1" customWidth="1"/>
    <col min="4866" max="4866" width="15.42578125" style="4" bestFit="1" customWidth="1"/>
    <col min="4867" max="4867" width="17.7109375" style="4" bestFit="1" customWidth="1"/>
    <col min="4868" max="4868" width="7.7109375" style="4" bestFit="1" customWidth="1"/>
    <col min="4869" max="4869" width="13.28515625" style="4" customWidth="1"/>
    <col min="4870" max="4870" width="23.5703125" style="4" customWidth="1"/>
    <col min="4871" max="5111" width="58.28515625" style="4"/>
    <col min="5112" max="5112" width="8" style="4" customWidth="1"/>
    <col min="5113" max="5113" width="67" style="4" customWidth="1"/>
    <col min="5114" max="5114" width="13.85546875" style="4" customWidth="1"/>
    <col min="5115" max="5117" width="13.85546875" style="4" bestFit="1" customWidth="1"/>
    <col min="5118" max="5118" width="12.7109375" style="4" bestFit="1" customWidth="1"/>
    <col min="5119" max="5119" width="14.28515625" style="4" customWidth="1"/>
    <col min="5120" max="5120" width="15.28515625" style="4" bestFit="1" customWidth="1"/>
    <col min="5121" max="5121" width="12.7109375" style="4" bestFit="1" customWidth="1"/>
    <col min="5122" max="5122" width="15.42578125" style="4" bestFit="1" customWidth="1"/>
    <col min="5123" max="5123" width="17.7109375" style="4" bestFit="1" customWidth="1"/>
    <col min="5124" max="5124" width="7.7109375" style="4" bestFit="1" customWidth="1"/>
    <col min="5125" max="5125" width="13.28515625" style="4" customWidth="1"/>
    <col min="5126" max="5126" width="23.5703125" style="4" customWidth="1"/>
    <col min="5127" max="5367" width="58.28515625" style="4"/>
    <col min="5368" max="5368" width="8" style="4" customWidth="1"/>
    <col min="5369" max="5369" width="67" style="4" customWidth="1"/>
    <col min="5370" max="5370" width="13.85546875" style="4" customWidth="1"/>
    <col min="5371" max="5373" width="13.85546875" style="4" bestFit="1" customWidth="1"/>
    <col min="5374" max="5374" width="12.7109375" style="4" bestFit="1" customWidth="1"/>
    <col min="5375" max="5375" width="14.28515625" style="4" customWidth="1"/>
    <col min="5376" max="5376" width="15.28515625" style="4" bestFit="1" customWidth="1"/>
    <col min="5377" max="5377" width="12.7109375" style="4" bestFit="1" customWidth="1"/>
    <col min="5378" max="5378" width="15.42578125" style="4" bestFit="1" customWidth="1"/>
    <col min="5379" max="5379" width="17.7109375" style="4" bestFit="1" customWidth="1"/>
    <col min="5380" max="5380" width="7.7109375" style="4" bestFit="1" customWidth="1"/>
    <col min="5381" max="5381" width="13.28515625" style="4" customWidth="1"/>
    <col min="5382" max="5382" width="23.5703125" style="4" customWidth="1"/>
    <col min="5383" max="5623" width="58.28515625" style="4"/>
    <col min="5624" max="5624" width="8" style="4" customWidth="1"/>
    <col min="5625" max="5625" width="67" style="4" customWidth="1"/>
    <col min="5626" max="5626" width="13.85546875" style="4" customWidth="1"/>
    <col min="5627" max="5629" width="13.85546875" style="4" bestFit="1" customWidth="1"/>
    <col min="5630" max="5630" width="12.7109375" style="4" bestFit="1" customWidth="1"/>
    <col min="5631" max="5631" width="14.28515625" style="4" customWidth="1"/>
    <col min="5632" max="5632" width="15.28515625" style="4" bestFit="1" customWidth="1"/>
    <col min="5633" max="5633" width="12.7109375" style="4" bestFit="1" customWidth="1"/>
    <col min="5634" max="5634" width="15.42578125" style="4" bestFit="1" customWidth="1"/>
    <col min="5635" max="5635" width="17.7109375" style="4" bestFit="1" customWidth="1"/>
    <col min="5636" max="5636" width="7.7109375" style="4" bestFit="1" customWidth="1"/>
    <col min="5637" max="5637" width="13.28515625" style="4" customWidth="1"/>
    <col min="5638" max="5638" width="23.5703125" style="4" customWidth="1"/>
    <col min="5639" max="5879" width="58.28515625" style="4"/>
    <col min="5880" max="5880" width="8" style="4" customWidth="1"/>
    <col min="5881" max="5881" width="67" style="4" customWidth="1"/>
    <col min="5882" max="5882" width="13.85546875" style="4" customWidth="1"/>
    <col min="5883" max="5885" width="13.85546875" style="4" bestFit="1" customWidth="1"/>
    <col min="5886" max="5886" width="12.7109375" style="4" bestFit="1" customWidth="1"/>
    <col min="5887" max="5887" width="14.28515625" style="4" customWidth="1"/>
    <col min="5888" max="5888" width="15.28515625" style="4" bestFit="1" customWidth="1"/>
    <col min="5889" max="5889" width="12.7109375" style="4" bestFit="1" customWidth="1"/>
    <col min="5890" max="5890" width="15.42578125" style="4" bestFit="1" customWidth="1"/>
    <col min="5891" max="5891" width="17.7109375" style="4" bestFit="1" customWidth="1"/>
    <col min="5892" max="5892" width="7.7109375" style="4" bestFit="1" customWidth="1"/>
    <col min="5893" max="5893" width="13.28515625" style="4" customWidth="1"/>
    <col min="5894" max="5894" width="23.5703125" style="4" customWidth="1"/>
    <col min="5895" max="6135" width="58.28515625" style="4"/>
    <col min="6136" max="6136" width="8" style="4" customWidth="1"/>
    <col min="6137" max="6137" width="67" style="4" customWidth="1"/>
    <col min="6138" max="6138" width="13.85546875" style="4" customWidth="1"/>
    <col min="6139" max="6141" width="13.85546875" style="4" bestFit="1" customWidth="1"/>
    <col min="6142" max="6142" width="12.7109375" style="4" bestFit="1" customWidth="1"/>
    <col min="6143" max="6143" width="14.28515625" style="4" customWidth="1"/>
    <col min="6144" max="6144" width="15.28515625" style="4" bestFit="1" customWidth="1"/>
    <col min="6145" max="6145" width="12.7109375" style="4" bestFit="1" customWidth="1"/>
    <col min="6146" max="6146" width="15.42578125" style="4" bestFit="1" customWidth="1"/>
    <col min="6147" max="6147" width="17.7109375" style="4" bestFit="1" customWidth="1"/>
    <col min="6148" max="6148" width="7.7109375" style="4" bestFit="1" customWidth="1"/>
    <col min="6149" max="6149" width="13.28515625" style="4" customWidth="1"/>
    <col min="6150" max="6150" width="23.5703125" style="4" customWidth="1"/>
    <col min="6151" max="6391" width="58.28515625" style="4"/>
    <col min="6392" max="6392" width="8" style="4" customWidth="1"/>
    <col min="6393" max="6393" width="67" style="4" customWidth="1"/>
    <col min="6394" max="6394" width="13.85546875" style="4" customWidth="1"/>
    <col min="6395" max="6397" width="13.85546875" style="4" bestFit="1" customWidth="1"/>
    <col min="6398" max="6398" width="12.7109375" style="4" bestFit="1" customWidth="1"/>
    <col min="6399" max="6399" width="14.28515625" style="4" customWidth="1"/>
    <col min="6400" max="6400" width="15.28515625" style="4" bestFit="1" customWidth="1"/>
    <col min="6401" max="6401" width="12.7109375" style="4" bestFit="1" customWidth="1"/>
    <col min="6402" max="6402" width="15.42578125" style="4" bestFit="1" customWidth="1"/>
    <col min="6403" max="6403" width="17.7109375" style="4" bestFit="1" customWidth="1"/>
    <col min="6404" max="6404" width="7.7109375" style="4" bestFit="1" customWidth="1"/>
    <col min="6405" max="6405" width="13.28515625" style="4" customWidth="1"/>
    <col min="6406" max="6406" width="23.5703125" style="4" customWidth="1"/>
    <col min="6407" max="6647" width="58.28515625" style="4"/>
    <col min="6648" max="6648" width="8" style="4" customWidth="1"/>
    <col min="6649" max="6649" width="67" style="4" customWidth="1"/>
    <col min="6650" max="6650" width="13.85546875" style="4" customWidth="1"/>
    <col min="6651" max="6653" width="13.85546875" style="4" bestFit="1" customWidth="1"/>
    <col min="6654" max="6654" width="12.7109375" style="4" bestFit="1" customWidth="1"/>
    <col min="6655" max="6655" width="14.28515625" style="4" customWidth="1"/>
    <col min="6656" max="6656" width="15.28515625" style="4" bestFit="1" customWidth="1"/>
    <col min="6657" max="6657" width="12.7109375" style="4" bestFit="1" customWidth="1"/>
    <col min="6658" max="6658" width="15.42578125" style="4" bestFit="1" customWidth="1"/>
    <col min="6659" max="6659" width="17.7109375" style="4" bestFit="1" customWidth="1"/>
    <col min="6660" max="6660" width="7.7109375" style="4" bestFit="1" customWidth="1"/>
    <col min="6661" max="6661" width="13.28515625" style="4" customWidth="1"/>
    <col min="6662" max="6662" width="23.5703125" style="4" customWidth="1"/>
    <col min="6663" max="6903" width="58.28515625" style="4"/>
    <col min="6904" max="6904" width="8" style="4" customWidth="1"/>
    <col min="6905" max="6905" width="67" style="4" customWidth="1"/>
    <col min="6906" max="6906" width="13.85546875" style="4" customWidth="1"/>
    <col min="6907" max="6909" width="13.85546875" style="4" bestFit="1" customWidth="1"/>
    <col min="6910" max="6910" width="12.7109375" style="4" bestFit="1" customWidth="1"/>
    <col min="6911" max="6911" width="14.28515625" style="4" customWidth="1"/>
    <col min="6912" max="6912" width="15.28515625" style="4" bestFit="1" customWidth="1"/>
    <col min="6913" max="6913" width="12.7109375" style="4" bestFit="1" customWidth="1"/>
    <col min="6914" max="6914" width="15.42578125" style="4" bestFit="1" customWidth="1"/>
    <col min="6915" max="6915" width="17.7109375" style="4" bestFit="1" customWidth="1"/>
    <col min="6916" max="6916" width="7.7109375" style="4" bestFit="1" customWidth="1"/>
    <col min="6917" max="6917" width="13.28515625" style="4" customWidth="1"/>
    <col min="6918" max="6918" width="23.5703125" style="4" customWidth="1"/>
    <col min="6919" max="7159" width="58.28515625" style="4"/>
    <col min="7160" max="7160" width="8" style="4" customWidth="1"/>
    <col min="7161" max="7161" width="67" style="4" customWidth="1"/>
    <col min="7162" max="7162" width="13.85546875" style="4" customWidth="1"/>
    <col min="7163" max="7165" width="13.85546875" style="4" bestFit="1" customWidth="1"/>
    <col min="7166" max="7166" width="12.7109375" style="4" bestFit="1" customWidth="1"/>
    <col min="7167" max="7167" width="14.28515625" style="4" customWidth="1"/>
    <col min="7168" max="7168" width="15.28515625" style="4" bestFit="1" customWidth="1"/>
    <col min="7169" max="7169" width="12.7109375" style="4" bestFit="1" customWidth="1"/>
    <col min="7170" max="7170" width="15.42578125" style="4" bestFit="1" customWidth="1"/>
    <col min="7171" max="7171" width="17.7109375" style="4" bestFit="1" customWidth="1"/>
    <col min="7172" max="7172" width="7.7109375" style="4" bestFit="1" customWidth="1"/>
    <col min="7173" max="7173" width="13.28515625" style="4" customWidth="1"/>
    <col min="7174" max="7174" width="23.5703125" style="4" customWidth="1"/>
    <col min="7175" max="7415" width="58.28515625" style="4"/>
    <col min="7416" max="7416" width="8" style="4" customWidth="1"/>
    <col min="7417" max="7417" width="67" style="4" customWidth="1"/>
    <col min="7418" max="7418" width="13.85546875" style="4" customWidth="1"/>
    <col min="7419" max="7421" width="13.85546875" style="4" bestFit="1" customWidth="1"/>
    <col min="7422" max="7422" width="12.7109375" style="4" bestFit="1" customWidth="1"/>
    <col min="7423" max="7423" width="14.28515625" style="4" customWidth="1"/>
    <col min="7424" max="7424" width="15.28515625" style="4" bestFit="1" customWidth="1"/>
    <col min="7425" max="7425" width="12.7109375" style="4" bestFit="1" customWidth="1"/>
    <col min="7426" max="7426" width="15.42578125" style="4" bestFit="1" customWidth="1"/>
    <col min="7427" max="7427" width="17.7109375" style="4" bestFit="1" customWidth="1"/>
    <col min="7428" max="7428" width="7.7109375" style="4" bestFit="1" customWidth="1"/>
    <col min="7429" max="7429" width="13.28515625" style="4" customWidth="1"/>
    <col min="7430" max="7430" width="23.5703125" style="4" customWidth="1"/>
    <col min="7431" max="7671" width="58.28515625" style="4"/>
    <col min="7672" max="7672" width="8" style="4" customWidth="1"/>
    <col min="7673" max="7673" width="67" style="4" customWidth="1"/>
    <col min="7674" max="7674" width="13.85546875" style="4" customWidth="1"/>
    <col min="7675" max="7677" width="13.85546875" style="4" bestFit="1" customWidth="1"/>
    <col min="7678" max="7678" width="12.7109375" style="4" bestFit="1" customWidth="1"/>
    <col min="7679" max="7679" width="14.28515625" style="4" customWidth="1"/>
    <col min="7680" max="7680" width="15.28515625" style="4" bestFit="1" customWidth="1"/>
    <col min="7681" max="7681" width="12.7109375" style="4" bestFit="1" customWidth="1"/>
    <col min="7682" max="7682" width="15.42578125" style="4" bestFit="1" customWidth="1"/>
    <col min="7683" max="7683" width="17.7109375" style="4" bestFit="1" customWidth="1"/>
    <col min="7684" max="7684" width="7.7109375" style="4" bestFit="1" customWidth="1"/>
    <col min="7685" max="7685" width="13.28515625" style="4" customWidth="1"/>
    <col min="7686" max="7686" width="23.5703125" style="4" customWidth="1"/>
    <col min="7687" max="7927" width="58.28515625" style="4"/>
    <col min="7928" max="7928" width="8" style="4" customWidth="1"/>
    <col min="7929" max="7929" width="67" style="4" customWidth="1"/>
    <col min="7930" max="7930" width="13.85546875" style="4" customWidth="1"/>
    <col min="7931" max="7933" width="13.85546875" style="4" bestFit="1" customWidth="1"/>
    <col min="7934" max="7934" width="12.7109375" style="4" bestFit="1" customWidth="1"/>
    <col min="7935" max="7935" width="14.28515625" style="4" customWidth="1"/>
    <col min="7936" max="7936" width="15.28515625" style="4" bestFit="1" customWidth="1"/>
    <col min="7937" max="7937" width="12.7109375" style="4" bestFit="1" customWidth="1"/>
    <col min="7938" max="7938" width="15.42578125" style="4" bestFit="1" customWidth="1"/>
    <col min="7939" max="7939" width="17.7109375" style="4" bestFit="1" customWidth="1"/>
    <col min="7940" max="7940" width="7.7109375" style="4" bestFit="1" customWidth="1"/>
    <col min="7941" max="7941" width="13.28515625" style="4" customWidth="1"/>
    <col min="7942" max="7942" width="23.5703125" style="4" customWidth="1"/>
    <col min="7943" max="8183" width="58.28515625" style="4"/>
    <col min="8184" max="8184" width="8" style="4" customWidth="1"/>
    <col min="8185" max="8185" width="67" style="4" customWidth="1"/>
    <col min="8186" max="8186" width="13.85546875" style="4" customWidth="1"/>
    <col min="8187" max="8189" width="13.85546875" style="4" bestFit="1" customWidth="1"/>
    <col min="8190" max="8190" width="12.7109375" style="4" bestFit="1" customWidth="1"/>
    <col min="8191" max="8191" width="14.28515625" style="4" customWidth="1"/>
    <col min="8192" max="8192" width="15.28515625" style="4" bestFit="1" customWidth="1"/>
    <col min="8193" max="8193" width="12.7109375" style="4" bestFit="1" customWidth="1"/>
    <col min="8194" max="8194" width="15.42578125" style="4" bestFit="1" customWidth="1"/>
    <col min="8195" max="8195" width="17.7109375" style="4" bestFit="1" customWidth="1"/>
    <col min="8196" max="8196" width="7.7109375" style="4" bestFit="1" customWidth="1"/>
    <col min="8197" max="8197" width="13.28515625" style="4" customWidth="1"/>
    <col min="8198" max="8198" width="23.5703125" style="4" customWidth="1"/>
    <col min="8199" max="8439" width="58.28515625" style="4"/>
    <col min="8440" max="8440" width="8" style="4" customWidth="1"/>
    <col min="8441" max="8441" width="67" style="4" customWidth="1"/>
    <col min="8442" max="8442" width="13.85546875" style="4" customWidth="1"/>
    <col min="8443" max="8445" width="13.85546875" style="4" bestFit="1" customWidth="1"/>
    <col min="8446" max="8446" width="12.7109375" style="4" bestFit="1" customWidth="1"/>
    <col min="8447" max="8447" width="14.28515625" style="4" customWidth="1"/>
    <col min="8448" max="8448" width="15.28515625" style="4" bestFit="1" customWidth="1"/>
    <col min="8449" max="8449" width="12.7109375" style="4" bestFit="1" customWidth="1"/>
    <col min="8450" max="8450" width="15.42578125" style="4" bestFit="1" customWidth="1"/>
    <col min="8451" max="8451" width="17.7109375" style="4" bestFit="1" customWidth="1"/>
    <col min="8452" max="8452" width="7.7109375" style="4" bestFit="1" customWidth="1"/>
    <col min="8453" max="8453" width="13.28515625" style="4" customWidth="1"/>
    <col min="8454" max="8454" width="23.5703125" style="4" customWidth="1"/>
    <col min="8455" max="8695" width="58.28515625" style="4"/>
    <col min="8696" max="8696" width="8" style="4" customWidth="1"/>
    <col min="8697" max="8697" width="67" style="4" customWidth="1"/>
    <col min="8698" max="8698" width="13.85546875" style="4" customWidth="1"/>
    <col min="8699" max="8701" width="13.85546875" style="4" bestFit="1" customWidth="1"/>
    <col min="8702" max="8702" width="12.7109375" style="4" bestFit="1" customWidth="1"/>
    <col min="8703" max="8703" width="14.28515625" style="4" customWidth="1"/>
    <col min="8704" max="8704" width="15.28515625" style="4" bestFit="1" customWidth="1"/>
    <col min="8705" max="8705" width="12.7109375" style="4" bestFit="1" customWidth="1"/>
    <col min="8706" max="8706" width="15.42578125" style="4" bestFit="1" customWidth="1"/>
    <col min="8707" max="8707" width="17.7109375" style="4" bestFit="1" customWidth="1"/>
    <col min="8708" max="8708" width="7.7109375" style="4" bestFit="1" customWidth="1"/>
    <col min="8709" max="8709" width="13.28515625" style="4" customWidth="1"/>
    <col min="8710" max="8710" width="23.5703125" style="4" customWidth="1"/>
    <col min="8711" max="8951" width="58.28515625" style="4"/>
    <col min="8952" max="8952" width="8" style="4" customWidth="1"/>
    <col min="8953" max="8953" width="67" style="4" customWidth="1"/>
    <col min="8954" max="8954" width="13.85546875" style="4" customWidth="1"/>
    <col min="8955" max="8957" width="13.85546875" style="4" bestFit="1" customWidth="1"/>
    <col min="8958" max="8958" width="12.7109375" style="4" bestFit="1" customWidth="1"/>
    <col min="8959" max="8959" width="14.28515625" style="4" customWidth="1"/>
    <col min="8960" max="8960" width="15.28515625" style="4" bestFit="1" customWidth="1"/>
    <col min="8961" max="8961" width="12.7109375" style="4" bestFit="1" customWidth="1"/>
    <col min="8962" max="8962" width="15.42578125" style="4" bestFit="1" customWidth="1"/>
    <col min="8963" max="8963" width="17.7109375" style="4" bestFit="1" customWidth="1"/>
    <col min="8964" max="8964" width="7.7109375" style="4" bestFit="1" customWidth="1"/>
    <col min="8965" max="8965" width="13.28515625" style="4" customWidth="1"/>
    <col min="8966" max="8966" width="23.5703125" style="4" customWidth="1"/>
    <col min="8967" max="9207" width="58.28515625" style="4"/>
    <col min="9208" max="9208" width="8" style="4" customWidth="1"/>
    <col min="9209" max="9209" width="67" style="4" customWidth="1"/>
    <col min="9210" max="9210" width="13.85546875" style="4" customWidth="1"/>
    <col min="9211" max="9213" width="13.85546875" style="4" bestFit="1" customWidth="1"/>
    <col min="9214" max="9214" width="12.7109375" style="4" bestFit="1" customWidth="1"/>
    <col min="9215" max="9215" width="14.28515625" style="4" customWidth="1"/>
    <col min="9216" max="9216" width="15.28515625" style="4" bestFit="1" customWidth="1"/>
    <col min="9217" max="9217" width="12.7109375" style="4" bestFit="1" customWidth="1"/>
    <col min="9218" max="9218" width="15.42578125" style="4" bestFit="1" customWidth="1"/>
    <col min="9219" max="9219" width="17.7109375" style="4" bestFit="1" customWidth="1"/>
    <col min="9220" max="9220" width="7.7109375" style="4" bestFit="1" customWidth="1"/>
    <col min="9221" max="9221" width="13.28515625" style="4" customWidth="1"/>
    <col min="9222" max="9222" width="23.5703125" style="4" customWidth="1"/>
    <col min="9223" max="9463" width="58.28515625" style="4"/>
    <col min="9464" max="9464" width="8" style="4" customWidth="1"/>
    <col min="9465" max="9465" width="67" style="4" customWidth="1"/>
    <col min="9466" max="9466" width="13.85546875" style="4" customWidth="1"/>
    <col min="9467" max="9469" width="13.85546875" style="4" bestFit="1" customWidth="1"/>
    <col min="9470" max="9470" width="12.7109375" style="4" bestFit="1" customWidth="1"/>
    <col min="9471" max="9471" width="14.28515625" style="4" customWidth="1"/>
    <col min="9472" max="9472" width="15.28515625" style="4" bestFit="1" customWidth="1"/>
    <col min="9473" max="9473" width="12.7109375" style="4" bestFit="1" customWidth="1"/>
    <col min="9474" max="9474" width="15.42578125" style="4" bestFit="1" customWidth="1"/>
    <col min="9475" max="9475" width="17.7109375" style="4" bestFit="1" customWidth="1"/>
    <col min="9476" max="9476" width="7.7109375" style="4" bestFit="1" customWidth="1"/>
    <col min="9477" max="9477" width="13.28515625" style="4" customWidth="1"/>
    <col min="9478" max="9478" width="23.5703125" style="4" customWidth="1"/>
    <col min="9479" max="9719" width="58.28515625" style="4"/>
    <col min="9720" max="9720" width="8" style="4" customWidth="1"/>
    <col min="9721" max="9721" width="67" style="4" customWidth="1"/>
    <col min="9722" max="9722" width="13.85546875" style="4" customWidth="1"/>
    <col min="9723" max="9725" width="13.85546875" style="4" bestFit="1" customWidth="1"/>
    <col min="9726" max="9726" width="12.7109375" style="4" bestFit="1" customWidth="1"/>
    <col min="9727" max="9727" width="14.28515625" style="4" customWidth="1"/>
    <col min="9728" max="9728" width="15.28515625" style="4" bestFit="1" customWidth="1"/>
    <col min="9729" max="9729" width="12.7109375" style="4" bestFit="1" customWidth="1"/>
    <col min="9730" max="9730" width="15.42578125" style="4" bestFit="1" customWidth="1"/>
    <col min="9731" max="9731" width="17.7109375" style="4" bestFit="1" customWidth="1"/>
    <col min="9732" max="9732" width="7.7109375" style="4" bestFit="1" customWidth="1"/>
    <col min="9733" max="9733" width="13.28515625" style="4" customWidth="1"/>
    <col min="9734" max="9734" width="23.5703125" style="4" customWidth="1"/>
    <col min="9735" max="9975" width="58.28515625" style="4"/>
    <col min="9976" max="9976" width="8" style="4" customWidth="1"/>
    <col min="9977" max="9977" width="67" style="4" customWidth="1"/>
    <col min="9978" max="9978" width="13.85546875" style="4" customWidth="1"/>
    <col min="9979" max="9981" width="13.85546875" style="4" bestFit="1" customWidth="1"/>
    <col min="9982" max="9982" width="12.7109375" style="4" bestFit="1" customWidth="1"/>
    <col min="9983" max="9983" width="14.28515625" style="4" customWidth="1"/>
    <col min="9984" max="9984" width="15.28515625" style="4" bestFit="1" customWidth="1"/>
    <col min="9985" max="9985" width="12.7109375" style="4" bestFit="1" customWidth="1"/>
    <col min="9986" max="9986" width="15.42578125" style="4" bestFit="1" customWidth="1"/>
    <col min="9987" max="9987" width="17.7109375" style="4" bestFit="1" customWidth="1"/>
    <col min="9988" max="9988" width="7.7109375" style="4" bestFit="1" customWidth="1"/>
    <col min="9989" max="9989" width="13.28515625" style="4" customWidth="1"/>
    <col min="9990" max="9990" width="23.5703125" style="4" customWidth="1"/>
    <col min="9991" max="10231" width="58.28515625" style="4"/>
    <col min="10232" max="10232" width="8" style="4" customWidth="1"/>
    <col min="10233" max="10233" width="67" style="4" customWidth="1"/>
    <col min="10234" max="10234" width="13.85546875" style="4" customWidth="1"/>
    <col min="10235" max="10237" width="13.85546875" style="4" bestFit="1" customWidth="1"/>
    <col min="10238" max="10238" width="12.7109375" style="4" bestFit="1" customWidth="1"/>
    <col min="10239" max="10239" width="14.28515625" style="4" customWidth="1"/>
    <col min="10240" max="10240" width="15.28515625" style="4" bestFit="1" customWidth="1"/>
    <col min="10241" max="10241" width="12.7109375" style="4" bestFit="1" customWidth="1"/>
    <col min="10242" max="10242" width="15.42578125" style="4" bestFit="1" customWidth="1"/>
    <col min="10243" max="10243" width="17.7109375" style="4" bestFit="1" customWidth="1"/>
    <col min="10244" max="10244" width="7.7109375" style="4" bestFit="1" customWidth="1"/>
    <col min="10245" max="10245" width="13.28515625" style="4" customWidth="1"/>
    <col min="10246" max="10246" width="23.5703125" style="4" customWidth="1"/>
    <col min="10247" max="10487" width="58.28515625" style="4"/>
    <col min="10488" max="10488" width="8" style="4" customWidth="1"/>
    <col min="10489" max="10489" width="67" style="4" customWidth="1"/>
    <col min="10490" max="10490" width="13.85546875" style="4" customWidth="1"/>
    <col min="10491" max="10493" width="13.85546875" style="4" bestFit="1" customWidth="1"/>
    <col min="10494" max="10494" width="12.7109375" style="4" bestFit="1" customWidth="1"/>
    <col min="10495" max="10495" width="14.28515625" style="4" customWidth="1"/>
    <col min="10496" max="10496" width="15.28515625" style="4" bestFit="1" customWidth="1"/>
    <col min="10497" max="10497" width="12.7109375" style="4" bestFit="1" customWidth="1"/>
    <col min="10498" max="10498" width="15.42578125" style="4" bestFit="1" customWidth="1"/>
    <col min="10499" max="10499" width="17.7109375" style="4" bestFit="1" customWidth="1"/>
    <col min="10500" max="10500" width="7.7109375" style="4" bestFit="1" customWidth="1"/>
    <col min="10501" max="10501" width="13.28515625" style="4" customWidth="1"/>
    <col min="10502" max="10502" width="23.5703125" style="4" customWidth="1"/>
    <col min="10503" max="10743" width="58.28515625" style="4"/>
    <col min="10744" max="10744" width="8" style="4" customWidth="1"/>
    <col min="10745" max="10745" width="67" style="4" customWidth="1"/>
    <col min="10746" max="10746" width="13.85546875" style="4" customWidth="1"/>
    <col min="10747" max="10749" width="13.85546875" style="4" bestFit="1" customWidth="1"/>
    <col min="10750" max="10750" width="12.7109375" style="4" bestFit="1" customWidth="1"/>
    <col min="10751" max="10751" width="14.28515625" style="4" customWidth="1"/>
    <col min="10752" max="10752" width="15.28515625" style="4" bestFit="1" customWidth="1"/>
    <col min="10753" max="10753" width="12.7109375" style="4" bestFit="1" customWidth="1"/>
    <col min="10754" max="10754" width="15.42578125" style="4" bestFit="1" customWidth="1"/>
    <col min="10755" max="10755" width="17.7109375" style="4" bestFit="1" customWidth="1"/>
    <col min="10756" max="10756" width="7.7109375" style="4" bestFit="1" customWidth="1"/>
    <col min="10757" max="10757" width="13.28515625" style="4" customWidth="1"/>
    <col min="10758" max="10758" width="23.5703125" style="4" customWidth="1"/>
    <col min="10759" max="10999" width="58.28515625" style="4"/>
    <col min="11000" max="11000" width="8" style="4" customWidth="1"/>
    <col min="11001" max="11001" width="67" style="4" customWidth="1"/>
    <col min="11002" max="11002" width="13.85546875" style="4" customWidth="1"/>
    <col min="11003" max="11005" width="13.85546875" style="4" bestFit="1" customWidth="1"/>
    <col min="11006" max="11006" width="12.7109375" style="4" bestFit="1" customWidth="1"/>
    <col min="11007" max="11007" width="14.28515625" style="4" customWidth="1"/>
    <col min="11008" max="11008" width="15.28515625" style="4" bestFit="1" customWidth="1"/>
    <col min="11009" max="11009" width="12.7109375" style="4" bestFit="1" customWidth="1"/>
    <col min="11010" max="11010" width="15.42578125" style="4" bestFit="1" customWidth="1"/>
    <col min="11011" max="11011" width="17.7109375" style="4" bestFit="1" customWidth="1"/>
    <col min="11012" max="11012" width="7.7109375" style="4" bestFit="1" customWidth="1"/>
    <col min="11013" max="11013" width="13.28515625" style="4" customWidth="1"/>
    <col min="11014" max="11014" width="23.5703125" style="4" customWidth="1"/>
    <col min="11015" max="11255" width="58.28515625" style="4"/>
    <col min="11256" max="11256" width="8" style="4" customWidth="1"/>
    <col min="11257" max="11257" width="67" style="4" customWidth="1"/>
    <col min="11258" max="11258" width="13.85546875" style="4" customWidth="1"/>
    <col min="11259" max="11261" width="13.85546875" style="4" bestFit="1" customWidth="1"/>
    <col min="11262" max="11262" width="12.7109375" style="4" bestFit="1" customWidth="1"/>
    <col min="11263" max="11263" width="14.28515625" style="4" customWidth="1"/>
    <col min="11264" max="11264" width="15.28515625" style="4" bestFit="1" customWidth="1"/>
    <col min="11265" max="11265" width="12.7109375" style="4" bestFit="1" customWidth="1"/>
    <col min="11266" max="11266" width="15.42578125" style="4" bestFit="1" customWidth="1"/>
    <col min="11267" max="11267" width="17.7109375" style="4" bestFit="1" customWidth="1"/>
    <col min="11268" max="11268" width="7.7109375" style="4" bestFit="1" customWidth="1"/>
    <col min="11269" max="11269" width="13.28515625" style="4" customWidth="1"/>
    <col min="11270" max="11270" width="23.5703125" style="4" customWidth="1"/>
    <col min="11271" max="11511" width="58.28515625" style="4"/>
    <col min="11512" max="11512" width="8" style="4" customWidth="1"/>
    <col min="11513" max="11513" width="67" style="4" customWidth="1"/>
    <col min="11514" max="11514" width="13.85546875" style="4" customWidth="1"/>
    <col min="11515" max="11517" width="13.85546875" style="4" bestFit="1" customWidth="1"/>
    <col min="11518" max="11518" width="12.7109375" style="4" bestFit="1" customWidth="1"/>
    <col min="11519" max="11519" width="14.28515625" style="4" customWidth="1"/>
    <col min="11520" max="11520" width="15.28515625" style="4" bestFit="1" customWidth="1"/>
    <col min="11521" max="11521" width="12.7109375" style="4" bestFit="1" customWidth="1"/>
    <col min="11522" max="11522" width="15.42578125" style="4" bestFit="1" customWidth="1"/>
    <col min="11523" max="11523" width="17.7109375" style="4" bestFit="1" customWidth="1"/>
    <col min="11524" max="11524" width="7.7109375" style="4" bestFit="1" customWidth="1"/>
    <col min="11525" max="11525" width="13.28515625" style="4" customWidth="1"/>
    <col min="11526" max="11526" width="23.5703125" style="4" customWidth="1"/>
    <col min="11527" max="11767" width="58.28515625" style="4"/>
    <col min="11768" max="11768" width="8" style="4" customWidth="1"/>
    <col min="11769" max="11769" width="67" style="4" customWidth="1"/>
    <col min="11770" max="11770" width="13.85546875" style="4" customWidth="1"/>
    <col min="11771" max="11773" width="13.85546875" style="4" bestFit="1" customWidth="1"/>
    <col min="11774" max="11774" width="12.7109375" style="4" bestFit="1" customWidth="1"/>
    <col min="11775" max="11775" width="14.28515625" style="4" customWidth="1"/>
    <col min="11776" max="11776" width="15.28515625" style="4" bestFit="1" customWidth="1"/>
    <col min="11777" max="11777" width="12.7109375" style="4" bestFit="1" customWidth="1"/>
    <col min="11778" max="11778" width="15.42578125" style="4" bestFit="1" customWidth="1"/>
    <col min="11779" max="11779" width="17.7109375" style="4" bestFit="1" customWidth="1"/>
    <col min="11780" max="11780" width="7.7109375" style="4" bestFit="1" customWidth="1"/>
    <col min="11781" max="11781" width="13.28515625" style="4" customWidth="1"/>
    <col min="11782" max="11782" width="23.5703125" style="4" customWidth="1"/>
    <col min="11783" max="12023" width="58.28515625" style="4"/>
    <col min="12024" max="12024" width="8" style="4" customWidth="1"/>
    <col min="12025" max="12025" width="67" style="4" customWidth="1"/>
    <col min="12026" max="12026" width="13.85546875" style="4" customWidth="1"/>
    <col min="12027" max="12029" width="13.85546875" style="4" bestFit="1" customWidth="1"/>
    <col min="12030" max="12030" width="12.7109375" style="4" bestFit="1" customWidth="1"/>
    <col min="12031" max="12031" width="14.28515625" style="4" customWidth="1"/>
    <col min="12032" max="12032" width="15.28515625" style="4" bestFit="1" customWidth="1"/>
    <col min="12033" max="12033" width="12.7109375" style="4" bestFit="1" customWidth="1"/>
    <col min="12034" max="12034" width="15.42578125" style="4" bestFit="1" customWidth="1"/>
    <col min="12035" max="12035" width="17.7109375" style="4" bestFit="1" customWidth="1"/>
    <col min="12036" max="12036" width="7.7109375" style="4" bestFit="1" customWidth="1"/>
    <col min="12037" max="12037" width="13.28515625" style="4" customWidth="1"/>
    <col min="12038" max="12038" width="23.5703125" style="4" customWidth="1"/>
    <col min="12039" max="12279" width="58.28515625" style="4"/>
    <col min="12280" max="12280" width="8" style="4" customWidth="1"/>
    <col min="12281" max="12281" width="67" style="4" customWidth="1"/>
    <col min="12282" max="12282" width="13.85546875" style="4" customWidth="1"/>
    <col min="12283" max="12285" width="13.85546875" style="4" bestFit="1" customWidth="1"/>
    <col min="12286" max="12286" width="12.7109375" style="4" bestFit="1" customWidth="1"/>
    <col min="12287" max="12287" width="14.28515625" style="4" customWidth="1"/>
    <col min="12288" max="12288" width="15.28515625" style="4" bestFit="1" customWidth="1"/>
    <col min="12289" max="12289" width="12.7109375" style="4" bestFit="1" customWidth="1"/>
    <col min="12290" max="12290" width="15.42578125" style="4" bestFit="1" customWidth="1"/>
    <col min="12291" max="12291" width="17.7109375" style="4" bestFit="1" customWidth="1"/>
    <col min="12292" max="12292" width="7.7109375" style="4" bestFit="1" customWidth="1"/>
    <col min="12293" max="12293" width="13.28515625" style="4" customWidth="1"/>
    <col min="12294" max="12294" width="23.5703125" style="4" customWidth="1"/>
    <col min="12295" max="12535" width="58.28515625" style="4"/>
    <col min="12536" max="12536" width="8" style="4" customWidth="1"/>
    <col min="12537" max="12537" width="67" style="4" customWidth="1"/>
    <col min="12538" max="12538" width="13.85546875" style="4" customWidth="1"/>
    <col min="12539" max="12541" width="13.85546875" style="4" bestFit="1" customWidth="1"/>
    <col min="12542" max="12542" width="12.7109375" style="4" bestFit="1" customWidth="1"/>
    <col min="12543" max="12543" width="14.28515625" style="4" customWidth="1"/>
    <col min="12544" max="12544" width="15.28515625" style="4" bestFit="1" customWidth="1"/>
    <col min="12545" max="12545" width="12.7109375" style="4" bestFit="1" customWidth="1"/>
    <col min="12546" max="12546" width="15.42578125" style="4" bestFit="1" customWidth="1"/>
    <col min="12547" max="12547" width="17.7109375" style="4" bestFit="1" customWidth="1"/>
    <col min="12548" max="12548" width="7.7109375" style="4" bestFit="1" customWidth="1"/>
    <col min="12549" max="12549" width="13.28515625" style="4" customWidth="1"/>
    <col min="12550" max="12550" width="23.5703125" style="4" customWidth="1"/>
    <col min="12551" max="12791" width="58.28515625" style="4"/>
    <col min="12792" max="12792" width="8" style="4" customWidth="1"/>
    <col min="12793" max="12793" width="67" style="4" customWidth="1"/>
    <col min="12794" max="12794" width="13.85546875" style="4" customWidth="1"/>
    <col min="12795" max="12797" width="13.85546875" style="4" bestFit="1" customWidth="1"/>
    <col min="12798" max="12798" width="12.7109375" style="4" bestFit="1" customWidth="1"/>
    <col min="12799" max="12799" width="14.28515625" style="4" customWidth="1"/>
    <col min="12800" max="12800" width="15.28515625" style="4" bestFit="1" customWidth="1"/>
    <col min="12801" max="12801" width="12.7109375" style="4" bestFit="1" customWidth="1"/>
    <col min="12802" max="12802" width="15.42578125" style="4" bestFit="1" customWidth="1"/>
    <col min="12803" max="12803" width="17.7109375" style="4" bestFit="1" customWidth="1"/>
    <col min="12804" max="12804" width="7.7109375" style="4" bestFit="1" customWidth="1"/>
    <col min="12805" max="12805" width="13.28515625" style="4" customWidth="1"/>
    <col min="12806" max="12806" width="23.5703125" style="4" customWidth="1"/>
    <col min="12807" max="13047" width="58.28515625" style="4"/>
    <col min="13048" max="13048" width="8" style="4" customWidth="1"/>
    <col min="13049" max="13049" width="67" style="4" customWidth="1"/>
    <col min="13050" max="13050" width="13.85546875" style="4" customWidth="1"/>
    <col min="13051" max="13053" width="13.85546875" style="4" bestFit="1" customWidth="1"/>
    <col min="13054" max="13054" width="12.7109375" style="4" bestFit="1" customWidth="1"/>
    <col min="13055" max="13055" width="14.28515625" style="4" customWidth="1"/>
    <col min="13056" max="13056" width="15.28515625" style="4" bestFit="1" customWidth="1"/>
    <col min="13057" max="13057" width="12.7109375" style="4" bestFit="1" customWidth="1"/>
    <col min="13058" max="13058" width="15.42578125" style="4" bestFit="1" customWidth="1"/>
    <col min="13059" max="13059" width="17.7109375" style="4" bestFit="1" customWidth="1"/>
    <col min="13060" max="13060" width="7.7109375" style="4" bestFit="1" customWidth="1"/>
    <col min="13061" max="13061" width="13.28515625" style="4" customWidth="1"/>
    <col min="13062" max="13062" width="23.5703125" style="4" customWidth="1"/>
    <col min="13063" max="13303" width="58.28515625" style="4"/>
    <col min="13304" max="13304" width="8" style="4" customWidth="1"/>
    <col min="13305" max="13305" width="67" style="4" customWidth="1"/>
    <col min="13306" max="13306" width="13.85546875" style="4" customWidth="1"/>
    <col min="13307" max="13309" width="13.85546875" style="4" bestFit="1" customWidth="1"/>
    <col min="13310" max="13310" width="12.7109375" style="4" bestFit="1" customWidth="1"/>
    <col min="13311" max="13311" width="14.28515625" style="4" customWidth="1"/>
    <col min="13312" max="13312" width="15.28515625" style="4" bestFit="1" customWidth="1"/>
    <col min="13313" max="13313" width="12.7109375" style="4" bestFit="1" customWidth="1"/>
    <col min="13314" max="13314" width="15.42578125" style="4" bestFit="1" customWidth="1"/>
    <col min="13315" max="13315" width="17.7109375" style="4" bestFit="1" customWidth="1"/>
    <col min="13316" max="13316" width="7.7109375" style="4" bestFit="1" customWidth="1"/>
    <col min="13317" max="13317" width="13.28515625" style="4" customWidth="1"/>
    <col min="13318" max="13318" width="23.5703125" style="4" customWidth="1"/>
    <col min="13319" max="13559" width="58.28515625" style="4"/>
    <col min="13560" max="13560" width="8" style="4" customWidth="1"/>
    <col min="13561" max="13561" width="67" style="4" customWidth="1"/>
    <col min="13562" max="13562" width="13.85546875" style="4" customWidth="1"/>
    <col min="13563" max="13565" width="13.85546875" style="4" bestFit="1" customWidth="1"/>
    <col min="13566" max="13566" width="12.7109375" style="4" bestFit="1" customWidth="1"/>
    <col min="13567" max="13567" width="14.28515625" style="4" customWidth="1"/>
    <col min="13568" max="13568" width="15.28515625" style="4" bestFit="1" customWidth="1"/>
    <col min="13569" max="13569" width="12.7109375" style="4" bestFit="1" customWidth="1"/>
    <col min="13570" max="13570" width="15.42578125" style="4" bestFit="1" customWidth="1"/>
    <col min="13571" max="13571" width="17.7109375" style="4" bestFit="1" customWidth="1"/>
    <col min="13572" max="13572" width="7.7109375" style="4" bestFit="1" customWidth="1"/>
    <col min="13573" max="13573" width="13.28515625" style="4" customWidth="1"/>
    <col min="13574" max="13574" width="23.5703125" style="4" customWidth="1"/>
    <col min="13575" max="13815" width="58.28515625" style="4"/>
    <col min="13816" max="13816" width="8" style="4" customWidth="1"/>
    <col min="13817" max="13817" width="67" style="4" customWidth="1"/>
    <col min="13818" max="13818" width="13.85546875" style="4" customWidth="1"/>
    <col min="13819" max="13821" width="13.85546875" style="4" bestFit="1" customWidth="1"/>
    <col min="13822" max="13822" width="12.7109375" style="4" bestFit="1" customWidth="1"/>
    <col min="13823" max="13823" width="14.28515625" style="4" customWidth="1"/>
    <col min="13824" max="13824" width="15.28515625" style="4" bestFit="1" customWidth="1"/>
    <col min="13825" max="13825" width="12.7109375" style="4" bestFit="1" customWidth="1"/>
    <col min="13826" max="13826" width="15.42578125" style="4" bestFit="1" customWidth="1"/>
    <col min="13827" max="13827" width="17.7109375" style="4" bestFit="1" customWidth="1"/>
    <col min="13828" max="13828" width="7.7109375" style="4" bestFit="1" customWidth="1"/>
    <col min="13829" max="13829" width="13.28515625" style="4" customWidth="1"/>
    <col min="13830" max="13830" width="23.5703125" style="4" customWidth="1"/>
    <col min="13831" max="14071" width="58.28515625" style="4"/>
    <col min="14072" max="14072" width="8" style="4" customWidth="1"/>
    <col min="14073" max="14073" width="67" style="4" customWidth="1"/>
    <col min="14074" max="14074" width="13.85546875" style="4" customWidth="1"/>
    <col min="14075" max="14077" width="13.85546875" style="4" bestFit="1" customWidth="1"/>
    <col min="14078" max="14078" width="12.7109375" style="4" bestFit="1" customWidth="1"/>
    <col min="14079" max="14079" width="14.28515625" style="4" customWidth="1"/>
    <col min="14080" max="14080" width="15.28515625" style="4" bestFit="1" customWidth="1"/>
    <col min="14081" max="14081" width="12.7109375" style="4" bestFit="1" customWidth="1"/>
    <col min="14082" max="14082" width="15.42578125" style="4" bestFit="1" customWidth="1"/>
    <col min="14083" max="14083" width="17.7109375" style="4" bestFit="1" customWidth="1"/>
    <col min="14084" max="14084" width="7.7109375" style="4" bestFit="1" customWidth="1"/>
    <col min="14085" max="14085" width="13.28515625" style="4" customWidth="1"/>
    <col min="14086" max="14086" width="23.5703125" style="4" customWidth="1"/>
    <col min="14087" max="14327" width="58.28515625" style="4"/>
    <col min="14328" max="14328" width="8" style="4" customWidth="1"/>
    <col min="14329" max="14329" width="67" style="4" customWidth="1"/>
    <col min="14330" max="14330" width="13.85546875" style="4" customWidth="1"/>
    <col min="14331" max="14333" width="13.85546875" style="4" bestFit="1" customWidth="1"/>
    <col min="14334" max="14334" width="12.7109375" style="4" bestFit="1" customWidth="1"/>
    <col min="14335" max="14335" width="14.28515625" style="4" customWidth="1"/>
    <col min="14336" max="14336" width="15.28515625" style="4" bestFit="1" customWidth="1"/>
    <col min="14337" max="14337" width="12.7109375" style="4" bestFit="1" customWidth="1"/>
    <col min="14338" max="14338" width="15.42578125" style="4" bestFit="1" customWidth="1"/>
    <col min="14339" max="14339" width="17.7109375" style="4" bestFit="1" customWidth="1"/>
    <col min="14340" max="14340" width="7.7109375" style="4" bestFit="1" customWidth="1"/>
    <col min="14341" max="14341" width="13.28515625" style="4" customWidth="1"/>
    <col min="14342" max="14342" width="23.5703125" style="4" customWidth="1"/>
    <col min="14343" max="14583" width="58.28515625" style="4"/>
    <col min="14584" max="14584" width="8" style="4" customWidth="1"/>
    <col min="14585" max="14585" width="67" style="4" customWidth="1"/>
    <col min="14586" max="14586" width="13.85546875" style="4" customWidth="1"/>
    <col min="14587" max="14589" width="13.85546875" style="4" bestFit="1" customWidth="1"/>
    <col min="14590" max="14590" width="12.7109375" style="4" bestFit="1" customWidth="1"/>
    <col min="14591" max="14591" width="14.28515625" style="4" customWidth="1"/>
    <col min="14592" max="14592" width="15.28515625" style="4" bestFit="1" customWidth="1"/>
    <col min="14593" max="14593" width="12.7109375" style="4" bestFit="1" customWidth="1"/>
    <col min="14594" max="14594" width="15.42578125" style="4" bestFit="1" customWidth="1"/>
    <col min="14595" max="14595" width="17.7109375" style="4" bestFit="1" customWidth="1"/>
    <col min="14596" max="14596" width="7.7109375" style="4" bestFit="1" customWidth="1"/>
    <col min="14597" max="14597" width="13.28515625" style="4" customWidth="1"/>
    <col min="14598" max="14598" width="23.5703125" style="4" customWidth="1"/>
    <col min="14599" max="14839" width="58.28515625" style="4"/>
    <col min="14840" max="14840" width="8" style="4" customWidth="1"/>
    <col min="14841" max="14841" width="67" style="4" customWidth="1"/>
    <col min="14842" max="14842" width="13.85546875" style="4" customWidth="1"/>
    <col min="14843" max="14845" width="13.85546875" style="4" bestFit="1" customWidth="1"/>
    <col min="14846" max="14846" width="12.7109375" style="4" bestFit="1" customWidth="1"/>
    <col min="14847" max="14847" width="14.28515625" style="4" customWidth="1"/>
    <col min="14848" max="14848" width="15.28515625" style="4" bestFit="1" customWidth="1"/>
    <col min="14849" max="14849" width="12.7109375" style="4" bestFit="1" customWidth="1"/>
    <col min="14850" max="14850" width="15.42578125" style="4" bestFit="1" customWidth="1"/>
    <col min="14851" max="14851" width="17.7109375" style="4" bestFit="1" customWidth="1"/>
    <col min="14852" max="14852" width="7.7109375" style="4" bestFit="1" customWidth="1"/>
    <col min="14853" max="14853" width="13.28515625" style="4" customWidth="1"/>
    <col min="14854" max="14854" width="23.5703125" style="4" customWidth="1"/>
    <col min="14855" max="15095" width="58.28515625" style="4"/>
    <col min="15096" max="15096" width="8" style="4" customWidth="1"/>
    <col min="15097" max="15097" width="67" style="4" customWidth="1"/>
    <col min="15098" max="15098" width="13.85546875" style="4" customWidth="1"/>
    <col min="15099" max="15101" width="13.85546875" style="4" bestFit="1" customWidth="1"/>
    <col min="15102" max="15102" width="12.7109375" style="4" bestFit="1" customWidth="1"/>
    <col min="15103" max="15103" width="14.28515625" style="4" customWidth="1"/>
    <col min="15104" max="15104" width="15.28515625" style="4" bestFit="1" customWidth="1"/>
    <col min="15105" max="15105" width="12.7109375" style="4" bestFit="1" customWidth="1"/>
    <col min="15106" max="15106" width="15.42578125" style="4" bestFit="1" customWidth="1"/>
    <col min="15107" max="15107" width="17.7109375" style="4" bestFit="1" customWidth="1"/>
    <col min="15108" max="15108" width="7.7109375" style="4" bestFit="1" customWidth="1"/>
    <col min="15109" max="15109" width="13.28515625" style="4" customWidth="1"/>
    <col min="15110" max="15110" width="23.5703125" style="4" customWidth="1"/>
    <col min="15111" max="15351" width="58.28515625" style="4"/>
    <col min="15352" max="15352" width="8" style="4" customWidth="1"/>
    <col min="15353" max="15353" width="67" style="4" customWidth="1"/>
    <col min="15354" max="15354" width="13.85546875" style="4" customWidth="1"/>
    <col min="15355" max="15357" width="13.85546875" style="4" bestFit="1" customWidth="1"/>
    <col min="15358" max="15358" width="12.7109375" style="4" bestFit="1" customWidth="1"/>
    <col min="15359" max="15359" width="14.28515625" style="4" customWidth="1"/>
    <col min="15360" max="15360" width="15.28515625" style="4" bestFit="1" customWidth="1"/>
    <col min="15361" max="15361" width="12.7109375" style="4" bestFit="1" customWidth="1"/>
    <col min="15362" max="15362" width="15.42578125" style="4" bestFit="1" customWidth="1"/>
    <col min="15363" max="15363" width="17.7109375" style="4" bestFit="1" customWidth="1"/>
    <col min="15364" max="15364" width="7.7109375" style="4" bestFit="1" customWidth="1"/>
    <col min="15365" max="15365" width="13.28515625" style="4" customWidth="1"/>
    <col min="15366" max="15366" width="23.5703125" style="4" customWidth="1"/>
    <col min="15367" max="15607" width="58.28515625" style="4"/>
    <col min="15608" max="15608" width="8" style="4" customWidth="1"/>
    <col min="15609" max="15609" width="67" style="4" customWidth="1"/>
    <col min="15610" max="15610" width="13.85546875" style="4" customWidth="1"/>
    <col min="15611" max="15613" width="13.85546875" style="4" bestFit="1" customWidth="1"/>
    <col min="15614" max="15614" width="12.7109375" style="4" bestFit="1" customWidth="1"/>
    <col min="15615" max="15615" width="14.28515625" style="4" customWidth="1"/>
    <col min="15616" max="15616" width="15.28515625" style="4" bestFit="1" customWidth="1"/>
    <col min="15617" max="15617" width="12.7109375" style="4" bestFit="1" customWidth="1"/>
    <col min="15618" max="15618" width="15.42578125" style="4" bestFit="1" customWidth="1"/>
    <col min="15619" max="15619" width="17.7109375" style="4" bestFit="1" customWidth="1"/>
    <col min="15620" max="15620" width="7.7109375" style="4" bestFit="1" customWidth="1"/>
    <col min="15621" max="15621" width="13.28515625" style="4" customWidth="1"/>
    <col min="15622" max="15622" width="23.5703125" style="4" customWidth="1"/>
    <col min="15623" max="15863" width="58.28515625" style="4"/>
    <col min="15864" max="15864" width="8" style="4" customWidth="1"/>
    <col min="15865" max="15865" width="67" style="4" customWidth="1"/>
    <col min="15866" max="15866" width="13.85546875" style="4" customWidth="1"/>
    <col min="15867" max="15869" width="13.85546875" style="4" bestFit="1" customWidth="1"/>
    <col min="15870" max="15870" width="12.7109375" style="4" bestFit="1" customWidth="1"/>
    <col min="15871" max="15871" width="14.28515625" style="4" customWidth="1"/>
    <col min="15872" max="15872" width="15.28515625" style="4" bestFit="1" customWidth="1"/>
    <col min="15873" max="15873" width="12.7109375" style="4" bestFit="1" customWidth="1"/>
    <col min="15874" max="15874" width="15.42578125" style="4" bestFit="1" customWidth="1"/>
    <col min="15875" max="15875" width="17.7109375" style="4" bestFit="1" customWidth="1"/>
    <col min="15876" max="15876" width="7.7109375" style="4" bestFit="1" customWidth="1"/>
    <col min="15877" max="15877" width="13.28515625" style="4" customWidth="1"/>
    <col min="15878" max="15878" width="23.5703125" style="4" customWidth="1"/>
    <col min="15879" max="16119" width="58.28515625" style="4"/>
    <col min="16120" max="16120" width="8" style="4" customWidth="1"/>
    <col min="16121" max="16121" width="67" style="4" customWidth="1"/>
    <col min="16122" max="16122" width="13.85546875" style="4" customWidth="1"/>
    <col min="16123" max="16125" width="13.85546875" style="4" bestFit="1" customWidth="1"/>
    <col min="16126" max="16126" width="12.7109375" style="4" bestFit="1" customWidth="1"/>
    <col min="16127" max="16127" width="14.28515625" style="4" customWidth="1"/>
    <col min="16128" max="16128" width="15.28515625" style="4" bestFit="1" customWidth="1"/>
    <col min="16129" max="16129" width="12.7109375" style="4" bestFit="1" customWidth="1"/>
    <col min="16130" max="16130" width="15.42578125" style="4" bestFit="1" customWidth="1"/>
    <col min="16131" max="16131" width="17.7109375" style="4" bestFit="1" customWidth="1"/>
    <col min="16132" max="16132" width="7.7109375" style="4" bestFit="1" customWidth="1"/>
    <col min="16133" max="16133" width="13.28515625" style="4" customWidth="1"/>
    <col min="16134" max="16134" width="23.5703125" style="4" customWidth="1"/>
    <col min="16135" max="16384" width="58.28515625" style="4"/>
  </cols>
  <sheetData>
    <row r="1" spans="1:29" s="2" customFormat="1" ht="11.25" x14ac:dyDescent="0.25">
      <c r="A1" s="52"/>
      <c r="H1" s="76" t="s">
        <v>81</v>
      </c>
      <c r="I1" s="76"/>
      <c r="J1" s="76"/>
      <c r="K1" s="76"/>
      <c r="V1" s="3"/>
    </row>
    <row r="2" spans="1:29" s="2" customFormat="1" ht="11.25" x14ac:dyDescent="0.25">
      <c r="A2" s="52"/>
      <c r="H2" s="76" t="s">
        <v>65</v>
      </c>
      <c r="I2" s="76"/>
      <c r="J2" s="76"/>
      <c r="K2" s="76"/>
      <c r="V2" s="3"/>
    </row>
    <row r="3" spans="1:29" s="2" customFormat="1" ht="11.25" x14ac:dyDescent="0.25">
      <c r="A3" s="52"/>
      <c r="H3" s="76" t="s">
        <v>64</v>
      </c>
      <c r="I3" s="76"/>
      <c r="J3" s="76"/>
      <c r="K3" s="76"/>
      <c r="V3" s="3"/>
    </row>
    <row r="4" spans="1:29" x14ac:dyDescent="0.25">
      <c r="B4" s="7"/>
      <c r="C4" s="79" t="s">
        <v>69</v>
      </c>
      <c r="D4" s="79"/>
      <c r="E4" s="79"/>
      <c r="F4" s="79"/>
      <c r="G4" s="79"/>
      <c r="H4" s="79"/>
      <c r="I4" s="79"/>
      <c r="J4" s="79"/>
      <c r="K4" s="79"/>
      <c r="L4" s="7"/>
    </row>
    <row r="5" spans="1:29" ht="13.5" thickBot="1" x14ac:dyDescent="0.3">
      <c r="B5" s="6"/>
      <c r="C5" s="5"/>
      <c r="D5" s="5"/>
      <c r="E5" s="5"/>
      <c r="F5" s="5"/>
      <c r="G5" s="5"/>
      <c r="H5" s="5"/>
      <c r="I5" s="5"/>
      <c r="J5" s="5"/>
      <c r="K5" s="6" t="s">
        <v>0</v>
      </c>
    </row>
    <row r="6" spans="1:29" s="8" customFormat="1" x14ac:dyDescent="0.25">
      <c r="A6" s="54"/>
      <c r="B6" s="25"/>
      <c r="C6" s="77" t="s">
        <v>79</v>
      </c>
      <c r="D6" s="77"/>
      <c r="E6" s="77"/>
      <c r="F6" s="77"/>
      <c r="G6" s="77"/>
      <c r="H6" s="77"/>
      <c r="I6" s="77"/>
      <c r="J6" s="77"/>
      <c r="K6" s="77"/>
      <c r="L6" s="77" t="s">
        <v>72</v>
      </c>
      <c r="M6" s="77"/>
      <c r="N6" s="77"/>
      <c r="O6" s="77"/>
      <c r="P6" s="77"/>
      <c r="Q6" s="77"/>
      <c r="R6" s="77"/>
      <c r="S6" s="77"/>
      <c r="T6" s="77"/>
      <c r="U6" s="77" t="s">
        <v>73</v>
      </c>
      <c r="V6" s="77"/>
      <c r="W6" s="77"/>
      <c r="X6" s="77"/>
      <c r="Y6" s="77"/>
      <c r="Z6" s="77"/>
      <c r="AA6" s="77"/>
      <c r="AB6" s="77"/>
      <c r="AC6" s="78"/>
    </row>
    <row r="7" spans="1:29" ht="13.5" thickBot="1" x14ac:dyDescent="0.3">
      <c r="A7" s="55" t="s">
        <v>1</v>
      </c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  <c r="I7" s="9" t="s">
        <v>9</v>
      </c>
      <c r="J7" s="9" t="s">
        <v>10</v>
      </c>
      <c r="K7" s="9" t="s">
        <v>11</v>
      </c>
      <c r="L7" s="9" t="s">
        <v>3</v>
      </c>
      <c r="M7" s="9" t="s">
        <v>4</v>
      </c>
      <c r="N7" s="9" t="s">
        <v>5</v>
      </c>
      <c r="O7" s="9" t="s">
        <v>6</v>
      </c>
      <c r="P7" s="9" t="s">
        <v>7</v>
      </c>
      <c r="Q7" s="9" t="s">
        <v>8</v>
      </c>
      <c r="R7" s="9" t="s">
        <v>9</v>
      </c>
      <c r="S7" s="9" t="s">
        <v>10</v>
      </c>
      <c r="T7" s="9" t="s">
        <v>11</v>
      </c>
      <c r="U7" s="9" t="s">
        <v>3</v>
      </c>
      <c r="V7" s="9" t="s">
        <v>4</v>
      </c>
      <c r="W7" s="9" t="s">
        <v>5</v>
      </c>
      <c r="X7" s="9" t="s">
        <v>6</v>
      </c>
      <c r="Y7" s="9" t="s">
        <v>7</v>
      </c>
      <c r="Z7" s="9" t="s">
        <v>8</v>
      </c>
      <c r="AA7" s="9" t="s">
        <v>9</v>
      </c>
      <c r="AB7" s="9" t="s">
        <v>10</v>
      </c>
      <c r="AC7" s="10" t="s">
        <v>11</v>
      </c>
    </row>
    <row r="8" spans="1:29" ht="13.5" thickBot="1" x14ac:dyDescent="0.3">
      <c r="A8" s="55">
        <v>1000000</v>
      </c>
      <c r="B8" s="9" t="s">
        <v>12</v>
      </c>
      <c r="C8" s="26">
        <f t="shared" ref="C8:J8" si="0">SUM(C9+C19+C25+C27+C37+C40)</f>
        <v>973696644</v>
      </c>
      <c r="D8" s="27">
        <f t="shared" si="0"/>
        <v>225496723</v>
      </c>
      <c r="E8" s="27">
        <f t="shared" si="0"/>
        <v>251286023</v>
      </c>
      <c r="F8" s="27">
        <f t="shared" si="0"/>
        <v>218248479</v>
      </c>
      <c r="G8" s="27">
        <f t="shared" si="0"/>
        <v>100810281</v>
      </c>
      <c r="H8" s="27">
        <f t="shared" si="0"/>
        <v>134510310</v>
      </c>
      <c r="I8" s="27">
        <f t="shared" si="0"/>
        <v>67598146</v>
      </c>
      <c r="J8" s="27">
        <f t="shared" si="0"/>
        <v>36047826</v>
      </c>
      <c r="K8" s="28">
        <f>SUM(C8:J8)</f>
        <v>2007694432</v>
      </c>
      <c r="L8" s="26">
        <f t="shared" ref="L8:S8" si="1">SUM(L9+L19+L25+L27+L37+L40)</f>
        <v>985889325</v>
      </c>
      <c r="M8" s="27">
        <f t="shared" si="1"/>
        <v>225496723</v>
      </c>
      <c r="N8" s="27">
        <f t="shared" si="1"/>
        <v>260628778</v>
      </c>
      <c r="O8" s="27">
        <f t="shared" si="1"/>
        <v>218648479</v>
      </c>
      <c r="P8" s="27">
        <f t="shared" si="1"/>
        <v>103288952</v>
      </c>
      <c r="Q8" s="27">
        <f t="shared" si="1"/>
        <v>138572010</v>
      </c>
      <c r="R8" s="27">
        <f t="shared" si="1"/>
        <v>67471572</v>
      </c>
      <c r="S8" s="27">
        <f t="shared" si="1"/>
        <v>36758441</v>
      </c>
      <c r="T8" s="28">
        <f>SUM(L8:S8)</f>
        <v>2036754280</v>
      </c>
      <c r="U8" s="9">
        <f t="shared" ref="U8:AC23" si="2">L8-C8</f>
        <v>12192681</v>
      </c>
      <c r="V8" s="11">
        <f t="shared" si="2"/>
        <v>0</v>
      </c>
      <c r="W8" s="11">
        <f t="shared" si="2"/>
        <v>9342755</v>
      </c>
      <c r="X8" s="11">
        <f t="shared" si="2"/>
        <v>400000</v>
      </c>
      <c r="Y8" s="11">
        <f t="shared" si="2"/>
        <v>2478671</v>
      </c>
      <c r="Z8" s="11">
        <f t="shared" si="2"/>
        <v>4061700</v>
      </c>
      <c r="AA8" s="11">
        <f t="shared" si="2"/>
        <v>-126574</v>
      </c>
      <c r="AB8" s="11">
        <f t="shared" si="2"/>
        <v>710615</v>
      </c>
      <c r="AC8" s="12">
        <f t="shared" si="2"/>
        <v>29059848</v>
      </c>
    </row>
    <row r="9" spans="1:29" x14ac:dyDescent="0.25">
      <c r="A9" s="55">
        <v>1010000</v>
      </c>
      <c r="B9" s="13" t="s">
        <v>13</v>
      </c>
      <c r="C9" s="29">
        <f>C10+C11+C13+C14+C15+C16+C17</f>
        <v>627925166</v>
      </c>
      <c r="D9" s="29">
        <f t="shared" ref="D9:J9" si="3">D10+D11+D13+D14+D15+D16+D17</f>
        <v>214429988</v>
      </c>
      <c r="E9" s="29">
        <f t="shared" si="3"/>
        <v>210766692</v>
      </c>
      <c r="F9" s="29">
        <f t="shared" si="3"/>
        <v>166531273</v>
      </c>
      <c r="G9" s="29">
        <f t="shared" si="3"/>
        <v>76109205</v>
      </c>
      <c r="H9" s="29">
        <f t="shared" si="3"/>
        <v>93869395</v>
      </c>
      <c r="I9" s="29">
        <f t="shared" si="3"/>
        <v>42364728</v>
      </c>
      <c r="J9" s="29">
        <f t="shared" si="3"/>
        <v>25114505</v>
      </c>
      <c r="K9" s="30">
        <f t="shared" ref="K9:K72" si="4">SUM(C9:J9)</f>
        <v>1457110952</v>
      </c>
      <c r="L9" s="29">
        <f>L10+L11+L13+L14+L15+L16+L17</f>
        <v>640290797</v>
      </c>
      <c r="M9" s="29">
        <f t="shared" ref="M9:S9" si="5">M10+M11+M13+M14+M15+M16+M17</f>
        <v>214429988</v>
      </c>
      <c r="N9" s="29">
        <f t="shared" si="5"/>
        <v>220063890</v>
      </c>
      <c r="O9" s="29">
        <f t="shared" si="5"/>
        <v>166931273</v>
      </c>
      <c r="P9" s="29">
        <f t="shared" si="5"/>
        <v>78587876</v>
      </c>
      <c r="Q9" s="29">
        <f t="shared" si="5"/>
        <v>97931095</v>
      </c>
      <c r="R9" s="29">
        <f t="shared" si="5"/>
        <v>42238154</v>
      </c>
      <c r="S9" s="29">
        <f t="shared" si="5"/>
        <v>25825120</v>
      </c>
      <c r="T9" s="30">
        <f t="shared" ref="T9:T72" si="6">SUM(L9:S9)</f>
        <v>1486298193</v>
      </c>
      <c r="U9" s="14">
        <f t="shared" si="2"/>
        <v>12365631</v>
      </c>
      <c r="V9" s="14">
        <f t="shared" si="2"/>
        <v>0</v>
      </c>
      <c r="W9" s="14">
        <f t="shared" si="2"/>
        <v>9297198</v>
      </c>
      <c r="X9" s="14">
        <f t="shared" si="2"/>
        <v>400000</v>
      </c>
      <c r="Y9" s="14">
        <f t="shared" si="2"/>
        <v>2478671</v>
      </c>
      <c r="Z9" s="14">
        <f t="shared" si="2"/>
        <v>4061700</v>
      </c>
      <c r="AA9" s="14">
        <f t="shared" si="2"/>
        <v>-126574</v>
      </c>
      <c r="AB9" s="14">
        <f t="shared" si="2"/>
        <v>710615</v>
      </c>
      <c r="AC9" s="12">
        <f t="shared" si="2"/>
        <v>29187241</v>
      </c>
    </row>
    <row r="10" spans="1:29" x14ac:dyDescent="0.25">
      <c r="A10" s="55">
        <v>1010100</v>
      </c>
      <c r="B10" s="15" t="s">
        <v>14</v>
      </c>
      <c r="C10" s="31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3">
        <f t="shared" si="4"/>
        <v>0</v>
      </c>
      <c r="L10" s="31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3">
        <f t="shared" si="6"/>
        <v>0</v>
      </c>
      <c r="U10" s="14">
        <f t="shared" si="2"/>
        <v>0</v>
      </c>
      <c r="V10" s="11">
        <f t="shared" si="2"/>
        <v>0</v>
      </c>
      <c r="W10" s="11">
        <f t="shared" si="2"/>
        <v>0</v>
      </c>
      <c r="X10" s="11">
        <f t="shared" si="2"/>
        <v>0</v>
      </c>
      <c r="Y10" s="11">
        <f t="shared" si="2"/>
        <v>0</v>
      </c>
      <c r="Z10" s="11">
        <f t="shared" si="2"/>
        <v>0</v>
      </c>
      <c r="AA10" s="11">
        <f t="shared" si="2"/>
        <v>0</v>
      </c>
      <c r="AB10" s="11">
        <f t="shared" si="2"/>
        <v>0</v>
      </c>
      <c r="AC10" s="12">
        <f t="shared" si="2"/>
        <v>0</v>
      </c>
    </row>
    <row r="11" spans="1:29" x14ac:dyDescent="0.25">
      <c r="A11" s="55">
        <v>1010200</v>
      </c>
      <c r="B11" s="15" t="s">
        <v>15</v>
      </c>
      <c r="C11" s="31">
        <f>375042744-1112067-329408</f>
        <v>373601269</v>
      </c>
      <c r="D11" s="32">
        <f>160990611+19392000</f>
        <v>180382611</v>
      </c>
      <c r="E11" s="32">
        <f>112336697+108046+388966</f>
        <v>112833709</v>
      </c>
      <c r="F11" s="32">
        <f>83893901+39491+142169</f>
        <v>84075561</v>
      </c>
      <c r="G11" s="32">
        <v>45067071</v>
      </c>
      <c r="H11" s="32">
        <f>54879106-25562-92025</f>
        <v>54761519</v>
      </c>
      <c r="I11" s="32">
        <v>20656810</v>
      </c>
      <c r="J11" s="32">
        <v>13023709</v>
      </c>
      <c r="K11" s="33">
        <f t="shared" si="4"/>
        <v>884402259</v>
      </c>
      <c r="L11" s="31">
        <f>375042744-1112067-329408</f>
        <v>373601269</v>
      </c>
      <c r="M11" s="32">
        <f>160990611+19392000</f>
        <v>180382611</v>
      </c>
      <c r="N11" s="32">
        <f>112336697+108046+388966+1967046</f>
        <v>114800755</v>
      </c>
      <c r="O11" s="32">
        <f>83893901+39491+142169+400000</f>
        <v>84475561</v>
      </c>
      <c r="P11" s="32">
        <f>45067071+500547</f>
        <v>45567618</v>
      </c>
      <c r="Q11" s="32">
        <f>54879106-25562-92025</f>
        <v>54761519</v>
      </c>
      <c r="R11" s="32">
        <v>20656810</v>
      </c>
      <c r="S11" s="32">
        <v>13023709</v>
      </c>
      <c r="T11" s="33">
        <f t="shared" si="6"/>
        <v>887269852</v>
      </c>
      <c r="U11" s="14">
        <f t="shared" si="2"/>
        <v>0</v>
      </c>
      <c r="V11" s="11">
        <f t="shared" si="2"/>
        <v>0</v>
      </c>
      <c r="W11" s="11">
        <f t="shared" si="2"/>
        <v>1967046</v>
      </c>
      <c r="X11" s="11">
        <f t="shared" si="2"/>
        <v>400000</v>
      </c>
      <c r="Y11" s="11">
        <f t="shared" si="2"/>
        <v>500547</v>
      </c>
      <c r="Z11" s="11">
        <f t="shared" si="2"/>
        <v>0</v>
      </c>
      <c r="AA11" s="11">
        <f t="shared" si="2"/>
        <v>0</v>
      </c>
      <c r="AB11" s="11">
        <f t="shared" si="2"/>
        <v>0</v>
      </c>
      <c r="AC11" s="12">
        <f t="shared" si="2"/>
        <v>2867593</v>
      </c>
    </row>
    <row r="12" spans="1:29" x14ac:dyDescent="0.25">
      <c r="A12" s="56">
        <v>1010290</v>
      </c>
      <c r="B12" s="1" t="s">
        <v>16</v>
      </c>
      <c r="C12" s="34">
        <f>118028034-313364</f>
        <v>117714670</v>
      </c>
      <c r="D12" s="35">
        <f>33769006+4216000</f>
        <v>37985006</v>
      </c>
      <c r="E12" s="35">
        <f>18314136+108046</f>
        <v>18422182</v>
      </c>
      <c r="F12" s="35">
        <f>8480829+39491</f>
        <v>8520320</v>
      </c>
      <c r="G12" s="35">
        <v>3251851</v>
      </c>
      <c r="H12" s="35">
        <f>5297884-25562</f>
        <v>5272322</v>
      </c>
      <c r="I12" s="35">
        <v>1772138</v>
      </c>
      <c r="J12" s="35">
        <v>812619</v>
      </c>
      <c r="K12" s="36">
        <f t="shared" si="4"/>
        <v>193751108</v>
      </c>
      <c r="L12" s="34">
        <f>118028034-313364</f>
        <v>117714670</v>
      </c>
      <c r="M12" s="35">
        <f>33769006+4216000</f>
        <v>37985006</v>
      </c>
      <c r="N12" s="35">
        <f>18314136+108046</f>
        <v>18422182</v>
      </c>
      <c r="O12" s="35">
        <f>8480829+39491</f>
        <v>8520320</v>
      </c>
      <c r="P12" s="35">
        <v>3251851</v>
      </c>
      <c r="Q12" s="35">
        <f>5297884-25562</f>
        <v>5272322</v>
      </c>
      <c r="R12" s="35">
        <v>1772138</v>
      </c>
      <c r="S12" s="35">
        <v>812619</v>
      </c>
      <c r="T12" s="36">
        <f t="shared" si="6"/>
        <v>193751108</v>
      </c>
      <c r="U12" s="16">
        <f t="shared" si="2"/>
        <v>0</v>
      </c>
      <c r="V12" s="17">
        <f t="shared" si="2"/>
        <v>0</v>
      </c>
      <c r="W12" s="17">
        <f t="shared" si="2"/>
        <v>0</v>
      </c>
      <c r="X12" s="17">
        <f t="shared" si="2"/>
        <v>0</v>
      </c>
      <c r="Y12" s="17">
        <f t="shared" si="2"/>
        <v>0</v>
      </c>
      <c r="Z12" s="17">
        <f t="shared" si="2"/>
        <v>0</v>
      </c>
      <c r="AA12" s="17">
        <f t="shared" si="2"/>
        <v>0</v>
      </c>
      <c r="AB12" s="17">
        <f t="shared" si="2"/>
        <v>0</v>
      </c>
      <c r="AC12" s="18">
        <f t="shared" si="2"/>
        <v>0</v>
      </c>
    </row>
    <row r="13" spans="1:29" x14ac:dyDescent="0.25">
      <c r="A13" s="55">
        <v>1010400</v>
      </c>
      <c r="B13" s="15" t="s">
        <v>17</v>
      </c>
      <c r="C13" s="31">
        <v>2331600</v>
      </c>
      <c r="D13" s="32">
        <v>0</v>
      </c>
      <c r="E13" s="32">
        <v>1322400</v>
      </c>
      <c r="F13" s="32">
        <v>435000</v>
      </c>
      <c r="G13" s="32">
        <v>487200</v>
      </c>
      <c r="H13" s="32">
        <v>243600</v>
      </c>
      <c r="I13" s="32">
        <v>156600</v>
      </c>
      <c r="J13" s="32">
        <v>295800</v>
      </c>
      <c r="K13" s="33">
        <f t="shared" si="4"/>
        <v>5272200</v>
      </c>
      <c r="L13" s="31">
        <v>2331600</v>
      </c>
      <c r="M13" s="32">
        <v>0</v>
      </c>
      <c r="N13" s="32">
        <v>1322400</v>
      </c>
      <c r="O13" s="32">
        <v>435000</v>
      </c>
      <c r="P13" s="32">
        <v>487200</v>
      </c>
      <c r="Q13" s="32">
        <v>243600</v>
      </c>
      <c r="R13" s="32">
        <v>156600</v>
      </c>
      <c r="S13" s="32">
        <v>295800</v>
      </c>
      <c r="T13" s="33">
        <f t="shared" si="6"/>
        <v>5272200</v>
      </c>
      <c r="U13" s="14">
        <f t="shared" si="2"/>
        <v>0</v>
      </c>
      <c r="V13" s="11">
        <f t="shared" si="2"/>
        <v>0</v>
      </c>
      <c r="W13" s="11">
        <f t="shared" si="2"/>
        <v>0</v>
      </c>
      <c r="X13" s="11">
        <f t="shared" si="2"/>
        <v>0</v>
      </c>
      <c r="Y13" s="11">
        <f t="shared" si="2"/>
        <v>0</v>
      </c>
      <c r="Z13" s="11">
        <f t="shared" si="2"/>
        <v>0</v>
      </c>
      <c r="AA13" s="11">
        <f t="shared" si="2"/>
        <v>0</v>
      </c>
      <c r="AB13" s="11">
        <f t="shared" si="2"/>
        <v>0</v>
      </c>
      <c r="AC13" s="12">
        <f t="shared" si="2"/>
        <v>0</v>
      </c>
    </row>
    <row r="14" spans="1:29" x14ac:dyDescent="0.25">
      <c r="A14" s="55">
        <v>1010500</v>
      </c>
      <c r="B14" s="15" t="s">
        <v>18</v>
      </c>
      <c r="C14" s="31">
        <v>7731334</v>
      </c>
      <c r="D14" s="32">
        <v>241753</v>
      </c>
      <c r="E14" s="32">
        <v>4530940</v>
      </c>
      <c r="F14" s="32">
        <v>3273551</v>
      </c>
      <c r="G14" s="32">
        <v>1343247</v>
      </c>
      <c r="H14" s="32">
        <v>3320862</v>
      </c>
      <c r="I14" s="32">
        <v>1543724</v>
      </c>
      <c r="J14" s="32">
        <v>1139618</v>
      </c>
      <c r="K14" s="33">
        <f t="shared" si="4"/>
        <v>23125029</v>
      </c>
      <c r="L14" s="31">
        <v>7731334</v>
      </c>
      <c r="M14" s="32">
        <v>241753</v>
      </c>
      <c r="N14" s="32">
        <v>4530940</v>
      </c>
      <c r="O14" s="32">
        <v>3273551</v>
      </c>
      <c r="P14" s="32">
        <v>1343247</v>
      </c>
      <c r="Q14" s="32">
        <v>3320862</v>
      </c>
      <c r="R14" s="32">
        <f>1543724-126574</f>
        <v>1417150</v>
      </c>
      <c r="S14" s="32">
        <v>1139618</v>
      </c>
      <c r="T14" s="33">
        <f t="shared" si="6"/>
        <v>22998455</v>
      </c>
      <c r="U14" s="14">
        <f t="shared" si="2"/>
        <v>0</v>
      </c>
      <c r="V14" s="11">
        <f t="shared" si="2"/>
        <v>0</v>
      </c>
      <c r="W14" s="11">
        <f t="shared" si="2"/>
        <v>0</v>
      </c>
      <c r="X14" s="11">
        <f t="shared" si="2"/>
        <v>0</v>
      </c>
      <c r="Y14" s="11">
        <f t="shared" si="2"/>
        <v>0</v>
      </c>
      <c r="Z14" s="11">
        <f t="shared" si="2"/>
        <v>0</v>
      </c>
      <c r="AA14" s="11">
        <f t="shared" si="2"/>
        <v>-126574</v>
      </c>
      <c r="AB14" s="11">
        <f t="shared" si="2"/>
        <v>0</v>
      </c>
      <c r="AC14" s="12">
        <f t="shared" si="2"/>
        <v>-126574</v>
      </c>
    </row>
    <row r="15" spans="1:29" ht="25.5" x14ac:dyDescent="0.25">
      <c r="A15" s="55">
        <v>1010600</v>
      </c>
      <c r="B15" s="15" t="s">
        <v>19</v>
      </c>
      <c r="C15" s="31">
        <v>16167883</v>
      </c>
      <c r="D15" s="32">
        <v>105221</v>
      </c>
      <c r="E15" s="32">
        <v>4546250</v>
      </c>
      <c r="F15" s="32">
        <v>1191159</v>
      </c>
      <c r="G15" s="32">
        <v>550913</v>
      </c>
      <c r="H15" s="32">
        <v>932148</v>
      </c>
      <c r="I15" s="32">
        <v>87619</v>
      </c>
      <c r="J15" s="32">
        <v>12965</v>
      </c>
      <c r="K15" s="33">
        <f t="shared" si="4"/>
        <v>23594158</v>
      </c>
      <c r="L15" s="31">
        <v>16167883</v>
      </c>
      <c r="M15" s="32">
        <v>105221</v>
      </c>
      <c r="N15" s="32">
        <f>4546250+2070799</f>
        <v>6617049</v>
      </c>
      <c r="O15" s="32">
        <v>1191159</v>
      </c>
      <c r="P15" s="32">
        <v>550913</v>
      </c>
      <c r="Q15" s="32">
        <f>932148+270872</f>
        <v>1203020</v>
      </c>
      <c r="R15" s="32">
        <v>87619</v>
      </c>
      <c r="S15" s="32">
        <v>12965</v>
      </c>
      <c r="T15" s="33">
        <f t="shared" si="6"/>
        <v>25935829</v>
      </c>
      <c r="U15" s="14">
        <f t="shared" si="2"/>
        <v>0</v>
      </c>
      <c r="V15" s="11">
        <f t="shared" si="2"/>
        <v>0</v>
      </c>
      <c r="W15" s="11">
        <f t="shared" si="2"/>
        <v>2070799</v>
      </c>
      <c r="X15" s="11">
        <f t="shared" si="2"/>
        <v>0</v>
      </c>
      <c r="Y15" s="11">
        <f t="shared" si="2"/>
        <v>0</v>
      </c>
      <c r="Z15" s="11">
        <f t="shared" si="2"/>
        <v>270872</v>
      </c>
      <c r="AA15" s="11">
        <f t="shared" si="2"/>
        <v>0</v>
      </c>
      <c r="AB15" s="11">
        <f t="shared" si="2"/>
        <v>0</v>
      </c>
      <c r="AC15" s="12">
        <f t="shared" si="2"/>
        <v>2341671</v>
      </c>
    </row>
    <row r="16" spans="1:29" x14ac:dyDescent="0.25">
      <c r="A16" s="55">
        <v>1010601</v>
      </c>
      <c r="B16" s="15" t="s">
        <v>20</v>
      </c>
      <c r="C16" s="31">
        <v>8961083</v>
      </c>
      <c r="D16" s="32">
        <v>69772</v>
      </c>
      <c r="E16" s="32">
        <v>3935501</v>
      </c>
      <c r="F16" s="32">
        <v>1145877</v>
      </c>
      <c r="G16" s="32">
        <v>944263</v>
      </c>
      <c r="H16" s="32">
        <v>1475719</v>
      </c>
      <c r="I16" s="32">
        <v>428668</v>
      </c>
      <c r="J16" s="32">
        <v>296654</v>
      </c>
      <c r="K16" s="33">
        <f t="shared" si="4"/>
        <v>17257537</v>
      </c>
      <c r="L16" s="31">
        <f>8961083+2445386+1008549</f>
        <v>12415018</v>
      </c>
      <c r="M16" s="32">
        <v>69772</v>
      </c>
      <c r="N16" s="32">
        <v>3935501</v>
      </c>
      <c r="O16" s="32">
        <v>1145877</v>
      </c>
      <c r="P16" s="32">
        <v>944263</v>
      </c>
      <c r="Q16" s="32">
        <f>1475719+741604</f>
        <v>2217323</v>
      </c>
      <c r="R16" s="32">
        <v>428668</v>
      </c>
      <c r="S16" s="32">
        <v>296654</v>
      </c>
      <c r="T16" s="33">
        <f t="shared" si="6"/>
        <v>21453076</v>
      </c>
      <c r="U16" s="14">
        <f t="shared" si="2"/>
        <v>3453935</v>
      </c>
      <c r="V16" s="11">
        <f t="shared" si="2"/>
        <v>0</v>
      </c>
      <c r="W16" s="11">
        <f t="shared" si="2"/>
        <v>0</v>
      </c>
      <c r="X16" s="11">
        <f t="shared" si="2"/>
        <v>0</v>
      </c>
      <c r="Y16" s="11">
        <f t="shared" si="2"/>
        <v>0</v>
      </c>
      <c r="Z16" s="11">
        <f t="shared" si="2"/>
        <v>741604</v>
      </c>
      <c r="AA16" s="11">
        <f t="shared" si="2"/>
        <v>0</v>
      </c>
      <c r="AB16" s="11">
        <f t="shared" si="2"/>
        <v>0</v>
      </c>
      <c r="AC16" s="12">
        <f t="shared" si="2"/>
        <v>4195539</v>
      </c>
    </row>
    <row r="17" spans="1:29" x14ac:dyDescent="0.25">
      <c r="A17" s="55">
        <v>1010700</v>
      </c>
      <c r="B17" s="15" t="s">
        <v>21</v>
      </c>
      <c r="C17" s="31">
        <f>206609004+10234397+2288596</f>
        <v>219131997</v>
      </c>
      <c r="D17" s="32">
        <f>32250048+1256943+123640</f>
        <v>33630631</v>
      </c>
      <c r="E17" s="32">
        <f>77076723+4945352+1575817</f>
        <v>83597892</v>
      </c>
      <c r="F17" s="32">
        <f>71906160+3667017+836948</f>
        <v>76410125</v>
      </c>
      <c r="G17" s="32">
        <f>25241353+1830752+644406</f>
        <v>27716511</v>
      </c>
      <c r="H17" s="32">
        <f>29796712+2409461+929374</f>
        <v>33135547</v>
      </c>
      <c r="I17" s="32">
        <f>18275605+974327+241375</f>
        <v>19491307</v>
      </c>
      <c r="J17" s="32">
        <f>9522683+622806+200270</f>
        <v>10345759</v>
      </c>
      <c r="K17" s="33">
        <f t="shared" si="4"/>
        <v>503459769</v>
      </c>
      <c r="L17" s="31">
        <f>206609004+10234397+2288596+1957900+6953796</f>
        <v>228043693</v>
      </c>
      <c r="M17" s="32">
        <f>32250048+1256943+123640</f>
        <v>33630631</v>
      </c>
      <c r="N17" s="32">
        <f>77076723+4945352+1575817+5259353</f>
        <v>88857245</v>
      </c>
      <c r="O17" s="32">
        <f>71906160+3667017+836948</f>
        <v>76410125</v>
      </c>
      <c r="P17" s="32">
        <f>25241353+1830752+644406+1978124</f>
        <v>29694635</v>
      </c>
      <c r="Q17" s="32">
        <f>29796712+2409461+929374+3049224</f>
        <v>36184771</v>
      </c>
      <c r="R17" s="32">
        <f>18275605+974327+241375</f>
        <v>19491307</v>
      </c>
      <c r="S17" s="32">
        <f>9522683+622806+200270+710615</f>
        <v>11056374</v>
      </c>
      <c r="T17" s="33">
        <f t="shared" si="6"/>
        <v>523368781</v>
      </c>
      <c r="U17" s="14">
        <f t="shared" si="2"/>
        <v>8911696</v>
      </c>
      <c r="V17" s="11">
        <f t="shared" si="2"/>
        <v>0</v>
      </c>
      <c r="W17" s="11">
        <f t="shared" si="2"/>
        <v>5259353</v>
      </c>
      <c r="X17" s="11">
        <f t="shared" si="2"/>
        <v>0</v>
      </c>
      <c r="Y17" s="11">
        <f t="shared" si="2"/>
        <v>1978124</v>
      </c>
      <c r="Z17" s="11">
        <f t="shared" si="2"/>
        <v>3049224</v>
      </c>
      <c r="AA17" s="11">
        <f t="shared" si="2"/>
        <v>0</v>
      </c>
      <c r="AB17" s="11">
        <f t="shared" si="2"/>
        <v>710615</v>
      </c>
      <c r="AC17" s="12">
        <f t="shared" si="2"/>
        <v>19909012</v>
      </c>
    </row>
    <row r="18" spans="1:29" x14ac:dyDescent="0.25">
      <c r="A18" s="56"/>
      <c r="B18" s="15"/>
      <c r="C18" s="31"/>
      <c r="D18" s="32"/>
      <c r="E18" s="32"/>
      <c r="F18" s="32"/>
      <c r="G18" s="32"/>
      <c r="H18" s="32"/>
      <c r="I18" s="32"/>
      <c r="J18" s="32"/>
      <c r="K18" s="33">
        <f t="shared" si="4"/>
        <v>0</v>
      </c>
      <c r="L18" s="31"/>
      <c r="M18" s="32"/>
      <c r="N18" s="32"/>
      <c r="O18" s="32"/>
      <c r="P18" s="32"/>
      <c r="Q18" s="32"/>
      <c r="R18" s="32"/>
      <c r="S18" s="32"/>
      <c r="T18" s="33">
        <f t="shared" si="6"/>
        <v>0</v>
      </c>
      <c r="U18" s="14">
        <f t="shared" si="2"/>
        <v>0</v>
      </c>
      <c r="V18" s="11">
        <f t="shared" si="2"/>
        <v>0</v>
      </c>
      <c r="W18" s="11">
        <f t="shared" si="2"/>
        <v>0</v>
      </c>
      <c r="X18" s="11">
        <f t="shared" si="2"/>
        <v>0</v>
      </c>
      <c r="Y18" s="11">
        <f t="shared" si="2"/>
        <v>0</v>
      </c>
      <c r="Z18" s="11">
        <f t="shared" si="2"/>
        <v>0</v>
      </c>
      <c r="AA18" s="11">
        <f t="shared" si="2"/>
        <v>0</v>
      </c>
      <c r="AB18" s="11">
        <f t="shared" si="2"/>
        <v>0</v>
      </c>
      <c r="AC18" s="12">
        <f t="shared" si="2"/>
        <v>0</v>
      </c>
    </row>
    <row r="19" spans="1:29" x14ac:dyDescent="0.25">
      <c r="A19" s="55">
        <v>1020000</v>
      </c>
      <c r="B19" s="15" t="s">
        <v>22</v>
      </c>
      <c r="C19" s="31">
        <f t="shared" ref="C19:J19" si="7">SUM(C20:C23)</f>
        <v>31557744</v>
      </c>
      <c r="D19" s="31">
        <f t="shared" si="7"/>
        <v>135532</v>
      </c>
      <c r="E19" s="31">
        <f t="shared" si="7"/>
        <v>12539734</v>
      </c>
      <c r="F19" s="31">
        <f t="shared" si="7"/>
        <v>296922</v>
      </c>
      <c r="G19" s="31">
        <f t="shared" si="7"/>
        <v>4354516</v>
      </c>
      <c r="H19" s="31">
        <f t="shared" si="7"/>
        <v>135736</v>
      </c>
      <c r="I19" s="31">
        <f t="shared" si="7"/>
        <v>27168</v>
      </c>
      <c r="J19" s="31">
        <f t="shared" si="7"/>
        <v>128229</v>
      </c>
      <c r="K19" s="33">
        <f t="shared" si="4"/>
        <v>49175581</v>
      </c>
      <c r="L19" s="31">
        <f t="shared" ref="L19:S19" si="8">SUM(L20:L23)</f>
        <v>31557744</v>
      </c>
      <c r="M19" s="31">
        <f t="shared" si="8"/>
        <v>135532</v>
      </c>
      <c r="N19" s="31">
        <f t="shared" si="8"/>
        <v>12539734</v>
      </c>
      <c r="O19" s="31">
        <f t="shared" si="8"/>
        <v>296922</v>
      </c>
      <c r="P19" s="31">
        <f t="shared" si="8"/>
        <v>4354516</v>
      </c>
      <c r="Q19" s="31">
        <f t="shared" si="8"/>
        <v>135736</v>
      </c>
      <c r="R19" s="31">
        <f t="shared" si="8"/>
        <v>27168</v>
      </c>
      <c r="S19" s="31">
        <f t="shared" si="8"/>
        <v>128229</v>
      </c>
      <c r="T19" s="33">
        <f t="shared" si="6"/>
        <v>49175581</v>
      </c>
      <c r="U19" s="14">
        <f t="shared" si="2"/>
        <v>0</v>
      </c>
      <c r="V19" s="14">
        <f t="shared" si="2"/>
        <v>0</v>
      </c>
      <c r="W19" s="14">
        <f t="shared" si="2"/>
        <v>0</v>
      </c>
      <c r="X19" s="14">
        <f t="shared" si="2"/>
        <v>0</v>
      </c>
      <c r="Y19" s="14">
        <f t="shared" si="2"/>
        <v>0</v>
      </c>
      <c r="Z19" s="14">
        <f t="shared" si="2"/>
        <v>0</v>
      </c>
      <c r="AA19" s="14">
        <f t="shared" si="2"/>
        <v>0</v>
      </c>
      <c r="AB19" s="14">
        <f t="shared" si="2"/>
        <v>0</v>
      </c>
      <c r="AC19" s="12">
        <f t="shared" si="2"/>
        <v>0</v>
      </c>
    </row>
    <row r="20" spans="1:29" x14ac:dyDescent="0.25">
      <c r="A20" s="55">
        <v>1020100</v>
      </c>
      <c r="B20" s="15" t="s">
        <v>23</v>
      </c>
      <c r="C20" s="31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3">
        <f t="shared" si="4"/>
        <v>0</v>
      </c>
      <c r="L20" s="31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3">
        <f t="shared" si="6"/>
        <v>0</v>
      </c>
      <c r="U20" s="14">
        <f t="shared" si="2"/>
        <v>0</v>
      </c>
      <c r="V20" s="11">
        <f t="shared" si="2"/>
        <v>0</v>
      </c>
      <c r="W20" s="11">
        <f t="shared" si="2"/>
        <v>0</v>
      </c>
      <c r="X20" s="11">
        <f t="shared" si="2"/>
        <v>0</v>
      </c>
      <c r="Y20" s="11">
        <f t="shared" si="2"/>
        <v>0</v>
      </c>
      <c r="Z20" s="11">
        <f t="shared" si="2"/>
        <v>0</v>
      </c>
      <c r="AA20" s="11">
        <f t="shared" si="2"/>
        <v>0</v>
      </c>
      <c r="AB20" s="11">
        <f t="shared" si="2"/>
        <v>0</v>
      </c>
      <c r="AC20" s="12">
        <f t="shared" si="2"/>
        <v>0</v>
      </c>
    </row>
    <row r="21" spans="1:29" x14ac:dyDescent="0.25">
      <c r="A21" s="55">
        <v>1020200</v>
      </c>
      <c r="B21" s="15" t="s">
        <v>24</v>
      </c>
      <c r="C21" s="31">
        <v>29254544</v>
      </c>
      <c r="D21" s="32">
        <v>0</v>
      </c>
      <c r="E21" s="32">
        <v>12345325</v>
      </c>
      <c r="F21" s="32">
        <v>128617</v>
      </c>
      <c r="G21" s="32">
        <v>4267814</v>
      </c>
      <c r="H21" s="32">
        <v>26417</v>
      </c>
      <c r="I21" s="32">
        <v>0</v>
      </c>
      <c r="J21" s="32">
        <v>79370</v>
      </c>
      <c r="K21" s="33">
        <f t="shared" si="4"/>
        <v>46102087</v>
      </c>
      <c r="L21" s="31">
        <v>29254544</v>
      </c>
      <c r="M21" s="32">
        <v>0</v>
      </c>
      <c r="N21" s="32">
        <v>12345325</v>
      </c>
      <c r="O21" s="32">
        <v>128617</v>
      </c>
      <c r="P21" s="32">
        <v>4267814</v>
      </c>
      <c r="Q21" s="32">
        <v>26417</v>
      </c>
      <c r="R21" s="32">
        <v>0</v>
      </c>
      <c r="S21" s="32">
        <v>79370</v>
      </c>
      <c r="T21" s="33">
        <f t="shared" si="6"/>
        <v>46102087</v>
      </c>
      <c r="U21" s="14">
        <f t="shared" si="2"/>
        <v>0</v>
      </c>
      <c r="V21" s="11">
        <f t="shared" si="2"/>
        <v>0</v>
      </c>
      <c r="W21" s="11">
        <f t="shared" si="2"/>
        <v>0</v>
      </c>
      <c r="X21" s="11">
        <f t="shared" si="2"/>
        <v>0</v>
      </c>
      <c r="Y21" s="11">
        <f t="shared" si="2"/>
        <v>0</v>
      </c>
      <c r="Z21" s="11">
        <f t="shared" si="2"/>
        <v>0</v>
      </c>
      <c r="AA21" s="11">
        <f t="shared" si="2"/>
        <v>0</v>
      </c>
      <c r="AB21" s="11">
        <f t="shared" si="2"/>
        <v>0</v>
      </c>
      <c r="AC21" s="12">
        <f t="shared" si="2"/>
        <v>0</v>
      </c>
    </row>
    <row r="22" spans="1:29" x14ac:dyDescent="0.25">
      <c r="A22" s="55">
        <v>1020400</v>
      </c>
      <c r="B22" s="15" t="s">
        <v>25</v>
      </c>
      <c r="C22" s="31">
        <v>675228</v>
      </c>
      <c r="D22" s="32">
        <v>0</v>
      </c>
      <c r="E22" s="32">
        <v>0</v>
      </c>
      <c r="F22" s="32">
        <v>0</v>
      </c>
      <c r="G22" s="32">
        <v>35031</v>
      </c>
      <c r="H22" s="32">
        <v>0</v>
      </c>
      <c r="I22" s="32">
        <v>0</v>
      </c>
      <c r="J22" s="32">
        <v>0</v>
      </c>
      <c r="K22" s="33">
        <f t="shared" si="4"/>
        <v>710259</v>
      </c>
      <c r="L22" s="31">
        <v>675228</v>
      </c>
      <c r="M22" s="32">
        <v>0</v>
      </c>
      <c r="N22" s="32">
        <v>0</v>
      </c>
      <c r="O22" s="32">
        <v>0</v>
      </c>
      <c r="P22" s="32">
        <v>35031</v>
      </c>
      <c r="Q22" s="32">
        <v>0</v>
      </c>
      <c r="R22" s="32">
        <v>0</v>
      </c>
      <c r="S22" s="32">
        <v>0</v>
      </c>
      <c r="T22" s="33">
        <f t="shared" si="6"/>
        <v>710259</v>
      </c>
      <c r="U22" s="14">
        <f t="shared" si="2"/>
        <v>0</v>
      </c>
      <c r="V22" s="11">
        <f t="shared" si="2"/>
        <v>0</v>
      </c>
      <c r="W22" s="11">
        <f t="shared" si="2"/>
        <v>0</v>
      </c>
      <c r="X22" s="11">
        <f t="shared" si="2"/>
        <v>0</v>
      </c>
      <c r="Y22" s="11">
        <f t="shared" si="2"/>
        <v>0</v>
      </c>
      <c r="Z22" s="11">
        <f t="shared" si="2"/>
        <v>0</v>
      </c>
      <c r="AA22" s="11">
        <f t="shared" si="2"/>
        <v>0</v>
      </c>
      <c r="AB22" s="11">
        <f t="shared" si="2"/>
        <v>0</v>
      </c>
      <c r="AC22" s="12">
        <f t="shared" si="2"/>
        <v>0</v>
      </c>
    </row>
    <row r="23" spans="1:29" x14ac:dyDescent="0.25">
      <c r="A23" s="55">
        <v>1020500</v>
      </c>
      <c r="B23" s="15" t="s">
        <v>26</v>
      </c>
      <c r="C23" s="31">
        <v>1627972</v>
      </c>
      <c r="D23" s="32">
        <v>135532</v>
      </c>
      <c r="E23" s="32">
        <v>194409</v>
      </c>
      <c r="F23" s="32">
        <v>168305</v>
      </c>
      <c r="G23" s="32">
        <v>51671</v>
      </c>
      <c r="H23" s="32">
        <v>109319</v>
      </c>
      <c r="I23" s="32">
        <v>27168</v>
      </c>
      <c r="J23" s="32">
        <v>48859</v>
      </c>
      <c r="K23" s="33">
        <f t="shared" si="4"/>
        <v>2363235</v>
      </c>
      <c r="L23" s="31">
        <v>1627972</v>
      </c>
      <c r="M23" s="32">
        <v>135532</v>
      </c>
      <c r="N23" s="32">
        <v>194409</v>
      </c>
      <c r="O23" s="32">
        <v>168305</v>
      </c>
      <c r="P23" s="32">
        <v>51671</v>
      </c>
      <c r="Q23" s="32">
        <v>109319</v>
      </c>
      <c r="R23" s="32">
        <v>27168</v>
      </c>
      <c r="S23" s="32">
        <v>48859</v>
      </c>
      <c r="T23" s="33">
        <f t="shared" si="6"/>
        <v>2363235</v>
      </c>
      <c r="U23" s="14">
        <f t="shared" si="2"/>
        <v>0</v>
      </c>
      <c r="V23" s="11">
        <f t="shared" si="2"/>
        <v>0</v>
      </c>
      <c r="W23" s="11">
        <f t="shared" si="2"/>
        <v>0</v>
      </c>
      <c r="X23" s="11">
        <f t="shared" si="2"/>
        <v>0</v>
      </c>
      <c r="Y23" s="11">
        <f t="shared" si="2"/>
        <v>0</v>
      </c>
      <c r="Z23" s="11">
        <f t="shared" si="2"/>
        <v>0</v>
      </c>
      <c r="AA23" s="11">
        <f t="shared" si="2"/>
        <v>0</v>
      </c>
      <c r="AB23" s="11">
        <f t="shared" si="2"/>
        <v>0</v>
      </c>
      <c r="AC23" s="12">
        <f t="shared" si="2"/>
        <v>0</v>
      </c>
    </row>
    <row r="24" spans="1:29" x14ac:dyDescent="0.25">
      <c r="A24" s="56"/>
      <c r="B24" s="15"/>
      <c r="C24" s="31"/>
      <c r="D24" s="32"/>
      <c r="E24" s="32"/>
      <c r="F24" s="32"/>
      <c r="G24" s="32"/>
      <c r="H24" s="32"/>
      <c r="I24" s="32"/>
      <c r="J24" s="32"/>
      <c r="K24" s="33"/>
      <c r="L24" s="31"/>
      <c r="M24" s="32"/>
      <c r="N24" s="32"/>
      <c r="O24" s="32"/>
      <c r="P24" s="32"/>
      <c r="Q24" s="32"/>
      <c r="R24" s="32"/>
      <c r="S24" s="32"/>
      <c r="T24" s="33"/>
      <c r="U24" s="14">
        <f t="shared" ref="U24:AC52" si="9">L24-C24</f>
        <v>0</v>
      </c>
      <c r="V24" s="11">
        <f t="shared" si="9"/>
        <v>0</v>
      </c>
      <c r="W24" s="11">
        <f t="shared" si="9"/>
        <v>0</v>
      </c>
      <c r="X24" s="11">
        <f t="shared" si="9"/>
        <v>0</v>
      </c>
      <c r="Y24" s="11">
        <f t="shared" si="9"/>
        <v>0</v>
      </c>
      <c r="Z24" s="11">
        <f t="shared" si="9"/>
        <v>0</v>
      </c>
      <c r="AA24" s="11">
        <f t="shared" si="9"/>
        <v>0</v>
      </c>
      <c r="AB24" s="11">
        <f t="shared" si="9"/>
        <v>0</v>
      </c>
      <c r="AC24" s="12">
        <f t="shared" si="9"/>
        <v>0</v>
      </c>
    </row>
    <row r="25" spans="1:29" x14ac:dyDescent="0.25">
      <c r="A25" s="55">
        <v>1040000</v>
      </c>
      <c r="B25" s="15" t="s">
        <v>27</v>
      </c>
      <c r="C25" s="31">
        <v>3738259</v>
      </c>
      <c r="D25" s="32">
        <v>234017</v>
      </c>
      <c r="E25" s="32">
        <v>2860960</v>
      </c>
      <c r="F25" s="32">
        <v>2198827</v>
      </c>
      <c r="G25" s="32">
        <v>1554020</v>
      </c>
      <c r="H25" s="32">
        <v>2225319</v>
      </c>
      <c r="I25" s="32">
        <v>1141812</v>
      </c>
      <c r="J25" s="32">
        <v>700942</v>
      </c>
      <c r="K25" s="33">
        <f t="shared" si="4"/>
        <v>14654156</v>
      </c>
      <c r="L25" s="31">
        <v>3738259</v>
      </c>
      <c r="M25" s="32">
        <v>234017</v>
      </c>
      <c r="N25" s="32">
        <v>2860960</v>
      </c>
      <c r="O25" s="32">
        <v>2198827</v>
      </c>
      <c r="P25" s="32">
        <v>1554020</v>
      </c>
      <c r="Q25" s="32">
        <v>2225319</v>
      </c>
      <c r="R25" s="32">
        <v>1141812</v>
      </c>
      <c r="S25" s="32">
        <v>700942</v>
      </c>
      <c r="T25" s="33">
        <f t="shared" si="6"/>
        <v>14654156</v>
      </c>
      <c r="U25" s="14">
        <f t="shared" si="9"/>
        <v>0</v>
      </c>
      <c r="V25" s="11">
        <f t="shared" si="9"/>
        <v>0</v>
      </c>
      <c r="W25" s="11">
        <f t="shared" si="9"/>
        <v>0</v>
      </c>
      <c r="X25" s="11">
        <f t="shared" si="9"/>
        <v>0</v>
      </c>
      <c r="Y25" s="11">
        <f t="shared" si="9"/>
        <v>0</v>
      </c>
      <c r="Z25" s="11">
        <f t="shared" si="9"/>
        <v>0</v>
      </c>
      <c r="AA25" s="11">
        <f t="shared" si="9"/>
        <v>0</v>
      </c>
      <c r="AB25" s="11">
        <f t="shared" si="9"/>
        <v>0</v>
      </c>
      <c r="AC25" s="12">
        <f t="shared" si="9"/>
        <v>0</v>
      </c>
    </row>
    <row r="26" spans="1:29" x14ac:dyDescent="0.25">
      <c r="A26" s="55"/>
      <c r="B26" s="15"/>
      <c r="C26" s="31"/>
      <c r="D26" s="32"/>
      <c r="E26" s="32"/>
      <c r="F26" s="32"/>
      <c r="G26" s="32"/>
      <c r="H26" s="32"/>
      <c r="I26" s="32"/>
      <c r="J26" s="32"/>
      <c r="K26" s="33"/>
      <c r="L26" s="31"/>
      <c r="M26" s="32"/>
      <c r="N26" s="32"/>
      <c r="O26" s="32"/>
      <c r="P26" s="32"/>
      <c r="Q26" s="32"/>
      <c r="R26" s="32"/>
      <c r="S26" s="32"/>
      <c r="T26" s="33"/>
      <c r="U26" s="14">
        <f t="shared" si="9"/>
        <v>0</v>
      </c>
      <c r="V26" s="11">
        <f t="shared" si="9"/>
        <v>0</v>
      </c>
      <c r="W26" s="11">
        <f t="shared" si="9"/>
        <v>0</v>
      </c>
      <c r="X26" s="11">
        <f t="shared" si="9"/>
        <v>0</v>
      </c>
      <c r="Y26" s="11">
        <f t="shared" si="9"/>
        <v>0</v>
      </c>
      <c r="Z26" s="11">
        <f t="shared" si="9"/>
        <v>0</v>
      </c>
      <c r="AA26" s="11">
        <f t="shared" si="9"/>
        <v>0</v>
      </c>
      <c r="AB26" s="11">
        <f t="shared" si="9"/>
        <v>0</v>
      </c>
      <c r="AC26" s="12">
        <f t="shared" si="9"/>
        <v>0</v>
      </c>
    </row>
    <row r="27" spans="1:29" x14ac:dyDescent="0.25">
      <c r="A27" s="55">
        <v>1050000</v>
      </c>
      <c r="B27" s="15" t="s">
        <v>28</v>
      </c>
      <c r="C27" s="31">
        <v>20065045</v>
      </c>
      <c r="D27" s="32">
        <v>2763451</v>
      </c>
      <c r="E27" s="32">
        <v>11115187</v>
      </c>
      <c r="F27" s="32">
        <v>38278827</v>
      </c>
      <c r="G27" s="32">
        <v>11629004</v>
      </c>
      <c r="H27" s="32">
        <v>28659660</v>
      </c>
      <c r="I27" s="32">
        <v>20270228</v>
      </c>
      <c r="J27" s="32">
        <v>6667007</v>
      </c>
      <c r="K27" s="33">
        <f t="shared" si="4"/>
        <v>139448409</v>
      </c>
      <c r="L27" s="31">
        <v>20065045</v>
      </c>
      <c r="M27" s="32">
        <v>2763451</v>
      </c>
      <c r="N27" s="32">
        <v>11115187</v>
      </c>
      <c r="O27" s="32">
        <v>38278827</v>
      </c>
      <c r="P27" s="32">
        <v>11629004</v>
      </c>
      <c r="Q27" s="32">
        <v>28659660</v>
      </c>
      <c r="R27" s="32">
        <v>20270228</v>
      </c>
      <c r="S27" s="32">
        <v>6667007</v>
      </c>
      <c r="T27" s="33">
        <f t="shared" si="6"/>
        <v>139448409</v>
      </c>
      <c r="U27" s="14">
        <f t="shared" si="9"/>
        <v>0</v>
      </c>
      <c r="V27" s="11">
        <f t="shared" si="9"/>
        <v>0</v>
      </c>
      <c r="W27" s="11">
        <f t="shared" si="9"/>
        <v>0</v>
      </c>
      <c r="X27" s="11">
        <f t="shared" si="9"/>
        <v>0</v>
      </c>
      <c r="Y27" s="11">
        <f t="shared" si="9"/>
        <v>0</v>
      </c>
      <c r="Z27" s="11">
        <f t="shared" si="9"/>
        <v>0</v>
      </c>
      <c r="AA27" s="11">
        <f t="shared" si="9"/>
        <v>0</v>
      </c>
      <c r="AB27" s="11">
        <f t="shared" si="9"/>
        <v>0</v>
      </c>
      <c r="AC27" s="12">
        <f t="shared" si="9"/>
        <v>0</v>
      </c>
    </row>
    <row r="28" spans="1:29" x14ac:dyDescent="0.25">
      <c r="A28" s="55">
        <v>1050100</v>
      </c>
      <c r="B28" s="15" t="s">
        <v>29</v>
      </c>
      <c r="C28" s="31">
        <f>SUM(C29:C31)</f>
        <v>11238337</v>
      </c>
      <c r="D28" s="31">
        <f t="shared" ref="D28:J28" si="10">SUM(D29:D31)</f>
        <v>106660</v>
      </c>
      <c r="E28" s="31">
        <f t="shared" si="10"/>
        <v>9251680</v>
      </c>
      <c r="F28" s="31">
        <f t="shared" si="10"/>
        <v>17458969</v>
      </c>
      <c r="G28" s="31">
        <f t="shared" si="10"/>
        <v>9482849</v>
      </c>
      <c r="H28" s="31">
        <f t="shared" si="10"/>
        <v>23416198</v>
      </c>
      <c r="I28" s="31">
        <f t="shared" si="10"/>
        <v>9859364</v>
      </c>
      <c r="J28" s="31">
        <f t="shared" si="10"/>
        <v>4512264</v>
      </c>
      <c r="K28" s="33">
        <f t="shared" si="4"/>
        <v>85326321</v>
      </c>
      <c r="L28" s="31">
        <f>SUM(L29:L31)</f>
        <v>11238337</v>
      </c>
      <c r="M28" s="31">
        <f t="shared" ref="M28:S28" si="11">SUM(M29:M31)</f>
        <v>106660</v>
      </c>
      <c r="N28" s="31">
        <f t="shared" si="11"/>
        <v>9251680</v>
      </c>
      <c r="O28" s="31">
        <f t="shared" si="11"/>
        <v>17458969</v>
      </c>
      <c r="P28" s="31">
        <f t="shared" si="11"/>
        <v>9482849</v>
      </c>
      <c r="Q28" s="31">
        <f t="shared" si="11"/>
        <v>23416198</v>
      </c>
      <c r="R28" s="31">
        <f t="shared" si="11"/>
        <v>9859364</v>
      </c>
      <c r="S28" s="31">
        <f t="shared" si="11"/>
        <v>4512264</v>
      </c>
      <c r="T28" s="33">
        <f t="shared" si="6"/>
        <v>85326321</v>
      </c>
      <c r="U28" s="14">
        <f t="shared" si="9"/>
        <v>0</v>
      </c>
      <c r="V28" s="14">
        <f t="shared" si="9"/>
        <v>0</v>
      </c>
      <c r="W28" s="14">
        <f t="shared" si="9"/>
        <v>0</v>
      </c>
      <c r="X28" s="14">
        <f t="shared" si="9"/>
        <v>0</v>
      </c>
      <c r="Y28" s="14">
        <f t="shared" si="9"/>
        <v>0</v>
      </c>
      <c r="Z28" s="14">
        <f t="shared" si="9"/>
        <v>0</v>
      </c>
      <c r="AA28" s="14">
        <f t="shared" si="9"/>
        <v>0</v>
      </c>
      <c r="AB28" s="14">
        <f t="shared" si="9"/>
        <v>0</v>
      </c>
      <c r="AC28" s="12">
        <f t="shared" si="9"/>
        <v>0</v>
      </c>
    </row>
    <row r="29" spans="1:29" x14ac:dyDescent="0.25">
      <c r="A29" s="56">
        <v>1050101</v>
      </c>
      <c r="B29" s="1" t="s">
        <v>30</v>
      </c>
      <c r="C29" s="34">
        <v>598415</v>
      </c>
      <c r="D29" s="35">
        <v>0</v>
      </c>
      <c r="E29" s="35">
        <v>931130</v>
      </c>
      <c r="F29" s="35">
        <v>8568637</v>
      </c>
      <c r="G29" s="35">
        <v>6992927</v>
      </c>
      <c r="H29" s="35">
        <v>14165856</v>
      </c>
      <c r="I29" s="35">
        <v>7298898</v>
      </c>
      <c r="J29" s="35">
        <v>3066862</v>
      </c>
      <c r="K29" s="36">
        <f t="shared" si="4"/>
        <v>41622725</v>
      </c>
      <c r="L29" s="34">
        <v>598415</v>
      </c>
      <c r="M29" s="35">
        <v>0</v>
      </c>
      <c r="N29" s="35">
        <v>931130</v>
      </c>
      <c r="O29" s="35">
        <v>8568637</v>
      </c>
      <c r="P29" s="35">
        <v>6992927</v>
      </c>
      <c r="Q29" s="35">
        <v>14165856</v>
      </c>
      <c r="R29" s="35">
        <v>7298898</v>
      </c>
      <c r="S29" s="35">
        <v>3066862</v>
      </c>
      <c r="T29" s="36">
        <f t="shared" si="6"/>
        <v>41622725</v>
      </c>
      <c r="U29" s="16">
        <f t="shared" si="9"/>
        <v>0</v>
      </c>
      <c r="V29" s="17">
        <f t="shared" si="9"/>
        <v>0</v>
      </c>
      <c r="W29" s="17">
        <f t="shared" si="9"/>
        <v>0</v>
      </c>
      <c r="X29" s="17">
        <f t="shared" si="9"/>
        <v>0</v>
      </c>
      <c r="Y29" s="17">
        <f t="shared" si="9"/>
        <v>0</v>
      </c>
      <c r="Z29" s="17">
        <f t="shared" si="9"/>
        <v>0</v>
      </c>
      <c r="AA29" s="17">
        <f t="shared" si="9"/>
        <v>0</v>
      </c>
      <c r="AB29" s="17">
        <f t="shared" si="9"/>
        <v>0</v>
      </c>
      <c r="AC29" s="18">
        <f t="shared" si="9"/>
        <v>0</v>
      </c>
    </row>
    <row r="30" spans="1:29" x14ac:dyDescent="0.25">
      <c r="A30" s="56">
        <v>1050102</v>
      </c>
      <c r="B30" s="1" t="s">
        <v>31</v>
      </c>
      <c r="C30" s="34">
        <v>10572142</v>
      </c>
      <c r="D30" s="35">
        <v>105710</v>
      </c>
      <c r="E30" s="35">
        <v>8200350</v>
      </c>
      <c r="F30" s="35">
        <v>7837399</v>
      </c>
      <c r="G30" s="35">
        <v>1785329</v>
      </c>
      <c r="H30" s="35">
        <v>8560253</v>
      </c>
      <c r="I30" s="35">
        <v>2140000</v>
      </c>
      <c r="J30" s="35">
        <v>930200</v>
      </c>
      <c r="K30" s="36">
        <f t="shared" si="4"/>
        <v>40131383</v>
      </c>
      <c r="L30" s="34">
        <v>10572142</v>
      </c>
      <c r="M30" s="35">
        <v>105710</v>
      </c>
      <c r="N30" s="35">
        <v>8200350</v>
      </c>
      <c r="O30" s="35">
        <v>7837399</v>
      </c>
      <c r="P30" s="35">
        <v>1785329</v>
      </c>
      <c r="Q30" s="35">
        <v>8560253</v>
      </c>
      <c r="R30" s="35">
        <v>2140000</v>
      </c>
      <c r="S30" s="35">
        <v>930200</v>
      </c>
      <c r="T30" s="36">
        <f t="shared" si="6"/>
        <v>40131383</v>
      </c>
      <c r="U30" s="16">
        <f t="shared" si="9"/>
        <v>0</v>
      </c>
      <c r="V30" s="17">
        <f t="shared" si="9"/>
        <v>0</v>
      </c>
      <c r="W30" s="17">
        <f t="shared" si="9"/>
        <v>0</v>
      </c>
      <c r="X30" s="17">
        <f t="shared" si="9"/>
        <v>0</v>
      </c>
      <c r="Y30" s="17">
        <f t="shared" si="9"/>
        <v>0</v>
      </c>
      <c r="Z30" s="17">
        <f t="shared" si="9"/>
        <v>0</v>
      </c>
      <c r="AA30" s="17">
        <f t="shared" si="9"/>
        <v>0</v>
      </c>
      <c r="AB30" s="17">
        <f t="shared" si="9"/>
        <v>0</v>
      </c>
      <c r="AC30" s="18">
        <f t="shared" si="9"/>
        <v>0</v>
      </c>
    </row>
    <row r="31" spans="1:29" x14ac:dyDescent="0.25">
      <c r="A31" s="56">
        <v>1050103</v>
      </c>
      <c r="B31" s="1" t="s">
        <v>32</v>
      </c>
      <c r="C31" s="34">
        <v>67780</v>
      </c>
      <c r="D31" s="35">
        <v>950</v>
      </c>
      <c r="E31" s="35">
        <v>120200</v>
      </c>
      <c r="F31" s="35">
        <v>1052933</v>
      </c>
      <c r="G31" s="35">
        <v>704593</v>
      </c>
      <c r="H31" s="35">
        <v>690089</v>
      </c>
      <c r="I31" s="35">
        <v>420466</v>
      </c>
      <c r="J31" s="35">
        <v>515202</v>
      </c>
      <c r="K31" s="36">
        <f t="shared" si="4"/>
        <v>3572213</v>
      </c>
      <c r="L31" s="34">
        <v>67780</v>
      </c>
      <c r="M31" s="35">
        <v>950</v>
      </c>
      <c r="N31" s="35">
        <v>120200</v>
      </c>
      <c r="O31" s="35">
        <v>1052933</v>
      </c>
      <c r="P31" s="35">
        <v>704593</v>
      </c>
      <c r="Q31" s="35">
        <v>690089</v>
      </c>
      <c r="R31" s="35">
        <v>420466</v>
      </c>
      <c r="S31" s="35">
        <v>515202</v>
      </c>
      <c r="T31" s="36">
        <f t="shared" si="6"/>
        <v>3572213</v>
      </c>
      <c r="U31" s="16">
        <f t="shared" si="9"/>
        <v>0</v>
      </c>
      <c r="V31" s="17">
        <f t="shared" si="9"/>
        <v>0</v>
      </c>
      <c r="W31" s="17">
        <f t="shared" si="9"/>
        <v>0</v>
      </c>
      <c r="X31" s="17">
        <f t="shared" si="9"/>
        <v>0</v>
      </c>
      <c r="Y31" s="17">
        <f t="shared" si="9"/>
        <v>0</v>
      </c>
      <c r="Z31" s="17">
        <f t="shared" si="9"/>
        <v>0</v>
      </c>
      <c r="AA31" s="17">
        <f t="shared" si="9"/>
        <v>0</v>
      </c>
      <c r="AB31" s="17">
        <f t="shared" si="9"/>
        <v>0</v>
      </c>
      <c r="AC31" s="18">
        <f t="shared" si="9"/>
        <v>0</v>
      </c>
    </row>
    <row r="32" spans="1:29" x14ac:dyDescent="0.25">
      <c r="A32" s="55">
        <v>1050200</v>
      </c>
      <c r="B32" s="15" t="s">
        <v>33</v>
      </c>
      <c r="C32" s="31">
        <v>7191514</v>
      </c>
      <c r="D32" s="32">
        <v>2655270</v>
      </c>
      <c r="E32" s="32">
        <v>1349030</v>
      </c>
      <c r="F32" s="32">
        <v>1223695</v>
      </c>
      <c r="G32" s="32">
        <v>14471</v>
      </c>
      <c r="H32" s="32">
        <v>453527</v>
      </c>
      <c r="I32" s="32">
        <v>229465</v>
      </c>
      <c r="J32" s="32">
        <v>403078</v>
      </c>
      <c r="K32" s="33">
        <f t="shared" si="4"/>
        <v>13520050</v>
      </c>
      <c r="L32" s="31">
        <v>7191514</v>
      </c>
      <c r="M32" s="32">
        <v>2655270</v>
      </c>
      <c r="N32" s="32">
        <v>1349030</v>
      </c>
      <c r="O32" s="32">
        <v>1223695</v>
      </c>
      <c r="P32" s="32">
        <v>14471</v>
      </c>
      <c r="Q32" s="32">
        <v>453527</v>
      </c>
      <c r="R32" s="32">
        <v>229465</v>
      </c>
      <c r="S32" s="32">
        <v>403078</v>
      </c>
      <c r="T32" s="33">
        <f t="shared" si="6"/>
        <v>13520050</v>
      </c>
      <c r="U32" s="14">
        <f t="shared" si="9"/>
        <v>0</v>
      </c>
      <c r="V32" s="11">
        <f t="shared" si="9"/>
        <v>0</v>
      </c>
      <c r="W32" s="11">
        <f t="shared" si="9"/>
        <v>0</v>
      </c>
      <c r="X32" s="11">
        <f t="shared" si="9"/>
        <v>0</v>
      </c>
      <c r="Y32" s="11">
        <f t="shared" si="9"/>
        <v>0</v>
      </c>
      <c r="Z32" s="11">
        <f t="shared" si="9"/>
        <v>0</v>
      </c>
      <c r="AA32" s="11">
        <f t="shared" si="9"/>
        <v>0</v>
      </c>
      <c r="AB32" s="11">
        <f t="shared" si="9"/>
        <v>0</v>
      </c>
      <c r="AC32" s="12">
        <f t="shared" si="9"/>
        <v>0</v>
      </c>
    </row>
    <row r="33" spans="1:29" ht="25.5" x14ac:dyDescent="0.25">
      <c r="A33" s="55">
        <v>1050400</v>
      </c>
      <c r="B33" s="15" t="s">
        <v>70</v>
      </c>
      <c r="C33" s="31">
        <v>0</v>
      </c>
      <c r="D33" s="32">
        <v>0</v>
      </c>
      <c r="E33" s="32">
        <v>205040</v>
      </c>
      <c r="F33" s="32">
        <v>8013032</v>
      </c>
      <c r="G33" s="32">
        <v>1246980</v>
      </c>
      <c r="H33" s="32">
        <v>1253885</v>
      </c>
      <c r="I33" s="32">
        <v>3191026</v>
      </c>
      <c r="J33" s="32">
        <v>153228</v>
      </c>
      <c r="K33" s="33">
        <f t="shared" si="4"/>
        <v>14063191</v>
      </c>
      <c r="L33" s="31">
        <v>0</v>
      </c>
      <c r="M33" s="32">
        <v>0</v>
      </c>
      <c r="N33" s="32">
        <v>205040</v>
      </c>
      <c r="O33" s="32">
        <v>8013032</v>
      </c>
      <c r="P33" s="32">
        <v>1246980</v>
      </c>
      <c r="Q33" s="32">
        <v>1253885</v>
      </c>
      <c r="R33" s="32">
        <v>3191026</v>
      </c>
      <c r="S33" s="32">
        <v>153228</v>
      </c>
      <c r="T33" s="33">
        <f t="shared" si="6"/>
        <v>14063191</v>
      </c>
      <c r="U33" s="14">
        <f t="shared" si="9"/>
        <v>0</v>
      </c>
      <c r="V33" s="11">
        <f t="shared" si="9"/>
        <v>0</v>
      </c>
      <c r="W33" s="11">
        <f t="shared" si="9"/>
        <v>0</v>
      </c>
      <c r="X33" s="11">
        <f t="shared" si="9"/>
        <v>0</v>
      </c>
      <c r="Y33" s="11">
        <f t="shared" si="9"/>
        <v>0</v>
      </c>
      <c r="Z33" s="11">
        <f t="shared" si="9"/>
        <v>0</v>
      </c>
      <c r="AA33" s="11">
        <f t="shared" si="9"/>
        <v>0</v>
      </c>
      <c r="AB33" s="11">
        <f t="shared" si="9"/>
        <v>0</v>
      </c>
      <c r="AC33" s="12">
        <f t="shared" si="9"/>
        <v>0</v>
      </c>
    </row>
    <row r="34" spans="1:29" x14ac:dyDescent="0.25">
      <c r="A34" s="55">
        <v>1051100</v>
      </c>
      <c r="B34" s="15" t="s">
        <v>34</v>
      </c>
      <c r="C34" s="31">
        <v>1125333</v>
      </c>
      <c r="D34" s="32">
        <v>0</v>
      </c>
      <c r="E34" s="32">
        <v>224413</v>
      </c>
      <c r="F34" s="32">
        <v>4539086</v>
      </c>
      <c r="G34" s="32">
        <v>257523</v>
      </c>
      <c r="H34" s="32">
        <v>2862886</v>
      </c>
      <c r="I34" s="32">
        <v>5207686</v>
      </c>
      <c r="J34" s="32">
        <v>1506278</v>
      </c>
      <c r="K34" s="33">
        <f t="shared" si="4"/>
        <v>15723205</v>
      </c>
      <c r="L34" s="31">
        <v>1125333</v>
      </c>
      <c r="M34" s="32">
        <v>0</v>
      </c>
      <c r="N34" s="32">
        <v>224413</v>
      </c>
      <c r="O34" s="32">
        <v>4539086</v>
      </c>
      <c r="P34" s="32">
        <v>257523</v>
      </c>
      <c r="Q34" s="32">
        <v>2862886</v>
      </c>
      <c r="R34" s="32">
        <v>5207686</v>
      </c>
      <c r="S34" s="32">
        <v>1506278</v>
      </c>
      <c r="T34" s="33">
        <f t="shared" si="6"/>
        <v>15723205</v>
      </c>
      <c r="U34" s="14">
        <f t="shared" si="9"/>
        <v>0</v>
      </c>
      <c r="V34" s="11">
        <f t="shared" si="9"/>
        <v>0</v>
      </c>
      <c r="W34" s="11">
        <f t="shared" si="9"/>
        <v>0</v>
      </c>
      <c r="X34" s="11">
        <f t="shared" si="9"/>
        <v>0</v>
      </c>
      <c r="Y34" s="11">
        <f t="shared" si="9"/>
        <v>0</v>
      </c>
      <c r="Z34" s="11">
        <f t="shared" si="9"/>
        <v>0</v>
      </c>
      <c r="AA34" s="11">
        <f t="shared" si="9"/>
        <v>0</v>
      </c>
      <c r="AB34" s="11">
        <f t="shared" si="9"/>
        <v>0</v>
      </c>
      <c r="AC34" s="12">
        <f t="shared" si="9"/>
        <v>0</v>
      </c>
    </row>
    <row r="35" spans="1:29" x14ac:dyDescent="0.25">
      <c r="A35" s="55">
        <v>1051200</v>
      </c>
      <c r="B35" s="15" t="s">
        <v>35</v>
      </c>
      <c r="C35" s="31">
        <v>0</v>
      </c>
      <c r="D35" s="32">
        <v>0</v>
      </c>
      <c r="E35" s="32">
        <v>68704</v>
      </c>
      <c r="F35" s="32">
        <v>6995036</v>
      </c>
      <c r="G35" s="32">
        <v>623182</v>
      </c>
      <c r="H35" s="32">
        <v>651666</v>
      </c>
      <c r="I35" s="32">
        <v>1781490</v>
      </c>
      <c r="J35" s="32">
        <v>91208</v>
      </c>
      <c r="K35" s="33">
        <f t="shared" si="4"/>
        <v>10211286</v>
      </c>
      <c r="L35" s="31">
        <v>0</v>
      </c>
      <c r="M35" s="32">
        <v>0</v>
      </c>
      <c r="N35" s="32">
        <v>68704</v>
      </c>
      <c r="O35" s="32">
        <v>6995036</v>
      </c>
      <c r="P35" s="32">
        <v>623182</v>
      </c>
      <c r="Q35" s="32">
        <v>651666</v>
      </c>
      <c r="R35" s="32">
        <v>1781490</v>
      </c>
      <c r="S35" s="32">
        <v>91208</v>
      </c>
      <c r="T35" s="33">
        <f t="shared" si="6"/>
        <v>10211286</v>
      </c>
      <c r="U35" s="14">
        <f t="shared" si="9"/>
        <v>0</v>
      </c>
      <c r="V35" s="11">
        <f t="shared" si="9"/>
        <v>0</v>
      </c>
      <c r="W35" s="11">
        <f t="shared" si="9"/>
        <v>0</v>
      </c>
      <c r="X35" s="11">
        <f t="shared" si="9"/>
        <v>0</v>
      </c>
      <c r="Y35" s="11">
        <f t="shared" si="9"/>
        <v>0</v>
      </c>
      <c r="Z35" s="11">
        <f t="shared" si="9"/>
        <v>0</v>
      </c>
      <c r="AA35" s="11">
        <f t="shared" si="9"/>
        <v>0</v>
      </c>
      <c r="AB35" s="11">
        <f t="shared" si="9"/>
        <v>0</v>
      </c>
      <c r="AC35" s="12">
        <f t="shared" si="9"/>
        <v>0</v>
      </c>
    </row>
    <row r="36" spans="1:29" x14ac:dyDescent="0.25">
      <c r="A36" s="56"/>
      <c r="B36" s="1"/>
      <c r="C36" s="31"/>
      <c r="D36" s="35"/>
      <c r="E36" s="35"/>
      <c r="F36" s="35"/>
      <c r="G36" s="32"/>
      <c r="H36" s="35"/>
      <c r="I36" s="35"/>
      <c r="J36" s="35"/>
      <c r="K36" s="33"/>
      <c r="L36" s="31"/>
      <c r="M36" s="35"/>
      <c r="N36" s="35"/>
      <c r="O36" s="35"/>
      <c r="P36" s="32"/>
      <c r="Q36" s="35"/>
      <c r="R36" s="35"/>
      <c r="S36" s="35"/>
      <c r="T36" s="33"/>
      <c r="U36" s="14">
        <f t="shared" si="9"/>
        <v>0</v>
      </c>
      <c r="V36" s="17">
        <f t="shared" si="9"/>
        <v>0</v>
      </c>
      <c r="W36" s="17">
        <f t="shared" si="9"/>
        <v>0</v>
      </c>
      <c r="X36" s="17">
        <f t="shared" si="9"/>
        <v>0</v>
      </c>
      <c r="Y36" s="11">
        <f t="shared" si="9"/>
        <v>0</v>
      </c>
      <c r="Z36" s="17">
        <f t="shared" si="9"/>
        <v>0</v>
      </c>
      <c r="AA36" s="17">
        <f t="shared" si="9"/>
        <v>0</v>
      </c>
      <c r="AB36" s="17">
        <f t="shared" si="9"/>
        <v>0</v>
      </c>
      <c r="AC36" s="12">
        <f t="shared" si="9"/>
        <v>0</v>
      </c>
    </row>
    <row r="37" spans="1:29" x14ac:dyDescent="0.25">
      <c r="A37" s="55">
        <v>1060000</v>
      </c>
      <c r="B37" s="15" t="s">
        <v>36</v>
      </c>
      <c r="C37" s="31">
        <f>C38</f>
        <v>259137580</v>
      </c>
      <c r="D37" s="31">
        <f t="shared" ref="D37:J37" si="12">D38</f>
        <v>0</v>
      </c>
      <c r="E37" s="31">
        <f t="shared" si="12"/>
        <v>0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3">
        <f t="shared" si="4"/>
        <v>259137580</v>
      </c>
      <c r="L37" s="31">
        <f>L38</f>
        <v>257137580</v>
      </c>
      <c r="M37" s="31">
        <f t="shared" ref="M37:S37" si="13">M38</f>
        <v>0</v>
      </c>
      <c r="N37" s="31">
        <f t="shared" si="13"/>
        <v>0</v>
      </c>
      <c r="O37" s="31">
        <f t="shared" si="13"/>
        <v>0</v>
      </c>
      <c r="P37" s="31">
        <f t="shared" si="13"/>
        <v>0</v>
      </c>
      <c r="Q37" s="31">
        <f t="shared" si="13"/>
        <v>0</v>
      </c>
      <c r="R37" s="31">
        <f t="shared" si="13"/>
        <v>0</v>
      </c>
      <c r="S37" s="31">
        <f t="shared" si="13"/>
        <v>0</v>
      </c>
      <c r="T37" s="33">
        <f t="shared" si="6"/>
        <v>257137580</v>
      </c>
      <c r="U37" s="14">
        <f t="shared" si="9"/>
        <v>-2000000</v>
      </c>
      <c r="V37" s="14">
        <f t="shared" si="9"/>
        <v>0</v>
      </c>
      <c r="W37" s="14">
        <f t="shared" si="9"/>
        <v>0</v>
      </c>
      <c r="X37" s="14">
        <f t="shared" si="9"/>
        <v>0</v>
      </c>
      <c r="Y37" s="14">
        <f t="shared" si="9"/>
        <v>0</v>
      </c>
      <c r="Z37" s="14">
        <f t="shared" si="9"/>
        <v>0</v>
      </c>
      <c r="AA37" s="14">
        <f t="shared" si="9"/>
        <v>0</v>
      </c>
      <c r="AB37" s="14">
        <f t="shared" si="9"/>
        <v>0</v>
      </c>
      <c r="AC37" s="12">
        <f t="shared" si="9"/>
        <v>-2000000</v>
      </c>
    </row>
    <row r="38" spans="1:29" x14ac:dyDescent="0.25">
      <c r="A38" s="55">
        <v>1060400</v>
      </c>
      <c r="B38" s="15" t="s">
        <v>68</v>
      </c>
      <c r="C38" s="31">
        <f>348069020-4799749-10327977+8254720-12227488-2128848-483642-8142134-60603885+1527563</f>
        <v>259137580</v>
      </c>
      <c r="D38" s="31"/>
      <c r="E38" s="31"/>
      <c r="F38" s="31"/>
      <c r="G38" s="31"/>
      <c r="H38" s="31"/>
      <c r="I38" s="31"/>
      <c r="J38" s="31"/>
      <c r="K38" s="33">
        <f t="shared" si="4"/>
        <v>259137580</v>
      </c>
      <c r="L38" s="31">
        <f>348069020-4799749-10327977+8254720-12227488-2128848-483642-8142134-60603885+1527563-2000000</f>
        <v>257137580</v>
      </c>
      <c r="M38" s="31"/>
      <c r="N38" s="31"/>
      <c r="O38" s="31"/>
      <c r="P38" s="31"/>
      <c r="Q38" s="31"/>
      <c r="R38" s="31"/>
      <c r="S38" s="31"/>
      <c r="T38" s="33">
        <f t="shared" si="6"/>
        <v>257137580</v>
      </c>
      <c r="U38" s="14">
        <f t="shared" si="9"/>
        <v>-2000000</v>
      </c>
      <c r="V38" s="14">
        <f t="shared" si="9"/>
        <v>0</v>
      </c>
      <c r="W38" s="14">
        <f t="shared" si="9"/>
        <v>0</v>
      </c>
      <c r="X38" s="14">
        <f t="shared" si="9"/>
        <v>0</v>
      </c>
      <c r="Y38" s="14">
        <f t="shared" si="9"/>
        <v>0</v>
      </c>
      <c r="Z38" s="14">
        <f t="shared" si="9"/>
        <v>0</v>
      </c>
      <c r="AA38" s="14">
        <f t="shared" si="9"/>
        <v>0</v>
      </c>
      <c r="AB38" s="14">
        <f t="shared" si="9"/>
        <v>0</v>
      </c>
      <c r="AC38" s="12">
        <f t="shared" si="9"/>
        <v>-2000000</v>
      </c>
    </row>
    <row r="39" spans="1:29" x14ac:dyDescent="0.25">
      <c r="A39" s="56"/>
      <c r="B39" s="1"/>
      <c r="C39" s="31"/>
      <c r="D39" s="35"/>
      <c r="E39" s="35"/>
      <c r="F39" s="35"/>
      <c r="G39" s="32"/>
      <c r="H39" s="35"/>
      <c r="I39" s="35"/>
      <c r="J39" s="35"/>
      <c r="K39" s="33"/>
      <c r="L39" s="31"/>
      <c r="M39" s="35"/>
      <c r="N39" s="35"/>
      <c r="O39" s="35"/>
      <c r="P39" s="32"/>
      <c r="Q39" s="35"/>
      <c r="R39" s="35"/>
      <c r="S39" s="35"/>
      <c r="T39" s="33"/>
      <c r="U39" s="14">
        <f t="shared" si="9"/>
        <v>0</v>
      </c>
      <c r="V39" s="17">
        <f t="shared" si="9"/>
        <v>0</v>
      </c>
      <c r="W39" s="17">
        <f t="shared" si="9"/>
        <v>0</v>
      </c>
      <c r="X39" s="17">
        <f t="shared" si="9"/>
        <v>0</v>
      </c>
      <c r="Y39" s="11">
        <f t="shared" si="9"/>
        <v>0</v>
      </c>
      <c r="Z39" s="17">
        <f t="shared" si="9"/>
        <v>0</v>
      </c>
      <c r="AA39" s="17">
        <f t="shared" si="9"/>
        <v>0</v>
      </c>
      <c r="AB39" s="17">
        <f t="shared" si="9"/>
        <v>0</v>
      </c>
      <c r="AC39" s="12">
        <f t="shared" si="9"/>
        <v>0</v>
      </c>
    </row>
    <row r="40" spans="1:29" x14ac:dyDescent="0.25">
      <c r="A40" s="55">
        <v>1400000</v>
      </c>
      <c r="B40" s="15" t="s">
        <v>37</v>
      </c>
      <c r="C40" s="31">
        <f>SUM(C41:C42)</f>
        <v>31272850</v>
      </c>
      <c r="D40" s="31">
        <f t="shared" ref="D40:J40" si="14">SUM(D41:D42)</f>
        <v>7933735</v>
      </c>
      <c r="E40" s="31">
        <f t="shared" si="14"/>
        <v>14003450</v>
      </c>
      <c r="F40" s="31">
        <f t="shared" si="14"/>
        <v>10942630</v>
      </c>
      <c r="G40" s="31">
        <f t="shared" si="14"/>
        <v>7163536</v>
      </c>
      <c r="H40" s="31">
        <f t="shared" si="14"/>
        <v>9620200</v>
      </c>
      <c r="I40" s="31">
        <f t="shared" si="14"/>
        <v>3794210</v>
      </c>
      <c r="J40" s="31">
        <f t="shared" si="14"/>
        <v>3437143</v>
      </c>
      <c r="K40" s="33">
        <f t="shared" si="4"/>
        <v>88167754</v>
      </c>
      <c r="L40" s="31">
        <f>SUM(L41:L42)</f>
        <v>33099900</v>
      </c>
      <c r="M40" s="31">
        <f t="shared" ref="M40:S40" si="15">SUM(M41:M42)</f>
        <v>7933735</v>
      </c>
      <c r="N40" s="31">
        <f t="shared" si="15"/>
        <v>14049007</v>
      </c>
      <c r="O40" s="31">
        <f t="shared" si="15"/>
        <v>10942630</v>
      </c>
      <c r="P40" s="31">
        <f t="shared" si="15"/>
        <v>7163536</v>
      </c>
      <c r="Q40" s="31">
        <f t="shared" si="15"/>
        <v>9620200</v>
      </c>
      <c r="R40" s="31">
        <f t="shared" si="15"/>
        <v>3794210</v>
      </c>
      <c r="S40" s="31">
        <f t="shared" si="15"/>
        <v>3437143</v>
      </c>
      <c r="T40" s="33">
        <f t="shared" si="6"/>
        <v>90040361</v>
      </c>
      <c r="U40" s="14">
        <f t="shared" si="9"/>
        <v>1827050</v>
      </c>
      <c r="V40" s="14">
        <f t="shared" si="9"/>
        <v>0</v>
      </c>
      <c r="W40" s="14">
        <f t="shared" si="9"/>
        <v>45557</v>
      </c>
      <c r="X40" s="14">
        <f t="shared" si="9"/>
        <v>0</v>
      </c>
      <c r="Y40" s="14">
        <f t="shared" si="9"/>
        <v>0</v>
      </c>
      <c r="Z40" s="14">
        <f t="shared" si="9"/>
        <v>0</v>
      </c>
      <c r="AA40" s="14">
        <f t="shared" si="9"/>
        <v>0</v>
      </c>
      <c r="AB40" s="14">
        <f t="shared" si="9"/>
        <v>0</v>
      </c>
      <c r="AC40" s="12">
        <f t="shared" si="9"/>
        <v>1872607</v>
      </c>
    </row>
    <row r="41" spans="1:29" x14ac:dyDescent="0.25">
      <c r="A41" s="56">
        <v>1400100</v>
      </c>
      <c r="B41" s="1" t="s">
        <v>38</v>
      </c>
      <c r="C41" s="34">
        <v>14163554</v>
      </c>
      <c r="D41" s="35">
        <v>366976</v>
      </c>
      <c r="E41" s="35">
        <v>5851265</v>
      </c>
      <c r="F41" s="35">
        <v>5015467</v>
      </c>
      <c r="G41" s="35">
        <v>3811805</v>
      </c>
      <c r="H41" s="35">
        <v>3669550</v>
      </c>
      <c r="I41" s="35">
        <v>1247965</v>
      </c>
      <c r="J41" s="35">
        <v>1350428</v>
      </c>
      <c r="K41" s="36">
        <f t="shared" si="4"/>
        <v>35477010</v>
      </c>
      <c r="L41" s="34">
        <v>14163554</v>
      </c>
      <c r="M41" s="35">
        <v>366976</v>
      </c>
      <c r="N41" s="35">
        <v>5851265</v>
      </c>
      <c r="O41" s="35">
        <v>5015467</v>
      </c>
      <c r="P41" s="35">
        <v>3811805</v>
      </c>
      <c r="Q41" s="35">
        <v>3669550</v>
      </c>
      <c r="R41" s="35">
        <v>1247965</v>
      </c>
      <c r="S41" s="35">
        <v>1350428</v>
      </c>
      <c r="T41" s="36">
        <f t="shared" si="6"/>
        <v>35477010</v>
      </c>
      <c r="U41" s="16">
        <f t="shared" si="9"/>
        <v>0</v>
      </c>
      <c r="V41" s="17">
        <f t="shared" si="9"/>
        <v>0</v>
      </c>
      <c r="W41" s="17">
        <f t="shared" si="9"/>
        <v>0</v>
      </c>
      <c r="X41" s="17">
        <f t="shared" si="9"/>
        <v>0</v>
      </c>
      <c r="Y41" s="17">
        <f t="shared" si="9"/>
        <v>0</v>
      </c>
      <c r="Z41" s="17">
        <f t="shared" si="9"/>
        <v>0</v>
      </c>
      <c r="AA41" s="17">
        <f t="shared" si="9"/>
        <v>0</v>
      </c>
      <c r="AB41" s="17">
        <f t="shared" si="9"/>
        <v>0</v>
      </c>
      <c r="AC41" s="18">
        <f t="shared" si="9"/>
        <v>0</v>
      </c>
    </row>
    <row r="42" spans="1:29" x14ac:dyDescent="0.25">
      <c r="A42" s="56">
        <v>1400400</v>
      </c>
      <c r="B42" s="1" t="s">
        <v>39</v>
      </c>
      <c r="C42" s="34">
        <v>17109296</v>
      </c>
      <c r="D42" s="35">
        <f>6878503+688256</f>
        <v>7566759</v>
      </c>
      <c r="E42" s="35">
        <v>8152185</v>
      </c>
      <c r="F42" s="35">
        <v>5927163</v>
      </c>
      <c r="G42" s="35">
        <v>3351731</v>
      </c>
      <c r="H42" s="35">
        <v>5950650</v>
      </c>
      <c r="I42" s="35">
        <v>2546245</v>
      </c>
      <c r="J42" s="35">
        <v>2086715</v>
      </c>
      <c r="K42" s="36">
        <f t="shared" si="4"/>
        <v>52690744</v>
      </c>
      <c r="L42" s="34">
        <f>17109296+1827050</f>
        <v>18936346</v>
      </c>
      <c r="M42" s="35">
        <f>6878503+688256</f>
        <v>7566759</v>
      </c>
      <c r="N42" s="35">
        <f>8152185+45557</f>
        <v>8197742</v>
      </c>
      <c r="O42" s="35">
        <v>5927163</v>
      </c>
      <c r="P42" s="35">
        <v>3351731</v>
      </c>
      <c r="Q42" s="35">
        <v>5950650</v>
      </c>
      <c r="R42" s="35">
        <v>2546245</v>
      </c>
      <c r="S42" s="35">
        <v>2086715</v>
      </c>
      <c r="T42" s="36">
        <f t="shared" si="6"/>
        <v>54563351</v>
      </c>
      <c r="U42" s="16">
        <f t="shared" si="9"/>
        <v>1827050</v>
      </c>
      <c r="V42" s="17">
        <f t="shared" si="9"/>
        <v>0</v>
      </c>
      <c r="W42" s="17">
        <f t="shared" si="9"/>
        <v>45557</v>
      </c>
      <c r="X42" s="17">
        <f t="shared" si="9"/>
        <v>0</v>
      </c>
      <c r="Y42" s="17">
        <f t="shared" si="9"/>
        <v>0</v>
      </c>
      <c r="Z42" s="17">
        <f t="shared" si="9"/>
        <v>0</v>
      </c>
      <c r="AA42" s="17">
        <f t="shared" si="9"/>
        <v>0</v>
      </c>
      <c r="AB42" s="17">
        <f t="shared" si="9"/>
        <v>0</v>
      </c>
      <c r="AC42" s="18">
        <f t="shared" si="9"/>
        <v>1872607</v>
      </c>
    </row>
    <row r="43" spans="1:29" ht="13.5" thickBot="1" x14ac:dyDescent="0.3">
      <c r="A43" s="56"/>
      <c r="B43" s="1"/>
      <c r="C43" s="37"/>
      <c r="D43" s="38"/>
      <c r="E43" s="38"/>
      <c r="F43" s="38"/>
      <c r="G43" s="39"/>
      <c r="H43" s="38"/>
      <c r="I43" s="38"/>
      <c r="J43" s="38"/>
      <c r="K43" s="40"/>
      <c r="L43" s="37"/>
      <c r="M43" s="38"/>
      <c r="N43" s="38"/>
      <c r="O43" s="38"/>
      <c r="P43" s="39"/>
      <c r="Q43" s="38"/>
      <c r="R43" s="38"/>
      <c r="S43" s="38"/>
      <c r="T43" s="40"/>
      <c r="U43" s="14">
        <f t="shared" si="9"/>
        <v>0</v>
      </c>
      <c r="V43" s="17">
        <f t="shared" si="9"/>
        <v>0</v>
      </c>
      <c r="W43" s="17">
        <f t="shared" si="9"/>
        <v>0</v>
      </c>
      <c r="X43" s="17">
        <f t="shared" si="9"/>
        <v>0</v>
      </c>
      <c r="Y43" s="11">
        <f t="shared" si="9"/>
        <v>0</v>
      </c>
      <c r="Z43" s="17">
        <f t="shared" si="9"/>
        <v>0</v>
      </c>
      <c r="AA43" s="17">
        <f t="shared" si="9"/>
        <v>0</v>
      </c>
      <c r="AB43" s="17">
        <f t="shared" si="9"/>
        <v>0</v>
      </c>
      <c r="AC43" s="18">
        <f t="shared" si="9"/>
        <v>0</v>
      </c>
    </row>
    <row r="44" spans="1:29" ht="13.5" thickBot="1" x14ac:dyDescent="0.3">
      <c r="A44" s="55">
        <v>2000000</v>
      </c>
      <c r="B44" s="9" t="s">
        <v>40</v>
      </c>
      <c r="C44" s="41">
        <f>SUM(C45+C53+C56+C58+C60)</f>
        <v>113200185</v>
      </c>
      <c r="D44" s="41">
        <f t="shared" ref="D44:J44" si="16">SUM(D45+D53+D56+D58+D60)</f>
        <v>303656</v>
      </c>
      <c r="E44" s="41">
        <f t="shared" si="16"/>
        <v>14361955</v>
      </c>
      <c r="F44" s="41">
        <f t="shared" si="16"/>
        <v>7095893.9950000001</v>
      </c>
      <c r="G44" s="41">
        <f t="shared" si="16"/>
        <v>3325507</v>
      </c>
      <c r="H44" s="41">
        <f t="shared" si="16"/>
        <v>4073240</v>
      </c>
      <c r="I44" s="41">
        <f t="shared" si="16"/>
        <v>5138490</v>
      </c>
      <c r="J44" s="41">
        <f t="shared" si="16"/>
        <v>4480918</v>
      </c>
      <c r="K44" s="28">
        <f t="shared" si="4"/>
        <v>151979844.995</v>
      </c>
      <c r="L44" s="41">
        <f>SUM(L45+L53+L56+L58+L60)</f>
        <v>109936849</v>
      </c>
      <c r="M44" s="41">
        <f t="shared" ref="M44:S44" si="17">SUM(M45+M53+M56+M58+M60)</f>
        <v>352512</v>
      </c>
      <c r="N44" s="41">
        <f t="shared" si="17"/>
        <v>14528204</v>
      </c>
      <c r="O44" s="41">
        <f t="shared" si="17"/>
        <v>7095893.9950000001</v>
      </c>
      <c r="P44" s="41">
        <f t="shared" si="17"/>
        <v>3329815</v>
      </c>
      <c r="Q44" s="41">
        <f t="shared" si="17"/>
        <v>6452725</v>
      </c>
      <c r="R44" s="41">
        <f t="shared" si="17"/>
        <v>5138490</v>
      </c>
      <c r="S44" s="41">
        <f t="shared" si="17"/>
        <v>4480918</v>
      </c>
      <c r="T44" s="28">
        <f t="shared" si="6"/>
        <v>151315406.995</v>
      </c>
      <c r="U44" s="14">
        <f t="shared" si="9"/>
        <v>-3263336</v>
      </c>
      <c r="V44" s="14">
        <f t="shared" si="9"/>
        <v>48856</v>
      </c>
      <c r="W44" s="14">
        <f t="shared" si="9"/>
        <v>166249</v>
      </c>
      <c r="X44" s="14">
        <f t="shared" si="9"/>
        <v>0</v>
      </c>
      <c r="Y44" s="14">
        <f t="shared" si="9"/>
        <v>4308</v>
      </c>
      <c r="Z44" s="14">
        <f t="shared" si="9"/>
        <v>2379485</v>
      </c>
      <c r="AA44" s="14">
        <f t="shared" si="9"/>
        <v>0</v>
      </c>
      <c r="AB44" s="14">
        <f t="shared" si="9"/>
        <v>0</v>
      </c>
      <c r="AC44" s="12">
        <f t="shared" si="9"/>
        <v>-664438</v>
      </c>
    </row>
    <row r="45" spans="1:29" x14ac:dyDescent="0.25">
      <c r="A45" s="55">
        <v>2010000</v>
      </c>
      <c r="B45" s="15" t="s">
        <v>41</v>
      </c>
      <c r="C45" s="29">
        <f>24918435+662750</f>
        <v>25581185</v>
      </c>
      <c r="D45" s="42">
        <v>51942</v>
      </c>
      <c r="E45" s="42">
        <v>2042728</v>
      </c>
      <c r="F45" s="42">
        <v>1514532.9950000001</v>
      </c>
      <c r="G45" s="42">
        <f>995407-112500</f>
        <v>882907</v>
      </c>
      <c r="H45" s="42">
        <v>1351574</v>
      </c>
      <c r="I45" s="42">
        <v>3483041</v>
      </c>
      <c r="J45" s="42">
        <v>2600976</v>
      </c>
      <c r="K45" s="30">
        <f t="shared" si="4"/>
        <v>37508885.995000005</v>
      </c>
      <c r="L45" s="29">
        <f>24918435+662750+97620</f>
        <v>25678805</v>
      </c>
      <c r="M45" s="42">
        <f>51942+39865</f>
        <v>91807</v>
      </c>
      <c r="N45" s="42">
        <f>2042728+65636</f>
        <v>2108364</v>
      </c>
      <c r="O45" s="42">
        <v>1514532.9950000001</v>
      </c>
      <c r="P45" s="42">
        <f>995407-112500+4308</f>
        <v>887215</v>
      </c>
      <c r="Q45" s="42">
        <f>1351574+6854</f>
        <v>1358428</v>
      </c>
      <c r="R45" s="42">
        <v>3483041</v>
      </c>
      <c r="S45" s="42">
        <v>2600976</v>
      </c>
      <c r="T45" s="30">
        <f t="shared" si="6"/>
        <v>37723168.995000005</v>
      </c>
      <c r="U45" s="14">
        <f t="shared" si="9"/>
        <v>97620</v>
      </c>
      <c r="V45" s="11">
        <f t="shared" si="9"/>
        <v>39865</v>
      </c>
      <c r="W45" s="11">
        <f t="shared" si="9"/>
        <v>65636</v>
      </c>
      <c r="X45" s="11">
        <f t="shared" si="9"/>
        <v>0</v>
      </c>
      <c r="Y45" s="11">
        <f t="shared" si="9"/>
        <v>4308</v>
      </c>
      <c r="Z45" s="11">
        <f t="shared" si="9"/>
        <v>6854</v>
      </c>
      <c r="AA45" s="11">
        <f t="shared" si="9"/>
        <v>0</v>
      </c>
      <c r="AB45" s="11">
        <f t="shared" si="9"/>
        <v>0</v>
      </c>
      <c r="AC45" s="12">
        <f t="shared" si="9"/>
        <v>214283</v>
      </c>
    </row>
    <row r="46" spans="1:29" x14ac:dyDescent="0.25">
      <c r="A46" s="55">
        <v>2010200</v>
      </c>
      <c r="B46" s="15" t="s">
        <v>42</v>
      </c>
      <c r="C46" s="31">
        <v>2131025</v>
      </c>
      <c r="D46" s="32">
        <v>46452</v>
      </c>
      <c r="E46" s="32">
        <v>681269</v>
      </c>
      <c r="F46" s="32">
        <v>688927</v>
      </c>
      <c r="G46" s="32">
        <v>272365</v>
      </c>
      <c r="H46" s="32">
        <v>383246</v>
      </c>
      <c r="I46" s="32">
        <v>516626</v>
      </c>
      <c r="J46" s="32">
        <v>416264</v>
      </c>
      <c r="K46" s="33">
        <f t="shared" si="4"/>
        <v>5136174</v>
      </c>
      <c r="L46" s="31">
        <f>2131025+97620</f>
        <v>2228645</v>
      </c>
      <c r="M46" s="32">
        <f>46452+39865</f>
        <v>86317</v>
      </c>
      <c r="N46" s="32">
        <f>681269+65636</f>
        <v>746905</v>
      </c>
      <c r="O46" s="32">
        <v>688927</v>
      </c>
      <c r="P46" s="32">
        <f>272365+4308</f>
        <v>276673</v>
      </c>
      <c r="Q46" s="32">
        <f>383246+6854</f>
        <v>390100</v>
      </c>
      <c r="R46" s="32">
        <v>516626</v>
      </c>
      <c r="S46" s="32">
        <v>416264</v>
      </c>
      <c r="T46" s="33">
        <f t="shared" si="6"/>
        <v>5350457</v>
      </c>
      <c r="U46" s="14">
        <f t="shared" si="9"/>
        <v>97620</v>
      </c>
      <c r="V46" s="11">
        <f t="shared" si="9"/>
        <v>39865</v>
      </c>
      <c r="W46" s="11">
        <f t="shared" si="9"/>
        <v>65636</v>
      </c>
      <c r="X46" s="11">
        <f t="shared" si="9"/>
        <v>0</v>
      </c>
      <c r="Y46" s="11">
        <f t="shared" si="9"/>
        <v>4308</v>
      </c>
      <c r="Z46" s="11">
        <f t="shared" si="9"/>
        <v>6854</v>
      </c>
      <c r="AA46" s="11">
        <f t="shared" si="9"/>
        <v>0</v>
      </c>
      <c r="AB46" s="11">
        <f t="shared" si="9"/>
        <v>0</v>
      </c>
      <c r="AC46" s="12">
        <f t="shared" si="9"/>
        <v>214283</v>
      </c>
    </row>
    <row r="47" spans="1:29" x14ac:dyDescent="0.25">
      <c r="A47" s="55">
        <v>2010300</v>
      </c>
      <c r="B47" s="15" t="s">
        <v>43</v>
      </c>
      <c r="C47" s="31">
        <v>5852315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3">
        <f t="shared" si="4"/>
        <v>5852315</v>
      </c>
      <c r="L47" s="31">
        <v>5852315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3">
        <f t="shared" si="6"/>
        <v>5852315</v>
      </c>
      <c r="U47" s="14">
        <f t="shared" si="9"/>
        <v>0</v>
      </c>
      <c r="V47" s="11">
        <f t="shared" si="9"/>
        <v>0</v>
      </c>
      <c r="W47" s="11">
        <f t="shared" si="9"/>
        <v>0</v>
      </c>
      <c r="X47" s="11">
        <f t="shared" si="9"/>
        <v>0</v>
      </c>
      <c r="Y47" s="11">
        <f t="shared" si="9"/>
        <v>0</v>
      </c>
      <c r="Z47" s="11">
        <f t="shared" si="9"/>
        <v>0</v>
      </c>
      <c r="AA47" s="11">
        <f t="shared" si="9"/>
        <v>0</v>
      </c>
      <c r="AB47" s="11">
        <f t="shared" si="9"/>
        <v>0</v>
      </c>
      <c r="AC47" s="12">
        <f t="shared" si="9"/>
        <v>0</v>
      </c>
    </row>
    <row r="48" spans="1:29" x14ac:dyDescent="0.25">
      <c r="A48" s="55">
        <v>2010400</v>
      </c>
      <c r="B48" s="15" t="s">
        <v>44</v>
      </c>
      <c r="C48" s="31">
        <v>908069</v>
      </c>
      <c r="D48" s="32">
        <v>0</v>
      </c>
      <c r="E48" s="32">
        <v>403338</v>
      </c>
      <c r="F48" s="32">
        <v>722089</v>
      </c>
      <c r="G48" s="32">
        <v>415835</v>
      </c>
      <c r="H48" s="32">
        <v>907267</v>
      </c>
      <c r="I48" s="32">
        <v>2882303</v>
      </c>
      <c r="J48" s="32">
        <v>2131270</v>
      </c>
      <c r="K48" s="33">
        <f t="shared" si="4"/>
        <v>8370171</v>
      </c>
      <c r="L48" s="31">
        <v>908069</v>
      </c>
      <c r="M48" s="32">
        <v>0</v>
      </c>
      <c r="N48" s="32">
        <v>403338</v>
      </c>
      <c r="O48" s="32">
        <v>722089</v>
      </c>
      <c r="P48" s="32">
        <v>415835</v>
      </c>
      <c r="Q48" s="32">
        <v>907267</v>
      </c>
      <c r="R48" s="32">
        <v>2882303</v>
      </c>
      <c r="S48" s="32">
        <v>2131270</v>
      </c>
      <c r="T48" s="33">
        <f t="shared" si="6"/>
        <v>8370171</v>
      </c>
      <c r="U48" s="14">
        <f t="shared" si="9"/>
        <v>0</v>
      </c>
      <c r="V48" s="11">
        <f t="shared" si="9"/>
        <v>0</v>
      </c>
      <c r="W48" s="11">
        <f t="shared" si="9"/>
        <v>0</v>
      </c>
      <c r="X48" s="11">
        <f t="shared" si="9"/>
        <v>0</v>
      </c>
      <c r="Y48" s="11">
        <f t="shared" si="9"/>
        <v>0</v>
      </c>
      <c r="Z48" s="11">
        <f t="shared" si="9"/>
        <v>0</v>
      </c>
      <c r="AA48" s="11">
        <f t="shared" si="9"/>
        <v>0</v>
      </c>
      <c r="AB48" s="11">
        <f t="shared" si="9"/>
        <v>0</v>
      </c>
      <c r="AC48" s="12">
        <f t="shared" si="9"/>
        <v>0</v>
      </c>
    </row>
    <row r="49" spans="1:29" x14ac:dyDescent="0.25">
      <c r="A49" s="55">
        <v>2010500</v>
      </c>
      <c r="B49" s="15" t="s">
        <v>45</v>
      </c>
      <c r="C49" s="31">
        <v>62392</v>
      </c>
      <c r="D49" s="32">
        <v>0</v>
      </c>
      <c r="E49" s="32">
        <v>10221</v>
      </c>
      <c r="F49" s="32">
        <v>20341</v>
      </c>
      <c r="G49" s="32">
        <f>125000-112500</f>
        <v>12500</v>
      </c>
      <c r="H49" s="32">
        <v>9971</v>
      </c>
      <c r="I49" s="32">
        <v>30949</v>
      </c>
      <c r="J49" s="32">
        <v>23362</v>
      </c>
      <c r="K49" s="33">
        <f t="shared" si="4"/>
        <v>169736</v>
      </c>
      <c r="L49" s="31">
        <v>62392</v>
      </c>
      <c r="M49" s="32">
        <v>0</v>
      </c>
      <c r="N49" s="32">
        <v>10221</v>
      </c>
      <c r="O49" s="32">
        <v>20341</v>
      </c>
      <c r="P49" s="32">
        <f>125000-112500</f>
        <v>12500</v>
      </c>
      <c r="Q49" s="32">
        <v>9971</v>
      </c>
      <c r="R49" s="32">
        <v>30949</v>
      </c>
      <c r="S49" s="32">
        <v>23362</v>
      </c>
      <c r="T49" s="33">
        <f t="shared" si="6"/>
        <v>169736</v>
      </c>
      <c r="U49" s="14">
        <f t="shared" si="9"/>
        <v>0</v>
      </c>
      <c r="V49" s="11">
        <f t="shared" si="9"/>
        <v>0</v>
      </c>
      <c r="W49" s="11">
        <f t="shared" si="9"/>
        <v>0</v>
      </c>
      <c r="X49" s="11">
        <f t="shared" si="9"/>
        <v>0</v>
      </c>
      <c r="Y49" s="11">
        <f>P49-G49</f>
        <v>0</v>
      </c>
      <c r="Z49" s="11">
        <f t="shared" si="9"/>
        <v>0</v>
      </c>
      <c r="AA49" s="11">
        <f t="shared" si="9"/>
        <v>0</v>
      </c>
      <c r="AB49" s="11">
        <f t="shared" si="9"/>
        <v>0</v>
      </c>
      <c r="AC49" s="12">
        <f t="shared" si="9"/>
        <v>0</v>
      </c>
    </row>
    <row r="50" spans="1:29" x14ac:dyDescent="0.25">
      <c r="A50" s="55">
        <v>2010900</v>
      </c>
      <c r="B50" s="15" t="s">
        <v>46</v>
      </c>
      <c r="C50" s="31">
        <v>1416701</v>
      </c>
      <c r="D50" s="32">
        <v>5491</v>
      </c>
      <c r="E50" s="32">
        <v>877721</v>
      </c>
      <c r="F50" s="32">
        <v>39295</v>
      </c>
      <c r="G50" s="32">
        <v>57000</v>
      </c>
      <c r="H50" s="32">
        <v>49495</v>
      </c>
      <c r="I50" s="32">
        <v>53163</v>
      </c>
      <c r="J50" s="32">
        <v>16841</v>
      </c>
      <c r="K50" s="33">
        <f t="shared" si="4"/>
        <v>2515707</v>
      </c>
      <c r="L50" s="31">
        <v>1416701</v>
      </c>
      <c r="M50" s="32">
        <v>5491</v>
      </c>
      <c r="N50" s="32">
        <v>877721</v>
      </c>
      <c r="O50" s="32">
        <v>39295</v>
      </c>
      <c r="P50" s="32">
        <v>57000</v>
      </c>
      <c r="Q50" s="32">
        <v>49495</v>
      </c>
      <c r="R50" s="32">
        <v>53163</v>
      </c>
      <c r="S50" s="32">
        <v>16841</v>
      </c>
      <c r="T50" s="33">
        <f t="shared" si="6"/>
        <v>2515707</v>
      </c>
      <c r="U50" s="14">
        <f t="shared" si="9"/>
        <v>0</v>
      </c>
      <c r="V50" s="11">
        <f t="shared" si="9"/>
        <v>0</v>
      </c>
      <c r="W50" s="11">
        <f t="shared" si="9"/>
        <v>0</v>
      </c>
      <c r="X50" s="11">
        <f t="shared" si="9"/>
        <v>0</v>
      </c>
      <c r="Y50" s="11">
        <f t="shared" si="9"/>
        <v>0</v>
      </c>
      <c r="Z50" s="11">
        <f t="shared" si="9"/>
        <v>0</v>
      </c>
      <c r="AA50" s="11">
        <f t="shared" si="9"/>
        <v>0</v>
      </c>
      <c r="AB50" s="11">
        <f t="shared" si="9"/>
        <v>0</v>
      </c>
      <c r="AC50" s="12">
        <f t="shared" si="9"/>
        <v>0</v>
      </c>
    </row>
    <row r="51" spans="1:29" x14ac:dyDescent="0.25">
      <c r="A51" s="55">
        <v>2011000</v>
      </c>
      <c r="B51" s="15" t="s">
        <v>47</v>
      </c>
      <c r="C51" s="31">
        <f>13295000+662750</f>
        <v>13957750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3">
        <f t="shared" si="4"/>
        <v>13957750</v>
      </c>
      <c r="L51" s="31">
        <f>13295000+662750</f>
        <v>13957750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3">
        <f t="shared" si="6"/>
        <v>13957750</v>
      </c>
      <c r="U51" s="14">
        <f t="shared" si="9"/>
        <v>0</v>
      </c>
      <c r="V51" s="11">
        <f t="shared" si="9"/>
        <v>0</v>
      </c>
      <c r="W51" s="11">
        <f t="shared" si="9"/>
        <v>0</v>
      </c>
      <c r="X51" s="11">
        <f t="shared" si="9"/>
        <v>0</v>
      </c>
      <c r="Y51" s="11">
        <f t="shared" si="9"/>
        <v>0</v>
      </c>
      <c r="Z51" s="11">
        <f t="shared" si="9"/>
        <v>0</v>
      </c>
      <c r="AA51" s="11">
        <f t="shared" si="9"/>
        <v>0</v>
      </c>
      <c r="AB51" s="11">
        <f t="shared" si="9"/>
        <v>0</v>
      </c>
      <c r="AC51" s="12">
        <f t="shared" si="9"/>
        <v>0</v>
      </c>
    </row>
    <row r="52" spans="1:29" x14ac:dyDescent="0.25">
      <c r="A52" s="55"/>
      <c r="B52" s="15"/>
      <c r="C52" s="31"/>
      <c r="D52" s="32"/>
      <c r="E52" s="32"/>
      <c r="F52" s="32">
        <v>0</v>
      </c>
      <c r="G52" s="32"/>
      <c r="H52" s="32"/>
      <c r="I52" s="32"/>
      <c r="J52" s="32"/>
      <c r="K52" s="33"/>
      <c r="L52" s="31"/>
      <c r="M52" s="32"/>
      <c r="N52" s="32"/>
      <c r="O52" s="32">
        <v>0</v>
      </c>
      <c r="P52" s="32"/>
      <c r="Q52" s="32"/>
      <c r="R52" s="32"/>
      <c r="S52" s="32"/>
      <c r="T52" s="33"/>
      <c r="U52" s="14">
        <f t="shared" si="9"/>
        <v>0</v>
      </c>
      <c r="V52" s="11">
        <f t="shared" si="9"/>
        <v>0</v>
      </c>
      <c r="W52" s="11">
        <f t="shared" si="9"/>
        <v>0</v>
      </c>
      <c r="X52" s="11">
        <f t="shared" si="9"/>
        <v>0</v>
      </c>
      <c r="Y52" s="11">
        <f t="shared" ref="Y52:AC77" si="18">P52-G52</f>
        <v>0</v>
      </c>
      <c r="Z52" s="11">
        <f t="shared" si="18"/>
        <v>0</v>
      </c>
      <c r="AA52" s="11">
        <f t="shared" si="18"/>
        <v>0</v>
      </c>
      <c r="AB52" s="11">
        <f t="shared" si="18"/>
        <v>0</v>
      </c>
      <c r="AC52" s="12">
        <f t="shared" si="18"/>
        <v>0</v>
      </c>
    </row>
    <row r="53" spans="1:29" x14ac:dyDescent="0.25">
      <c r="A53" s="55">
        <v>2020000</v>
      </c>
      <c r="B53" s="15" t="s">
        <v>48</v>
      </c>
      <c r="C53" s="31">
        <f>54894714+6000000+3779405+5300000</f>
        <v>69974119</v>
      </c>
      <c r="D53" s="32">
        <v>57012</v>
      </c>
      <c r="E53" s="32">
        <v>1684529</v>
      </c>
      <c r="F53" s="32">
        <v>2062272</v>
      </c>
      <c r="G53" s="32">
        <v>108397</v>
      </c>
      <c r="H53" s="32">
        <v>84503</v>
      </c>
      <c r="I53" s="32">
        <v>58437</v>
      </c>
      <c r="J53" s="32">
        <f>58374+415362+358708</f>
        <v>832444</v>
      </c>
      <c r="K53" s="33">
        <f t="shared" si="4"/>
        <v>74861713</v>
      </c>
      <c r="L53" s="31">
        <f>54894714+6000000+3779405+5300000-3686238+35119</f>
        <v>66323000</v>
      </c>
      <c r="M53" s="32">
        <v>57012</v>
      </c>
      <c r="N53" s="32">
        <v>1684529</v>
      </c>
      <c r="O53" s="32">
        <v>2062272</v>
      </c>
      <c r="P53" s="32">
        <v>108397</v>
      </c>
      <c r="Q53" s="32">
        <v>84503</v>
      </c>
      <c r="R53" s="32">
        <v>58437</v>
      </c>
      <c r="S53" s="32">
        <f>58374+415362+358708</f>
        <v>832444</v>
      </c>
      <c r="T53" s="33">
        <f t="shared" si="6"/>
        <v>71210594</v>
      </c>
      <c r="U53" s="14">
        <f t="shared" ref="U53:AC88" si="19">L53-C53</f>
        <v>-3651119</v>
      </c>
      <c r="V53" s="11">
        <f t="shared" si="19"/>
        <v>0</v>
      </c>
      <c r="W53" s="11">
        <f t="shared" si="19"/>
        <v>0</v>
      </c>
      <c r="X53" s="11">
        <f t="shared" si="19"/>
        <v>0</v>
      </c>
      <c r="Y53" s="11">
        <f t="shared" si="18"/>
        <v>0</v>
      </c>
      <c r="Z53" s="11">
        <f t="shared" si="18"/>
        <v>0</v>
      </c>
      <c r="AA53" s="11">
        <f t="shared" si="18"/>
        <v>0</v>
      </c>
      <c r="AB53" s="11">
        <f t="shared" si="18"/>
        <v>0</v>
      </c>
      <c r="AC53" s="12">
        <f t="shared" si="18"/>
        <v>-3651119</v>
      </c>
    </row>
    <row r="54" spans="1:29" x14ac:dyDescent="0.25">
      <c r="A54" s="56">
        <v>2020100</v>
      </c>
      <c r="B54" s="1" t="s">
        <v>49</v>
      </c>
      <c r="C54" s="34">
        <f>33050000+6000000+3000000+5300000</f>
        <v>47350000</v>
      </c>
      <c r="D54" s="35">
        <v>53138</v>
      </c>
      <c r="E54" s="35">
        <v>1500000</v>
      </c>
      <c r="F54" s="35">
        <v>2000000</v>
      </c>
      <c r="G54" s="35">
        <v>80000</v>
      </c>
      <c r="H54" s="35">
        <v>50000</v>
      </c>
      <c r="I54" s="35">
        <v>0</v>
      </c>
      <c r="J54" s="35">
        <f>44836+415362+358708</f>
        <v>818906</v>
      </c>
      <c r="K54" s="36">
        <f t="shared" si="4"/>
        <v>51852044</v>
      </c>
      <c r="L54" s="34">
        <f>33050000+6000000+3000000+5300000+35119</f>
        <v>47385119</v>
      </c>
      <c r="M54" s="35">
        <v>53138</v>
      </c>
      <c r="N54" s="35">
        <v>1500000</v>
      </c>
      <c r="O54" s="35">
        <v>2000000</v>
      </c>
      <c r="P54" s="35">
        <v>80000</v>
      </c>
      <c r="Q54" s="35">
        <v>50000</v>
      </c>
      <c r="R54" s="35">
        <v>0</v>
      </c>
      <c r="S54" s="35">
        <f>44836+415362+358708</f>
        <v>818906</v>
      </c>
      <c r="T54" s="36">
        <f t="shared" si="6"/>
        <v>51887163</v>
      </c>
      <c r="U54" s="16">
        <f t="shared" si="19"/>
        <v>35119</v>
      </c>
      <c r="V54" s="17">
        <f t="shared" si="19"/>
        <v>0</v>
      </c>
      <c r="W54" s="17">
        <f t="shared" si="19"/>
        <v>0</v>
      </c>
      <c r="X54" s="17">
        <f t="shared" si="19"/>
        <v>0</v>
      </c>
      <c r="Y54" s="17">
        <f t="shared" si="18"/>
        <v>0</v>
      </c>
      <c r="Z54" s="17">
        <f t="shared" si="18"/>
        <v>0</v>
      </c>
      <c r="AA54" s="17">
        <f t="shared" si="18"/>
        <v>0</v>
      </c>
      <c r="AB54" s="17">
        <f t="shared" si="18"/>
        <v>0</v>
      </c>
      <c r="AC54" s="18">
        <f t="shared" si="18"/>
        <v>35119</v>
      </c>
    </row>
    <row r="55" spans="1:29" x14ac:dyDescent="0.25">
      <c r="A55" s="56"/>
      <c r="B55" s="1"/>
      <c r="C55" s="31"/>
      <c r="D55" s="35"/>
      <c r="E55" s="35"/>
      <c r="F55" s="35"/>
      <c r="G55" s="32"/>
      <c r="H55" s="35"/>
      <c r="I55" s="35"/>
      <c r="J55" s="35"/>
      <c r="K55" s="33"/>
      <c r="L55" s="31"/>
      <c r="M55" s="35"/>
      <c r="N55" s="35"/>
      <c r="O55" s="35"/>
      <c r="P55" s="32"/>
      <c r="Q55" s="35"/>
      <c r="R55" s="35"/>
      <c r="S55" s="35"/>
      <c r="T55" s="33"/>
      <c r="U55" s="14">
        <f t="shared" si="19"/>
        <v>0</v>
      </c>
      <c r="V55" s="17">
        <f t="shared" si="19"/>
        <v>0</v>
      </c>
      <c r="W55" s="17">
        <f t="shared" si="19"/>
        <v>0</v>
      </c>
      <c r="X55" s="17">
        <f t="shared" si="19"/>
        <v>0</v>
      </c>
      <c r="Y55" s="11">
        <f t="shared" si="18"/>
        <v>0</v>
      </c>
      <c r="Z55" s="17">
        <f t="shared" si="18"/>
        <v>0</v>
      </c>
      <c r="AA55" s="17">
        <f t="shared" si="18"/>
        <v>0</v>
      </c>
      <c r="AB55" s="17">
        <f t="shared" si="18"/>
        <v>0</v>
      </c>
      <c r="AC55" s="12">
        <f t="shared" si="18"/>
        <v>0</v>
      </c>
    </row>
    <row r="56" spans="1:29" x14ac:dyDescent="0.25">
      <c r="A56" s="55">
        <v>2060000</v>
      </c>
      <c r="B56" s="15" t="s">
        <v>50</v>
      </c>
      <c r="C56" s="31">
        <v>5122812</v>
      </c>
      <c r="D56" s="32">
        <v>139112</v>
      </c>
      <c r="E56" s="32">
        <v>1454677</v>
      </c>
      <c r="F56" s="32">
        <v>689409</v>
      </c>
      <c r="G56" s="32">
        <v>532521</v>
      </c>
      <c r="H56" s="32">
        <v>592938</v>
      </c>
      <c r="I56" s="32">
        <v>264460</v>
      </c>
      <c r="J56" s="32">
        <v>275242</v>
      </c>
      <c r="K56" s="33">
        <f t="shared" si="4"/>
        <v>9071171</v>
      </c>
      <c r="L56" s="31">
        <f>5122812+290163</f>
        <v>5412975</v>
      </c>
      <c r="M56" s="32">
        <f>139112+8991</f>
        <v>148103</v>
      </c>
      <c r="N56" s="32">
        <f>1454677+100613</f>
        <v>1555290</v>
      </c>
      <c r="O56" s="32">
        <v>689409</v>
      </c>
      <c r="P56" s="32">
        <v>532521</v>
      </c>
      <c r="Q56" s="32">
        <f>592938+2372631</f>
        <v>2965569</v>
      </c>
      <c r="R56" s="32">
        <v>264460</v>
      </c>
      <c r="S56" s="32">
        <v>275242</v>
      </c>
      <c r="T56" s="33">
        <f t="shared" si="6"/>
        <v>11843569</v>
      </c>
      <c r="U56" s="14">
        <f t="shared" si="19"/>
        <v>290163</v>
      </c>
      <c r="V56" s="11">
        <f t="shared" si="19"/>
        <v>8991</v>
      </c>
      <c r="W56" s="11">
        <f t="shared" si="19"/>
        <v>100613</v>
      </c>
      <c r="X56" s="11">
        <f t="shared" si="19"/>
        <v>0</v>
      </c>
      <c r="Y56" s="11">
        <f t="shared" si="18"/>
        <v>0</v>
      </c>
      <c r="Z56" s="11">
        <f t="shared" si="18"/>
        <v>2372631</v>
      </c>
      <c r="AA56" s="11">
        <f t="shared" si="18"/>
        <v>0</v>
      </c>
      <c r="AB56" s="11">
        <f t="shared" si="18"/>
        <v>0</v>
      </c>
      <c r="AC56" s="12">
        <f t="shared" si="18"/>
        <v>2772398</v>
      </c>
    </row>
    <row r="57" spans="1:29" x14ac:dyDescent="0.25">
      <c r="A57" s="56"/>
      <c r="B57" s="1"/>
      <c r="C57" s="31"/>
      <c r="D57" s="35"/>
      <c r="E57" s="35"/>
      <c r="F57" s="35">
        <v>0</v>
      </c>
      <c r="G57" s="32"/>
      <c r="H57" s="35"/>
      <c r="I57" s="35">
        <v>0</v>
      </c>
      <c r="J57" s="35"/>
      <c r="K57" s="33"/>
      <c r="L57" s="31"/>
      <c r="M57" s="35"/>
      <c r="N57" s="35"/>
      <c r="O57" s="35">
        <v>0</v>
      </c>
      <c r="P57" s="32"/>
      <c r="Q57" s="35"/>
      <c r="R57" s="35">
        <v>0</v>
      </c>
      <c r="S57" s="35"/>
      <c r="T57" s="33"/>
      <c r="U57" s="14">
        <f t="shared" si="19"/>
        <v>0</v>
      </c>
      <c r="V57" s="17">
        <f t="shared" si="19"/>
        <v>0</v>
      </c>
      <c r="W57" s="17">
        <f t="shared" si="19"/>
        <v>0</v>
      </c>
      <c r="X57" s="17">
        <f t="shared" si="19"/>
        <v>0</v>
      </c>
      <c r="Y57" s="11">
        <f t="shared" si="18"/>
        <v>0</v>
      </c>
      <c r="Z57" s="17">
        <f t="shared" si="18"/>
        <v>0</v>
      </c>
      <c r="AA57" s="17">
        <f t="shared" si="18"/>
        <v>0</v>
      </c>
      <c r="AB57" s="17">
        <f t="shared" si="18"/>
        <v>0</v>
      </c>
      <c r="AC57" s="12">
        <f t="shared" si="18"/>
        <v>0</v>
      </c>
    </row>
    <row r="58" spans="1:29" x14ac:dyDescent="0.25">
      <c r="A58" s="55">
        <v>2070000</v>
      </c>
      <c r="B58" s="15" t="s">
        <v>51</v>
      </c>
      <c r="C58" s="31">
        <v>12522069</v>
      </c>
      <c r="D58" s="32">
        <v>55590</v>
      </c>
      <c r="E58" s="32">
        <v>9180021</v>
      </c>
      <c r="F58" s="32">
        <v>2829680</v>
      </c>
      <c r="G58" s="32">
        <v>1801682</v>
      </c>
      <c r="H58" s="32">
        <v>2044225</v>
      </c>
      <c r="I58" s="32">
        <v>1332552</v>
      </c>
      <c r="J58" s="32">
        <v>772256</v>
      </c>
      <c r="K58" s="33">
        <f t="shared" si="4"/>
        <v>30538075</v>
      </c>
      <c r="L58" s="31">
        <v>12522069</v>
      </c>
      <c r="M58" s="32">
        <v>55590</v>
      </c>
      <c r="N58" s="32">
        <v>9180021</v>
      </c>
      <c r="O58" s="32">
        <v>2829680</v>
      </c>
      <c r="P58" s="32">
        <v>1801682</v>
      </c>
      <c r="Q58" s="32">
        <v>2044225</v>
      </c>
      <c r="R58" s="32">
        <v>1332552</v>
      </c>
      <c r="S58" s="32">
        <v>772256</v>
      </c>
      <c r="T58" s="33">
        <f t="shared" si="6"/>
        <v>30538075</v>
      </c>
      <c r="U58" s="14">
        <f t="shared" si="19"/>
        <v>0</v>
      </c>
      <c r="V58" s="11">
        <f t="shared" si="19"/>
        <v>0</v>
      </c>
      <c r="W58" s="11">
        <f t="shared" si="19"/>
        <v>0</v>
      </c>
      <c r="X58" s="11">
        <f t="shared" si="19"/>
        <v>0</v>
      </c>
      <c r="Y58" s="11">
        <f t="shared" si="18"/>
        <v>0</v>
      </c>
      <c r="Z58" s="11">
        <f t="shared" si="18"/>
        <v>0</v>
      </c>
      <c r="AA58" s="11">
        <f t="shared" si="18"/>
        <v>0</v>
      </c>
      <c r="AB58" s="11">
        <f t="shared" si="18"/>
        <v>0</v>
      </c>
      <c r="AC58" s="12">
        <f t="shared" si="18"/>
        <v>0</v>
      </c>
    </row>
    <row r="59" spans="1:29" x14ac:dyDescent="0.25">
      <c r="A59" s="56"/>
      <c r="B59" s="1"/>
      <c r="C59" s="31"/>
      <c r="D59" s="32"/>
      <c r="E59" s="32"/>
      <c r="F59" s="32"/>
      <c r="G59" s="32"/>
      <c r="H59" s="32"/>
      <c r="I59" s="32"/>
      <c r="J59" s="32"/>
      <c r="K59" s="33"/>
      <c r="L59" s="31"/>
      <c r="M59" s="32"/>
      <c r="N59" s="32"/>
      <c r="O59" s="32"/>
      <c r="P59" s="32"/>
      <c r="Q59" s="32"/>
      <c r="R59" s="32"/>
      <c r="S59" s="32"/>
      <c r="T59" s="33"/>
      <c r="U59" s="14">
        <f t="shared" si="19"/>
        <v>0</v>
      </c>
      <c r="V59" s="11">
        <f t="shared" si="19"/>
        <v>0</v>
      </c>
      <c r="W59" s="11">
        <f t="shared" si="19"/>
        <v>0</v>
      </c>
      <c r="X59" s="11">
        <f t="shared" si="19"/>
        <v>0</v>
      </c>
      <c r="Y59" s="11">
        <f t="shared" si="18"/>
        <v>0</v>
      </c>
      <c r="Z59" s="11">
        <f t="shared" si="18"/>
        <v>0</v>
      </c>
      <c r="AA59" s="11">
        <f t="shared" si="18"/>
        <v>0</v>
      </c>
      <c r="AB59" s="11">
        <f t="shared" si="18"/>
        <v>0</v>
      </c>
      <c r="AC59" s="12">
        <f t="shared" si="18"/>
        <v>0</v>
      </c>
    </row>
    <row r="60" spans="1:29" x14ac:dyDescent="0.25">
      <c r="A60" s="55">
        <v>2090000</v>
      </c>
      <c r="B60" s="15" t="s">
        <v>52</v>
      </c>
      <c r="C60" s="31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3">
        <f t="shared" si="4"/>
        <v>0</v>
      </c>
      <c r="L60" s="31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3">
        <f t="shared" si="6"/>
        <v>0</v>
      </c>
      <c r="U60" s="14">
        <f t="shared" si="19"/>
        <v>0</v>
      </c>
      <c r="V60" s="11">
        <f t="shared" si="19"/>
        <v>0</v>
      </c>
      <c r="W60" s="11">
        <f t="shared" si="19"/>
        <v>0</v>
      </c>
      <c r="X60" s="11">
        <f t="shared" si="19"/>
        <v>0</v>
      </c>
      <c r="Y60" s="11">
        <f t="shared" si="18"/>
        <v>0</v>
      </c>
      <c r="Z60" s="11">
        <f t="shared" si="18"/>
        <v>0</v>
      </c>
      <c r="AA60" s="11">
        <f t="shared" si="18"/>
        <v>0</v>
      </c>
      <c r="AB60" s="11">
        <f t="shared" si="18"/>
        <v>0</v>
      </c>
      <c r="AC60" s="12">
        <f t="shared" si="18"/>
        <v>0</v>
      </c>
    </row>
    <row r="61" spans="1:29" ht="13.5" thickBot="1" x14ac:dyDescent="0.3">
      <c r="A61" s="55"/>
      <c r="B61" s="15"/>
      <c r="C61" s="37"/>
      <c r="D61" s="39"/>
      <c r="E61" s="39"/>
      <c r="F61" s="39"/>
      <c r="G61" s="39"/>
      <c r="H61" s="39"/>
      <c r="I61" s="39"/>
      <c r="J61" s="39"/>
      <c r="K61" s="43">
        <f t="shared" si="4"/>
        <v>0</v>
      </c>
      <c r="L61" s="37"/>
      <c r="M61" s="39"/>
      <c r="N61" s="39"/>
      <c r="O61" s="39"/>
      <c r="P61" s="39"/>
      <c r="Q61" s="39"/>
      <c r="R61" s="39"/>
      <c r="S61" s="39"/>
      <c r="T61" s="43">
        <f t="shared" si="6"/>
        <v>0</v>
      </c>
      <c r="U61" s="14">
        <f t="shared" si="19"/>
        <v>0</v>
      </c>
      <c r="V61" s="11">
        <f t="shared" si="19"/>
        <v>0</v>
      </c>
      <c r="W61" s="11">
        <f t="shared" si="19"/>
        <v>0</v>
      </c>
      <c r="X61" s="11">
        <f t="shared" si="19"/>
        <v>0</v>
      </c>
      <c r="Y61" s="11">
        <f t="shared" si="18"/>
        <v>0</v>
      </c>
      <c r="Z61" s="11">
        <f t="shared" si="18"/>
        <v>0</v>
      </c>
      <c r="AA61" s="11">
        <f t="shared" si="18"/>
        <v>0</v>
      </c>
      <c r="AB61" s="11">
        <f t="shared" si="18"/>
        <v>0</v>
      </c>
      <c r="AC61" s="12">
        <f t="shared" si="18"/>
        <v>0</v>
      </c>
    </row>
    <row r="62" spans="1:29" ht="13.5" thickBot="1" x14ac:dyDescent="0.3">
      <c r="A62" s="57">
        <v>3000000</v>
      </c>
      <c r="B62" s="19" t="s">
        <v>74</v>
      </c>
      <c r="C62" s="44">
        <f t="shared" ref="C62:J62" si="20">SUM(C63:C65)</f>
        <v>21245763</v>
      </c>
      <c r="D62" s="44">
        <f t="shared" si="20"/>
        <v>0</v>
      </c>
      <c r="E62" s="44">
        <f t="shared" si="20"/>
        <v>0</v>
      </c>
      <c r="F62" s="44">
        <f t="shared" si="20"/>
        <v>0</v>
      </c>
      <c r="G62" s="44">
        <f t="shared" si="20"/>
        <v>0</v>
      </c>
      <c r="H62" s="44">
        <f t="shared" si="20"/>
        <v>0</v>
      </c>
      <c r="I62" s="44">
        <f t="shared" si="20"/>
        <v>0</v>
      </c>
      <c r="J62" s="44">
        <f t="shared" si="20"/>
        <v>0</v>
      </c>
      <c r="K62" s="45">
        <f>SUM(C62:J62)</f>
        <v>21245763</v>
      </c>
      <c r="L62" s="44">
        <f>SUM(L63:L65)</f>
        <v>21338807</v>
      </c>
      <c r="M62" s="44">
        <f t="shared" ref="M62:S62" si="21">SUM(M63:M65)</f>
        <v>0</v>
      </c>
      <c r="N62" s="44">
        <f t="shared" si="21"/>
        <v>0</v>
      </c>
      <c r="O62" s="44">
        <f t="shared" si="21"/>
        <v>0</v>
      </c>
      <c r="P62" s="44">
        <f t="shared" si="21"/>
        <v>0</v>
      </c>
      <c r="Q62" s="44">
        <f t="shared" si="21"/>
        <v>0</v>
      </c>
      <c r="R62" s="44">
        <f t="shared" si="21"/>
        <v>0</v>
      </c>
      <c r="S62" s="44">
        <f t="shared" si="21"/>
        <v>0</v>
      </c>
      <c r="T62" s="45">
        <f>SUM(L62:S62)</f>
        <v>21338807</v>
      </c>
      <c r="U62" s="14">
        <f t="shared" si="19"/>
        <v>93044</v>
      </c>
      <c r="V62" s="11">
        <f t="shared" si="19"/>
        <v>0</v>
      </c>
      <c r="W62" s="11">
        <f t="shared" si="19"/>
        <v>0</v>
      </c>
      <c r="X62" s="11">
        <f t="shared" si="19"/>
        <v>0</v>
      </c>
      <c r="Y62" s="11">
        <f t="shared" si="18"/>
        <v>0</v>
      </c>
      <c r="Z62" s="11">
        <f t="shared" si="18"/>
        <v>0</v>
      </c>
      <c r="AA62" s="11">
        <f t="shared" si="18"/>
        <v>0</v>
      </c>
      <c r="AB62" s="11">
        <f t="shared" si="18"/>
        <v>0</v>
      </c>
      <c r="AC62" s="12">
        <f t="shared" si="18"/>
        <v>93044</v>
      </c>
    </row>
    <row r="63" spans="1:29" x14ac:dyDescent="0.25">
      <c r="A63" s="58" t="s">
        <v>75</v>
      </c>
      <c r="B63" s="20" t="s">
        <v>76</v>
      </c>
      <c r="C63" s="46">
        <f>0+21245763</f>
        <v>21245763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7">
        <f>SUM(C63:J63)</f>
        <v>21245763</v>
      </c>
      <c r="L63" s="61">
        <f>0+21245763</f>
        <v>21245763</v>
      </c>
      <c r="M63" s="61">
        <v>0</v>
      </c>
      <c r="N63" s="61">
        <v>0</v>
      </c>
      <c r="O63" s="61">
        <v>0</v>
      </c>
      <c r="P63" s="61">
        <v>0</v>
      </c>
      <c r="Q63" s="61">
        <v>0</v>
      </c>
      <c r="R63" s="61">
        <v>0</v>
      </c>
      <c r="S63" s="61">
        <v>0</v>
      </c>
      <c r="T63" s="47">
        <f>SUM(L63:S63)</f>
        <v>21245763</v>
      </c>
      <c r="U63" s="14">
        <f t="shared" si="19"/>
        <v>0</v>
      </c>
      <c r="V63" s="11">
        <f t="shared" si="19"/>
        <v>0</v>
      </c>
      <c r="W63" s="11">
        <f t="shared" si="19"/>
        <v>0</v>
      </c>
      <c r="X63" s="11">
        <f t="shared" si="19"/>
        <v>0</v>
      </c>
      <c r="Y63" s="11">
        <f t="shared" si="19"/>
        <v>0</v>
      </c>
      <c r="Z63" s="11">
        <f t="shared" si="18"/>
        <v>0</v>
      </c>
      <c r="AA63" s="11">
        <f t="shared" si="18"/>
        <v>0</v>
      </c>
      <c r="AB63" s="11">
        <f t="shared" si="18"/>
        <v>0</v>
      </c>
      <c r="AC63" s="12">
        <f t="shared" si="18"/>
        <v>0</v>
      </c>
    </row>
    <row r="64" spans="1:29" x14ac:dyDescent="0.2">
      <c r="A64" s="59" t="s">
        <v>77</v>
      </c>
      <c r="B64" s="21" t="s">
        <v>78</v>
      </c>
      <c r="C64" s="48"/>
      <c r="D64" s="48"/>
      <c r="E64" s="48"/>
      <c r="F64" s="48"/>
      <c r="G64" s="48"/>
      <c r="H64" s="48"/>
      <c r="I64" s="48"/>
      <c r="J64" s="48"/>
      <c r="K64" s="36">
        <f t="shared" si="4"/>
        <v>0</v>
      </c>
      <c r="M64" s="48"/>
      <c r="N64" s="48"/>
      <c r="O64" s="48"/>
      <c r="P64" s="48"/>
      <c r="Q64" s="48"/>
      <c r="R64" s="48"/>
      <c r="S64" s="48"/>
      <c r="T64" s="40">
        <f t="shared" si="6"/>
        <v>0</v>
      </c>
      <c r="U64" s="14">
        <f t="shared" si="19"/>
        <v>0</v>
      </c>
      <c r="V64" s="11">
        <f t="shared" si="19"/>
        <v>0</v>
      </c>
      <c r="W64" s="11">
        <f t="shared" si="19"/>
        <v>0</v>
      </c>
      <c r="X64" s="11">
        <f t="shared" si="19"/>
        <v>0</v>
      </c>
      <c r="Y64" s="11">
        <f t="shared" si="19"/>
        <v>0</v>
      </c>
      <c r="Z64" s="11">
        <f t="shared" si="18"/>
        <v>0</v>
      </c>
      <c r="AA64" s="11">
        <f t="shared" si="18"/>
        <v>0</v>
      </c>
      <c r="AB64" s="11">
        <f t="shared" si="18"/>
        <v>0</v>
      </c>
      <c r="AC64" s="12">
        <f t="shared" si="18"/>
        <v>0</v>
      </c>
    </row>
    <row r="65" spans="1:29" x14ac:dyDescent="0.25">
      <c r="A65" s="56">
        <v>3060000</v>
      </c>
      <c r="B65" s="1" t="s">
        <v>80</v>
      </c>
      <c r="C65" s="74"/>
      <c r="D65" s="74"/>
      <c r="E65" s="74"/>
      <c r="F65" s="74"/>
      <c r="G65" s="74"/>
      <c r="H65" s="74"/>
      <c r="I65" s="74"/>
      <c r="J65" s="74"/>
      <c r="K65" s="75">
        <f>SUM(C65:J65)</f>
        <v>0</v>
      </c>
      <c r="L65" s="69">
        <v>93044</v>
      </c>
      <c r="M65" s="70"/>
      <c r="N65" s="70"/>
      <c r="O65" s="70"/>
      <c r="P65" s="70"/>
      <c r="Q65" s="70"/>
      <c r="R65" s="70"/>
      <c r="S65" s="70"/>
      <c r="T65" s="71">
        <f>SUM(L65:S65)</f>
        <v>93044</v>
      </c>
      <c r="U65" s="14">
        <f t="shared" si="19"/>
        <v>93044</v>
      </c>
      <c r="V65" s="11">
        <f t="shared" si="19"/>
        <v>0</v>
      </c>
      <c r="W65" s="11">
        <f t="shared" si="19"/>
        <v>0</v>
      </c>
      <c r="X65" s="11">
        <f t="shared" si="19"/>
        <v>0</v>
      </c>
      <c r="Y65" s="11">
        <f t="shared" si="19"/>
        <v>0</v>
      </c>
      <c r="Z65" s="11">
        <f t="shared" si="18"/>
        <v>0</v>
      </c>
      <c r="AA65" s="11">
        <f t="shared" si="18"/>
        <v>0</v>
      </c>
      <c r="AB65" s="11">
        <f t="shared" si="18"/>
        <v>0</v>
      </c>
      <c r="AC65" s="12">
        <f t="shared" si="18"/>
        <v>93044</v>
      </c>
    </row>
    <row r="66" spans="1:29" ht="13.5" thickBot="1" x14ac:dyDescent="0.3">
      <c r="A66" s="72"/>
      <c r="B66" s="73"/>
      <c r="C66" s="62"/>
      <c r="D66" s="62"/>
      <c r="E66" s="62"/>
      <c r="F66" s="62"/>
      <c r="G66" s="62"/>
      <c r="H66" s="62"/>
      <c r="I66" s="62"/>
      <c r="J66" s="62"/>
      <c r="K66" s="63"/>
      <c r="L66" s="65"/>
      <c r="M66" s="66"/>
      <c r="N66" s="66"/>
      <c r="O66" s="66"/>
      <c r="P66" s="66"/>
      <c r="Q66" s="66"/>
      <c r="R66" s="66"/>
      <c r="S66" s="66"/>
      <c r="T66" s="67"/>
      <c r="U66" s="64"/>
      <c r="V66" s="11"/>
      <c r="W66" s="11"/>
      <c r="X66" s="11"/>
      <c r="Y66" s="11"/>
      <c r="Z66" s="11"/>
      <c r="AA66" s="11"/>
      <c r="AB66" s="11"/>
      <c r="AC66" s="12"/>
    </row>
    <row r="67" spans="1:29" ht="13.5" thickBot="1" x14ac:dyDescent="0.3">
      <c r="A67" s="55">
        <v>4000000</v>
      </c>
      <c r="B67" s="9" t="s">
        <v>53</v>
      </c>
      <c r="C67" s="41">
        <f>C68+C71+C75+C77+C79+C81+C83+C85</f>
        <v>503174323</v>
      </c>
      <c r="D67" s="41">
        <f t="shared" ref="D67:J67" si="22">D68+D71+D75+D77+D79+D81+D83+D85</f>
        <v>21282261</v>
      </c>
      <c r="E67" s="41">
        <f t="shared" si="22"/>
        <v>24910571</v>
      </c>
      <c r="F67" s="41">
        <f t="shared" si="22"/>
        <v>32605619</v>
      </c>
      <c r="G67" s="41">
        <f t="shared" si="22"/>
        <v>13952507</v>
      </c>
      <c r="H67" s="41">
        <f t="shared" si="22"/>
        <v>22038581</v>
      </c>
      <c r="I67" s="41">
        <f t="shared" si="22"/>
        <v>15832983</v>
      </c>
      <c r="J67" s="41">
        <f t="shared" si="22"/>
        <v>6247269</v>
      </c>
      <c r="K67" s="28">
        <f t="shared" si="4"/>
        <v>640044114</v>
      </c>
      <c r="L67" s="68">
        <f>L68+L71+L75+L77+L79+L81+L83+L85</f>
        <v>496817642</v>
      </c>
      <c r="M67" s="41">
        <f t="shared" ref="M67:S67" si="23">M68+M71+M75+M77+M79+M81+M83+M85</f>
        <v>21282261</v>
      </c>
      <c r="N67" s="41">
        <f t="shared" si="23"/>
        <v>25069666</v>
      </c>
      <c r="O67" s="41">
        <f t="shared" si="23"/>
        <v>35366591</v>
      </c>
      <c r="P67" s="41">
        <f t="shared" si="23"/>
        <v>15158206</v>
      </c>
      <c r="Q67" s="41">
        <f t="shared" si="23"/>
        <v>25037396</v>
      </c>
      <c r="R67" s="41">
        <f t="shared" si="23"/>
        <v>18604332</v>
      </c>
      <c r="S67" s="41">
        <f t="shared" si="23"/>
        <v>7363394</v>
      </c>
      <c r="T67" s="28">
        <f t="shared" si="6"/>
        <v>644699488</v>
      </c>
      <c r="U67" s="14">
        <f t="shared" si="19"/>
        <v>-6356681</v>
      </c>
      <c r="V67" s="14">
        <f t="shared" si="19"/>
        <v>0</v>
      </c>
      <c r="W67" s="14">
        <f t="shared" si="19"/>
        <v>159095</v>
      </c>
      <c r="X67" s="14">
        <f t="shared" si="19"/>
        <v>2760972</v>
      </c>
      <c r="Y67" s="14">
        <f t="shared" si="18"/>
        <v>1205699</v>
      </c>
      <c r="Z67" s="14">
        <f t="shared" si="18"/>
        <v>2998815</v>
      </c>
      <c r="AA67" s="14">
        <f t="shared" si="18"/>
        <v>2771349</v>
      </c>
      <c r="AB67" s="14">
        <f t="shared" si="18"/>
        <v>1116125</v>
      </c>
      <c r="AC67" s="12">
        <f t="shared" si="18"/>
        <v>4655374</v>
      </c>
    </row>
    <row r="68" spans="1:29" x14ac:dyDescent="0.25">
      <c r="A68" s="55">
        <v>4010000</v>
      </c>
      <c r="B68" s="15" t="s">
        <v>54</v>
      </c>
      <c r="C68" s="29">
        <f>122917412+380000+993480+483642</f>
        <v>124774534</v>
      </c>
      <c r="D68" s="42">
        <f>13803564+1686000</f>
        <v>15489564</v>
      </c>
      <c r="E68" s="42">
        <f>15239585+43218</f>
        <v>15282803</v>
      </c>
      <c r="F68" s="42">
        <f>11623510+15797</f>
        <v>11639307</v>
      </c>
      <c r="G68" s="42">
        <v>6082795</v>
      </c>
      <c r="H68" s="42">
        <f>3128590-10225</f>
        <v>3118365</v>
      </c>
      <c r="I68" s="42">
        <v>1078860</v>
      </c>
      <c r="J68" s="42">
        <v>931353</v>
      </c>
      <c r="K68" s="30">
        <f t="shared" si="4"/>
        <v>178397581</v>
      </c>
      <c r="L68" s="29">
        <f>122917412+380000+993480+483642</f>
        <v>124774534</v>
      </c>
      <c r="M68" s="42">
        <f>13803564+1686000</f>
        <v>15489564</v>
      </c>
      <c r="N68" s="42">
        <f>15239585+43218</f>
        <v>15282803</v>
      </c>
      <c r="O68" s="42">
        <f>11623510+15797</f>
        <v>11639307</v>
      </c>
      <c r="P68" s="42">
        <v>6082795</v>
      </c>
      <c r="Q68" s="42">
        <f>3128590-10225</f>
        <v>3118365</v>
      </c>
      <c r="R68" s="42">
        <v>1078860</v>
      </c>
      <c r="S68" s="42">
        <v>931353</v>
      </c>
      <c r="T68" s="30">
        <f t="shared" si="6"/>
        <v>178397581</v>
      </c>
      <c r="U68" s="14">
        <f t="shared" si="19"/>
        <v>0</v>
      </c>
      <c r="V68" s="11">
        <f t="shared" si="19"/>
        <v>0</v>
      </c>
      <c r="W68" s="11">
        <f t="shared" si="19"/>
        <v>0</v>
      </c>
      <c r="X68" s="11">
        <f t="shared" si="19"/>
        <v>0</v>
      </c>
      <c r="Y68" s="11">
        <f t="shared" si="18"/>
        <v>0</v>
      </c>
      <c r="Z68" s="11">
        <f t="shared" si="18"/>
        <v>0</v>
      </c>
      <c r="AA68" s="11">
        <f t="shared" si="18"/>
        <v>0</v>
      </c>
      <c r="AB68" s="11">
        <f t="shared" si="18"/>
        <v>0</v>
      </c>
      <c r="AC68" s="12">
        <f t="shared" si="18"/>
        <v>0</v>
      </c>
    </row>
    <row r="69" spans="1:29" x14ac:dyDescent="0.25">
      <c r="A69" s="56">
        <v>4010104</v>
      </c>
      <c r="B69" s="1" t="s">
        <v>55</v>
      </c>
      <c r="C69" s="34">
        <f>47232122-125346</f>
        <v>47106776</v>
      </c>
      <c r="D69" s="35">
        <f>13513004+1686000</f>
        <v>15199004</v>
      </c>
      <c r="E69" s="35">
        <f>7403153+43218</f>
        <v>7446371</v>
      </c>
      <c r="F69" s="35">
        <f>3261494+15797</f>
        <v>3277291</v>
      </c>
      <c r="G69" s="35">
        <v>1302289</v>
      </c>
      <c r="H69" s="35">
        <f>2114978-10225</f>
        <v>2104753</v>
      </c>
      <c r="I69" s="35">
        <v>718444</v>
      </c>
      <c r="J69" s="35">
        <v>325090</v>
      </c>
      <c r="K69" s="36">
        <f t="shared" si="4"/>
        <v>77480018</v>
      </c>
      <c r="L69" s="34">
        <f>47232122-125346</f>
        <v>47106776</v>
      </c>
      <c r="M69" s="35">
        <f>13513004+1686000</f>
        <v>15199004</v>
      </c>
      <c r="N69" s="35">
        <f>7403153+43218</f>
        <v>7446371</v>
      </c>
      <c r="O69" s="35">
        <f>3261494+15797</f>
        <v>3277291</v>
      </c>
      <c r="P69" s="35">
        <v>1302289</v>
      </c>
      <c r="Q69" s="35">
        <f>2114978-10225</f>
        <v>2104753</v>
      </c>
      <c r="R69" s="35">
        <v>718444</v>
      </c>
      <c r="S69" s="35">
        <v>325090</v>
      </c>
      <c r="T69" s="36">
        <f t="shared" si="6"/>
        <v>77480018</v>
      </c>
      <c r="U69" s="16">
        <f t="shared" si="19"/>
        <v>0</v>
      </c>
      <c r="V69" s="17">
        <f t="shared" si="19"/>
        <v>0</v>
      </c>
      <c r="W69" s="17">
        <f t="shared" si="19"/>
        <v>0</v>
      </c>
      <c r="X69" s="17">
        <f t="shared" si="19"/>
        <v>0</v>
      </c>
      <c r="Y69" s="17">
        <f t="shared" si="18"/>
        <v>0</v>
      </c>
      <c r="Z69" s="17">
        <f t="shared" si="18"/>
        <v>0</v>
      </c>
      <c r="AA69" s="17">
        <f t="shared" si="18"/>
        <v>0</v>
      </c>
      <c r="AB69" s="17">
        <f t="shared" si="18"/>
        <v>0</v>
      </c>
      <c r="AC69" s="18">
        <f t="shared" si="18"/>
        <v>0</v>
      </c>
    </row>
    <row r="70" spans="1:29" x14ac:dyDescent="0.25">
      <c r="A70" s="56"/>
      <c r="B70" s="1"/>
      <c r="C70" s="31"/>
      <c r="D70" s="35"/>
      <c r="E70" s="35"/>
      <c r="F70" s="35">
        <v>0</v>
      </c>
      <c r="G70" s="32"/>
      <c r="H70" s="35">
        <v>0</v>
      </c>
      <c r="I70" s="35">
        <v>0</v>
      </c>
      <c r="J70" s="35"/>
      <c r="K70" s="33">
        <f t="shared" si="4"/>
        <v>0</v>
      </c>
      <c r="L70" s="31"/>
      <c r="M70" s="35"/>
      <c r="N70" s="35"/>
      <c r="O70" s="35">
        <v>0</v>
      </c>
      <c r="P70" s="32"/>
      <c r="Q70" s="35">
        <v>0</v>
      </c>
      <c r="R70" s="35">
        <v>0</v>
      </c>
      <c r="S70" s="35"/>
      <c r="T70" s="33">
        <f t="shared" si="6"/>
        <v>0</v>
      </c>
      <c r="U70" s="14">
        <f t="shared" si="19"/>
        <v>0</v>
      </c>
      <c r="V70" s="17">
        <f t="shared" si="19"/>
        <v>0</v>
      </c>
      <c r="W70" s="17">
        <f t="shared" si="19"/>
        <v>0</v>
      </c>
      <c r="X70" s="17">
        <f t="shared" si="19"/>
        <v>0</v>
      </c>
      <c r="Y70" s="11">
        <f t="shared" si="18"/>
        <v>0</v>
      </c>
      <c r="Z70" s="17">
        <f t="shared" si="18"/>
        <v>0</v>
      </c>
      <c r="AA70" s="17">
        <f t="shared" si="18"/>
        <v>0</v>
      </c>
      <c r="AB70" s="17">
        <f t="shared" si="18"/>
        <v>0</v>
      </c>
      <c r="AC70" s="12">
        <f t="shared" si="18"/>
        <v>0</v>
      </c>
    </row>
    <row r="71" spans="1:29" x14ac:dyDescent="0.25">
      <c r="A71" s="55">
        <v>4020000</v>
      </c>
      <c r="B71" s="15" t="s">
        <v>56</v>
      </c>
      <c r="C71" s="31">
        <f>SUM(C72:C73)</f>
        <v>6766220</v>
      </c>
      <c r="D71" s="31">
        <f t="shared" ref="D71:J71" si="24">SUM(D72:D73)</f>
        <v>3003944</v>
      </c>
      <c r="E71" s="31">
        <f t="shared" si="24"/>
        <v>2205038</v>
      </c>
      <c r="F71" s="31">
        <f t="shared" si="24"/>
        <v>3420950</v>
      </c>
      <c r="G71" s="31">
        <f t="shared" si="24"/>
        <v>986804</v>
      </c>
      <c r="H71" s="31">
        <f t="shared" si="24"/>
        <v>2910697</v>
      </c>
      <c r="I71" s="31">
        <f t="shared" si="24"/>
        <v>793026</v>
      </c>
      <c r="J71" s="31">
        <f t="shared" si="24"/>
        <v>567157</v>
      </c>
      <c r="K71" s="33">
        <f t="shared" si="4"/>
        <v>20653836</v>
      </c>
      <c r="L71" s="31">
        <f>SUM(L72:L73)</f>
        <v>7169283</v>
      </c>
      <c r="M71" s="31">
        <f t="shared" ref="M71:S71" si="25">SUM(M72:M73)</f>
        <v>3003944</v>
      </c>
      <c r="N71" s="31">
        <f t="shared" si="25"/>
        <v>2205038</v>
      </c>
      <c r="O71" s="31">
        <f t="shared" si="25"/>
        <v>3420950</v>
      </c>
      <c r="P71" s="31">
        <f t="shared" si="25"/>
        <v>986804</v>
      </c>
      <c r="Q71" s="31">
        <f t="shared" si="25"/>
        <v>2910697</v>
      </c>
      <c r="R71" s="31">
        <f t="shared" si="25"/>
        <v>793026</v>
      </c>
      <c r="S71" s="31">
        <f t="shared" si="25"/>
        <v>567157</v>
      </c>
      <c r="T71" s="33">
        <f t="shared" si="6"/>
        <v>21056899</v>
      </c>
      <c r="U71" s="14">
        <f t="shared" si="19"/>
        <v>403063</v>
      </c>
      <c r="V71" s="14">
        <f t="shared" si="19"/>
        <v>0</v>
      </c>
      <c r="W71" s="14">
        <f t="shared" si="19"/>
        <v>0</v>
      </c>
      <c r="X71" s="14">
        <f t="shared" si="19"/>
        <v>0</v>
      </c>
      <c r="Y71" s="14">
        <f t="shared" si="18"/>
        <v>0</v>
      </c>
      <c r="Z71" s="14">
        <f t="shared" si="18"/>
        <v>0</v>
      </c>
      <c r="AA71" s="14">
        <f t="shared" si="18"/>
        <v>0</v>
      </c>
      <c r="AB71" s="14">
        <f t="shared" si="18"/>
        <v>0</v>
      </c>
      <c r="AC71" s="12">
        <f t="shared" si="18"/>
        <v>403063</v>
      </c>
    </row>
    <row r="72" spans="1:29" x14ac:dyDescent="0.25">
      <c r="A72" s="56">
        <v>4020100</v>
      </c>
      <c r="B72" s="1" t="s">
        <v>57</v>
      </c>
      <c r="C72" s="34">
        <v>2103291</v>
      </c>
      <c r="D72" s="35">
        <v>919121</v>
      </c>
      <c r="E72" s="35">
        <v>560814</v>
      </c>
      <c r="F72" s="35">
        <v>367923</v>
      </c>
      <c r="G72" s="35">
        <v>327344</v>
      </c>
      <c r="H72" s="35">
        <v>1040483</v>
      </c>
      <c r="I72" s="35">
        <v>250820</v>
      </c>
      <c r="J72" s="35">
        <v>150366</v>
      </c>
      <c r="K72" s="36">
        <f t="shared" si="4"/>
        <v>5720162</v>
      </c>
      <c r="L72" s="34">
        <v>2103291</v>
      </c>
      <c r="M72" s="35">
        <v>919121</v>
      </c>
      <c r="N72" s="35">
        <v>560814</v>
      </c>
      <c r="O72" s="35">
        <v>367923</v>
      </c>
      <c r="P72" s="35">
        <v>327344</v>
      </c>
      <c r="Q72" s="35">
        <v>1040483</v>
      </c>
      <c r="R72" s="35">
        <v>250820</v>
      </c>
      <c r="S72" s="35">
        <v>150366</v>
      </c>
      <c r="T72" s="36">
        <f t="shared" si="6"/>
        <v>5720162</v>
      </c>
      <c r="U72" s="16">
        <f t="shared" si="19"/>
        <v>0</v>
      </c>
      <c r="V72" s="17">
        <f t="shared" si="19"/>
        <v>0</v>
      </c>
      <c r="W72" s="17">
        <f t="shared" si="19"/>
        <v>0</v>
      </c>
      <c r="X72" s="17">
        <f t="shared" si="19"/>
        <v>0</v>
      </c>
      <c r="Y72" s="17">
        <f t="shared" si="18"/>
        <v>0</v>
      </c>
      <c r="Z72" s="17">
        <f t="shared" si="18"/>
        <v>0</v>
      </c>
      <c r="AA72" s="17">
        <f t="shared" si="18"/>
        <v>0</v>
      </c>
      <c r="AB72" s="17">
        <f t="shared" si="18"/>
        <v>0</v>
      </c>
      <c r="AC72" s="18">
        <f t="shared" si="18"/>
        <v>0</v>
      </c>
    </row>
    <row r="73" spans="1:29" x14ac:dyDescent="0.25">
      <c r="A73" s="56">
        <v>4020200</v>
      </c>
      <c r="B73" s="1" t="s">
        <v>58</v>
      </c>
      <c r="C73" s="34">
        <v>4662929</v>
      </c>
      <c r="D73" s="35">
        <v>2084823</v>
      </c>
      <c r="E73" s="35">
        <v>1644224</v>
      </c>
      <c r="F73" s="35">
        <v>3053027</v>
      </c>
      <c r="G73" s="35">
        <v>659460</v>
      </c>
      <c r="H73" s="35">
        <v>1870214</v>
      </c>
      <c r="I73" s="35">
        <v>542206</v>
      </c>
      <c r="J73" s="35">
        <v>416791</v>
      </c>
      <c r="K73" s="36">
        <f t="shared" ref="K73:K88" si="26">SUM(C73:J73)</f>
        <v>14933674</v>
      </c>
      <c r="L73" s="34">
        <f>4662929+403063</f>
        <v>5065992</v>
      </c>
      <c r="M73" s="35">
        <v>2084823</v>
      </c>
      <c r="N73" s="35">
        <v>1644224</v>
      </c>
      <c r="O73" s="35">
        <v>3053027</v>
      </c>
      <c r="P73" s="35">
        <v>659460</v>
      </c>
      <c r="Q73" s="35">
        <v>1870214</v>
      </c>
      <c r="R73" s="35">
        <v>542206</v>
      </c>
      <c r="S73" s="35">
        <v>416791</v>
      </c>
      <c r="T73" s="36">
        <f t="shared" ref="T73:T88" si="27">SUM(L73:S73)</f>
        <v>15336737</v>
      </c>
      <c r="U73" s="16">
        <f t="shared" si="19"/>
        <v>403063</v>
      </c>
      <c r="V73" s="17">
        <f t="shared" si="19"/>
        <v>0</v>
      </c>
      <c r="W73" s="17">
        <f t="shared" si="19"/>
        <v>0</v>
      </c>
      <c r="X73" s="17">
        <f t="shared" si="19"/>
        <v>0</v>
      </c>
      <c r="Y73" s="17">
        <f t="shared" si="18"/>
        <v>0</v>
      </c>
      <c r="Z73" s="17">
        <f t="shared" si="18"/>
        <v>0</v>
      </c>
      <c r="AA73" s="17">
        <f t="shared" si="18"/>
        <v>0</v>
      </c>
      <c r="AB73" s="17">
        <f t="shared" si="18"/>
        <v>0</v>
      </c>
      <c r="AC73" s="18">
        <f t="shared" si="18"/>
        <v>403063</v>
      </c>
    </row>
    <row r="74" spans="1:29" x14ac:dyDescent="0.25">
      <c r="A74" s="55"/>
      <c r="B74" s="15"/>
      <c r="C74" s="31"/>
      <c r="D74" s="35"/>
      <c r="E74" s="35"/>
      <c r="F74" s="35">
        <v>0</v>
      </c>
      <c r="G74" s="32"/>
      <c r="H74" s="35">
        <v>0</v>
      </c>
      <c r="I74" s="35">
        <v>0</v>
      </c>
      <c r="J74" s="35"/>
      <c r="K74" s="33">
        <f t="shared" si="26"/>
        <v>0</v>
      </c>
      <c r="L74" s="31"/>
      <c r="M74" s="35"/>
      <c r="N74" s="35"/>
      <c r="O74" s="35">
        <v>0</v>
      </c>
      <c r="P74" s="32"/>
      <c r="Q74" s="35">
        <v>0</v>
      </c>
      <c r="R74" s="35">
        <v>0</v>
      </c>
      <c r="S74" s="35"/>
      <c r="T74" s="33">
        <f t="shared" si="27"/>
        <v>0</v>
      </c>
      <c r="U74" s="14">
        <f t="shared" si="19"/>
        <v>0</v>
      </c>
      <c r="V74" s="17">
        <f t="shared" si="19"/>
        <v>0</v>
      </c>
      <c r="W74" s="17">
        <f t="shared" si="19"/>
        <v>0</v>
      </c>
      <c r="X74" s="17">
        <f t="shared" si="19"/>
        <v>0</v>
      </c>
      <c r="Y74" s="11">
        <f t="shared" si="18"/>
        <v>0</v>
      </c>
      <c r="Z74" s="17">
        <f t="shared" si="18"/>
        <v>0</v>
      </c>
      <c r="AA74" s="17">
        <f t="shared" si="18"/>
        <v>0</v>
      </c>
      <c r="AB74" s="17">
        <f t="shared" si="18"/>
        <v>0</v>
      </c>
      <c r="AC74" s="12">
        <f t="shared" si="18"/>
        <v>0</v>
      </c>
    </row>
    <row r="75" spans="1:29" ht="25.5" x14ac:dyDescent="0.25">
      <c r="A75" s="55">
        <v>4080000</v>
      </c>
      <c r="B75" s="15" t="s">
        <v>59</v>
      </c>
      <c r="C75" s="31">
        <v>519248</v>
      </c>
      <c r="D75" s="32">
        <v>0</v>
      </c>
      <c r="E75" s="32">
        <v>636894</v>
      </c>
      <c r="F75" s="32">
        <v>11657740</v>
      </c>
      <c r="G75" s="32">
        <v>5234178</v>
      </c>
      <c r="H75" s="32">
        <v>13517479</v>
      </c>
      <c r="I75" s="32">
        <v>12521634</v>
      </c>
      <c r="J75" s="32">
        <v>3874977</v>
      </c>
      <c r="K75" s="33">
        <f t="shared" si="26"/>
        <v>47962150</v>
      </c>
      <c r="L75" s="31">
        <v>519248</v>
      </c>
      <c r="M75" s="32">
        <v>0</v>
      </c>
      <c r="N75" s="32">
        <v>636894</v>
      </c>
      <c r="O75" s="32">
        <v>11657740</v>
      </c>
      <c r="P75" s="32">
        <v>5234178</v>
      </c>
      <c r="Q75" s="32">
        <v>13517479</v>
      </c>
      <c r="R75" s="32">
        <v>12521634</v>
      </c>
      <c r="S75" s="32">
        <v>3874977</v>
      </c>
      <c r="T75" s="33">
        <f t="shared" si="27"/>
        <v>47962150</v>
      </c>
      <c r="U75" s="14">
        <f t="shared" si="19"/>
        <v>0</v>
      </c>
      <c r="V75" s="11">
        <f t="shared" si="19"/>
        <v>0</v>
      </c>
      <c r="W75" s="11">
        <f t="shared" si="19"/>
        <v>0</v>
      </c>
      <c r="X75" s="11">
        <f t="shared" si="19"/>
        <v>0</v>
      </c>
      <c r="Y75" s="11">
        <f t="shared" si="18"/>
        <v>0</v>
      </c>
      <c r="Z75" s="11">
        <f t="shared" si="18"/>
        <v>0</v>
      </c>
      <c r="AA75" s="11">
        <f t="shared" si="18"/>
        <v>0</v>
      </c>
      <c r="AB75" s="11">
        <f t="shared" si="18"/>
        <v>0</v>
      </c>
      <c r="AC75" s="12">
        <f t="shared" si="18"/>
        <v>0</v>
      </c>
    </row>
    <row r="76" spans="1:29" x14ac:dyDescent="0.25">
      <c r="A76" s="55"/>
      <c r="B76" s="15"/>
      <c r="C76" s="31"/>
      <c r="D76" s="32"/>
      <c r="E76" s="32"/>
      <c r="F76" s="32"/>
      <c r="G76" s="32"/>
      <c r="H76" s="32"/>
      <c r="I76" s="32"/>
      <c r="J76" s="32"/>
      <c r="K76" s="33"/>
      <c r="L76" s="31"/>
      <c r="M76" s="32"/>
      <c r="N76" s="32"/>
      <c r="O76" s="32"/>
      <c r="P76" s="32"/>
      <c r="Q76" s="32"/>
      <c r="R76" s="32"/>
      <c r="S76" s="32"/>
      <c r="T76" s="33"/>
      <c r="U76" s="14">
        <f t="shared" si="19"/>
        <v>0</v>
      </c>
      <c r="V76" s="11">
        <f t="shared" si="19"/>
        <v>0</v>
      </c>
      <c r="W76" s="11">
        <f t="shared" si="19"/>
        <v>0</v>
      </c>
      <c r="X76" s="11">
        <f t="shared" si="19"/>
        <v>0</v>
      </c>
      <c r="Y76" s="11">
        <f t="shared" si="18"/>
        <v>0</v>
      </c>
      <c r="Z76" s="11">
        <f t="shared" si="18"/>
        <v>0</v>
      </c>
      <c r="AA76" s="11">
        <f t="shared" si="18"/>
        <v>0</v>
      </c>
      <c r="AB76" s="11">
        <f t="shared" si="18"/>
        <v>0</v>
      </c>
      <c r="AC76" s="12">
        <f t="shared" si="18"/>
        <v>0</v>
      </c>
    </row>
    <row r="77" spans="1:29" x14ac:dyDescent="0.25">
      <c r="A77" s="55">
        <v>4100000</v>
      </c>
      <c r="B77" s="15" t="s">
        <v>60</v>
      </c>
      <c r="C77" s="31">
        <f>202239581+4799749+10327977-380000-12589119+23155241+8142134+60603885-1527563</f>
        <v>294771885</v>
      </c>
      <c r="D77" s="32">
        <v>2788753</v>
      </c>
      <c r="E77" s="32">
        <v>6785836</v>
      </c>
      <c r="F77" s="32">
        <v>5887622</v>
      </c>
      <c r="G77" s="32">
        <v>1648730</v>
      </c>
      <c r="H77" s="32">
        <v>2492040</v>
      </c>
      <c r="I77" s="32">
        <v>1439463</v>
      </c>
      <c r="J77" s="32">
        <v>873782</v>
      </c>
      <c r="K77" s="33">
        <f t="shared" si="26"/>
        <v>316688111</v>
      </c>
      <c r="L77" s="31">
        <f>202239581+4799749+10327977-380000-12589119+23155241+8142134+60603885-1527563</f>
        <v>294771885</v>
      </c>
      <c r="M77" s="32">
        <v>2788753</v>
      </c>
      <c r="N77" s="32">
        <v>6785836</v>
      </c>
      <c r="O77" s="32">
        <v>5887622</v>
      </c>
      <c r="P77" s="32">
        <v>1648730</v>
      </c>
      <c r="Q77" s="32">
        <v>2492040</v>
      </c>
      <c r="R77" s="32">
        <v>1439463</v>
      </c>
      <c r="S77" s="32">
        <v>873782</v>
      </c>
      <c r="T77" s="33">
        <f t="shared" si="27"/>
        <v>316688111</v>
      </c>
      <c r="U77" s="14">
        <f t="shared" si="19"/>
        <v>0</v>
      </c>
      <c r="V77" s="11">
        <f t="shared" si="19"/>
        <v>0</v>
      </c>
      <c r="W77" s="11">
        <f t="shared" si="19"/>
        <v>0</v>
      </c>
      <c r="X77" s="11">
        <f t="shared" si="19"/>
        <v>0</v>
      </c>
      <c r="Y77" s="11">
        <f t="shared" si="18"/>
        <v>0</v>
      </c>
      <c r="Z77" s="11">
        <f t="shared" si="18"/>
        <v>0</v>
      </c>
      <c r="AA77" s="11">
        <f t="shared" si="18"/>
        <v>0</v>
      </c>
      <c r="AB77" s="11">
        <f t="shared" si="18"/>
        <v>0</v>
      </c>
      <c r="AC77" s="12">
        <f t="shared" si="18"/>
        <v>0</v>
      </c>
    </row>
    <row r="78" spans="1:29" x14ac:dyDescent="0.25">
      <c r="A78" s="55"/>
      <c r="B78" s="15"/>
      <c r="C78" s="31"/>
      <c r="D78" s="32"/>
      <c r="E78" s="32"/>
      <c r="F78" s="32"/>
      <c r="G78" s="32"/>
      <c r="H78" s="32"/>
      <c r="I78" s="32"/>
      <c r="J78" s="32"/>
      <c r="K78" s="33">
        <f t="shared" si="26"/>
        <v>0</v>
      </c>
      <c r="L78" s="31"/>
      <c r="M78" s="32"/>
      <c r="N78" s="32"/>
      <c r="O78" s="32"/>
      <c r="P78" s="32"/>
      <c r="Q78" s="32"/>
      <c r="R78" s="32"/>
      <c r="S78" s="32"/>
      <c r="T78" s="33">
        <f t="shared" si="27"/>
        <v>0</v>
      </c>
      <c r="U78" s="14">
        <f t="shared" si="19"/>
        <v>0</v>
      </c>
      <c r="V78" s="11">
        <f t="shared" si="19"/>
        <v>0</v>
      </c>
      <c r="W78" s="11">
        <f t="shared" si="19"/>
        <v>0</v>
      </c>
      <c r="X78" s="11">
        <f t="shared" si="19"/>
        <v>0</v>
      </c>
      <c r="Y78" s="11">
        <f t="shared" si="19"/>
        <v>0</v>
      </c>
      <c r="Z78" s="11">
        <f t="shared" si="19"/>
        <v>0</v>
      </c>
      <c r="AA78" s="11">
        <f t="shared" si="19"/>
        <v>0</v>
      </c>
      <c r="AB78" s="11">
        <f t="shared" si="19"/>
        <v>0</v>
      </c>
      <c r="AC78" s="12">
        <f t="shared" si="19"/>
        <v>0</v>
      </c>
    </row>
    <row r="79" spans="1:29" x14ac:dyDescent="0.25">
      <c r="A79" s="55">
        <v>4110000</v>
      </c>
      <c r="B79" s="15" t="s">
        <v>61</v>
      </c>
      <c r="C79" s="31">
        <f>5026949+4334399</f>
        <v>9361348</v>
      </c>
      <c r="D79" s="32"/>
      <c r="E79" s="32"/>
      <c r="F79" s="32"/>
      <c r="G79" s="32"/>
      <c r="H79" s="32"/>
      <c r="I79" s="32"/>
      <c r="J79" s="32"/>
      <c r="K79" s="33">
        <f t="shared" si="26"/>
        <v>9361348</v>
      </c>
      <c r="L79" s="31">
        <f>5026949+4334399+2252311</f>
        <v>11613659</v>
      </c>
      <c r="M79" s="32"/>
      <c r="N79" s="32"/>
      <c r="O79" s="32"/>
      <c r="P79" s="32"/>
      <c r="Q79" s="32"/>
      <c r="R79" s="32"/>
      <c r="S79" s="32"/>
      <c r="T79" s="33">
        <f t="shared" si="27"/>
        <v>11613659</v>
      </c>
      <c r="U79" s="14">
        <f t="shared" si="19"/>
        <v>2252311</v>
      </c>
      <c r="V79" s="11">
        <f t="shared" si="19"/>
        <v>0</v>
      </c>
      <c r="W79" s="11">
        <f t="shared" si="19"/>
        <v>0</v>
      </c>
      <c r="X79" s="11">
        <f t="shared" si="19"/>
        <v>0</v>
      </c>
      <c r="Y79" s="11">
        <f t="shared" si="19"/>
        <v>0</v>
      </c>
      <c r="Z79" s="11">
        <f t="shared" si="19"/>
        <v>0</v>
      </c>
      <c r="AA79" s="11">
        <f t="shared" si="19"/>
        <v>0</v>
      </c>
      <c r="AB79" s="11">
        <f t="shared" si="19"/>
        <v>0</v>
      </c>
      <c r="AC79" s="12">
        <f t="shared" si="19"/>
        <v>2252311</v>
      </c>
    </row>
    <row r="80" spans="1:29" x14ac:dyDescent="0.25">
      <c r="A80" s="55"/>
      <c r="B80" s="15"/>
      <c r="C80" s="31"/>
      <c r="D80" s="32"/>
      <c r="E80" s="32"/>
      <c r="F80" s="32"/>
      <c r="G80" s="32"/>
      <c r="H80" s="32"/>
      <c r="I80" s="32"/>
      <c r="J80" s="32"/>
      <c r="K80" s="33">
        <f t="shared" si="26"/>
        <v>0</v>
      </c>
      <c r="L80" s="31"/>
      <c r="M80" s="32"/>
      <c r="N80" s="32"/>
      <c r="O80" s="32"/>
      <c r="P80" s="32"/>
      <c r="Q80" s="32"/>
      <c r="R80" s="32"/>
      <c r="S80" s="32"/>
      <c r="T80" s="33">
        <f t="shared" si="27"/>
        <v>0</v>
      </c>
      <c r="U80" s="14">
        <f t="shared" si="19"/>
        <v>0</v>
      </c>
      <c r="V80" s="11">
        <f t="shared" si="19"/>
        <v>0</v>
      </c>
      <c r="W80" s="11">
        <f t="shared" si="19"/>
        <v>0</v>
      </c>
      <c r="X80" s="11">
        <f t="shared" si="19"/>
        <v>0</v>
      </c>
      <c r="Y80" s="11">
        <f t="shared" si="19"/>
        <v>0</v>
      </c>
      <c r="Z80" s="11">
        <f t="shared" si="19"/>
        <v>0</v>
      </c>
      <c r="AA80" s="11">
        <f t="shared" si="19"/>
        <v>0</v>
      </c>
      <c r="AB80" s="11">
        <f t="shared" si="19"/>
        <v>0</v>
      </c>
      <c r="AC80" s="12">
        <f t="shared" si="19"/>
        <v>0</v>
      </c>
    </row>
    <row r="81" spans="1:29" x14ac:dyDescent="0.25">
      <c r="A81" s="55">
        <v>4120000</v>
      </c>
      <c r="B81" s="15" t="s">
        <v>62</v>
      </c>
      <c r="C81" s="31">
        <v>12000000</v>
      </c>
      <c r="D81" s="32"/>
      <c r="E81" s="32"/>
      <c r="F81" s="32"/>
      <c r="G81" s="32"/>
      <c r="H81" s="32"/>
      <c r="I81" s="32"/>
      <c r="J81" s="32"/>
      <c r="K81" s="33">
        <f t="shared" si="26"/>
        <v>12000000</v>
      </c>
      <c r="L81" s="31">
        <v>12000000</v>
      </c>
      <c r="M81" s="32"/>
      <c r="N81" s="32"/>
      <c r="O81" s="32"/>
      <c r="P81" s="32"/>
      <c r="Q81" s="32"/>
      <c r="R81" s="32"/>
      <c r="S81" s="32"/>
      <c r="T81" s="33">
        <f t="shared" si="27"/>
        <v>12000000</v>
      </c>
      <c r="U81" s="14">
        <f t="shared" si="19"/>
        <v>0</v>
      </c>
      <c r="V81" s="11">
        <f t="shared" si="19"/>
        <v>0</v>
      </c>
      <c r="W81" s="11">
        <f t="shared" si="19"/>
        <v>0</v>
      </c>
      <c r="X81" s="11">
        <f t="shared" si="19"/>
        <v>0</v>
      </c>
      <c r="Y81" s="11">
        <f t="shared" si="19"/>
        <v>0</v>
      </c>
      <c r="Z81" s="11">
        <f t="shared" si="19"/>
        <v>0</v>
      </c>
      <c r="AA81" s="11">
        <f t="shared" si="19"/>
        <v>0</v>
      </c>
      <c r="AB81" s="11">
        <f t="shared" si="19"/>
        <v>0</v>
      </c>
      <c r="AC81" s="12">
        <f t="shared" si="19"/>
        <v>0</v>
      </c>
    </row>
    <row r="82" spans="1:29" x14ac:dyDescent="0.25">
      <c r="A82" s="55"/>
      <c r="B82" s="15"/>
      <c r="C82" s="31"/>
      <c r="D82" s="32"/>
      <c r="E82" s="32"/>
      <c r="F82" s="32"/>
      <c r="G82" s="32"/>
      <c r="H82" s="32"/>
      <c r="I82" s="32"/>
      <c r="J82" s="32"/>
      <c r="K82" s="33">
        <f t="shared" si="26"/>
        <v>0</v>
      </c>
      <c r="L82" s="31"/>
      <c r="M82" s="32"/>
      <c r="N82" s="32"/>
      <c r="O82" s="32"/>
      <c r="P82" s="32"/>
      <c r="Q82" s="32"/>
      <c r="R82" s="32"/>
      <c r="S82" s="32"/>
      <c r="T82" s="33">
        <f t="shared" si="27"/>
        <v>0</v>
      </c>
      <c r="U82" s="14">
        <f t="shared" si="19"/>
        <v>0</v>
      </c>
      <c r="V82" s="11">
        <f t="shared" si="19"/>
        <v>0</v>
      </c>
      <c r="W82" s="11">
        <f t="shared" si="19"/>
        <v>0</v>
      </c>
      <c r="X82" s="11">
        <f t="shared" si="19"/>
        <v>0</v>
      </c>
      <c r="Y82" s="11">
        <f t="shared" si="19"/>
        <v>0</v>
      </c>
      <c r="Z82" s="11">
        <f t="shared" si="19"/>
        <v>0</v>
      </c>
      <c r="AA82" s="11">
        <f t="shared" si="19"/>
        <v>0</v>
      </c>
      <c r="AB82" s="11">
        <f t="shared" si="19"/>
        <v>0</v>
      </c>
      <c r="AC82" s="12">
        <f t="shared" si="19"/>
        <v>0</v>
      </c>
    </row>
    <row r="83" spans="1:29" x14ac:dyDescent="0.25">
      <c r="A83" s="55">
        <v>4130000</v>
      </c>
      <c r="B83" s="15" t="s">
        <v>67</v>
      </c>
      <c r="C83" s="31">
        <v>20500000</v>
      </c>
      <c r="D83" s="32"/>
      <c r="E83" s="32"/>
      <c r="F83" s="32"/>
      <c r="G83" s="32"/>
      <c r="H83" s="32"/>
      <c r="I83" s="32"/>
      <c r="J83" s="32"/>
      <c r="K83" s="33">
        <f t="shared" si="26"/>
        <v>20500000</v>
      </c>
      <c r="L83" s="31">
        <f>20500000+2000000</f>
        <v>22500000</v>
      </c>
      <c r="M83" s="32"/>
      <c r="N83" s="32"/>
      <c r="O83" s="32"/>
      <c r="P83" s="32"/>
      <c r="Q83" s="32"/>
      <c r="R83" s="32"/>
      <c r="S83" s="32"/>
      <c r="T83" s="33">
        <f t="shared" si="27"/>
        <v>22500000</v>
      </c>
      <c r="U83" s="14">
        <f t="shared" si="19"/>
        <v>2000000</v>
      </c>
      <c r="V83" s="11">
        <f t="shared" si="19"/>
        <v>0</v>
      </c>
      <c r="W83" s="11">
        <f t="shared" si="19"/>
        <v>0</v>
      </c>
      <c r="X83" s="11">
        <f t="shared" si="19"/>
        <v>0</v>
      </c>
      <c r="Y83" s="11">
        <f t="shared" si="19"/>
        <v>0</v>
      </c>
      <c r="Z83" s="11">
        <f t="shared" si="19"/>
        <v>0</v>
      </c>
      <c r="AA83" s="11">
        <f t="shared" si="19"/>
        <v>0</v>
      </c>
      <c r="AB83" s="11">
        <f t="shared" si="19"/>
        <v>0</v>
      </c>
      <c r="AC83" s="12">
        <f t="shared" si="19"/>
        <v>2000000</v>
      </c>
    </row>
    <row r="84" spans="1:29" x14ac:dyDescent="0.25">
      <c r="A84" s="55"/>
      <c r="B84" s="15"/>
      <c r="C84" s="37"/>
      <c r="D84" s="39"/>
      <c r="E84" s="39"/>
      <c r="F84" s="39"/>
      <c r="G84" s="39"/>
      <c r="H84" s="39"/>
      <c r="I84" s="39"/>
      <c r="J84" s="39"/>
      <c r="K84" s="43"/>
      <c r="L84" s="37"/>
      <c r="M84" s="39"/>
      <c r="N84" s="39"/>
      <c r="O84" s="39"/>
      <c r="P84" s="39"/>
      <c r="Q84" s="39"/>
      <c r="R84" s="39"/>
      <c r="S84" s="39"/>
      <c r="T84" s="43"/>
      <c r="U84" s="14">
        <f t="shared" si="19"/>
        <v>0</v>
      </c>
      <c r="V84" s="11">
        <f t="shared" si="19"/>
        <v>0</v>
      </c>
      <c r="W84" s="11">
        <f t="shared" si="19"/>
        <v>0</v>
      </c>
      <c r="X84" s="11">
        <f t="shared" si="19"/>
        <v>0</v>
      </c>
      <c r="Y84" s="11">
        <f t="shared" si="19"/>
        <v>0</v>
      </c>
      <c r="Z84" s="11">
        <f t="shared" si="19"/>
        <v>0</v>
      </c>
      <c r="AA84" s="11">
        <f t="shared" si="19"/>
        <v>0</v>
      </c>
      <c r="AB84" s="11">
        <f t="shared" si="19"/>
        <v>0</v>
      </c>
      <c r="AC84" s="12">
        <f t="shared" si="19"/>
        <v>0</v>
      </c>
    </row>
    <row r="85" spans="1:29" x14ac:dyDescent="0.25">
      <c r="A85" s="55">
        <v>4140000</v>
      </c>
      <c r="B85" s="15" t="s">
        <v>66</v>
      </c>
      <c r="C85" s="31">
        <f>32352240+2128848</f>
        <v>34481088</v>
      </c>
      <c r="D85" s="32"/>
      <c r="E85" s="32"/>
      <c r="F85" s="32"/>
      <c r="G85" s="32"/>
      <c r="H85" s="32"/>
      <c r="I85" s="32"/>
      <c r="J85" s="32"/>
      <c r="K85" s="33">
        <f t="shared" ref="K85" si="28">SUM(C85:J85)</f>
        <v>34481088</v>
      </c>
      <c r="L85" s="31">
        <f>32352240-11108000+2128848+109691-13746</f>
        <v>23469033</v>
      </c>
      <c r="M85" s="32">
        <v>0</v>
      </c>
      <c r="N85" s="32">
        <v>159095</v>
      </c>
      <c r="O85" s="32">
        <v>2760972</v>
      </c>
      <c r="P85" s="32">
        <v>1205699</v>
      </c>
      <c r="Q85" s="32">
        <v>2998815</v>
      </c>
      <c r="R85" s="32">
        <v>2771349</v>
      </c>
      <c r="S85" s="32">
        <v>1116125</v>
      </c>
      <c r="T85" s="33">
        <f t="shared" ref="T85" si="29">SUM(L85:S85)</f>
        <v>34481088</v>
      </c>
      <c r="U85" s="14">
        <f t="shared" si="19"/>
        <v>-11012055</v>
      </c>
      <c r="V85" s="11">
        <f t="shared" si="19"/>
        <v>0</v>
      </c>
      <c r="W85" s="11">
        <f t="shared" si="19"/>
        <v>159095</v>
      </c>
      <c r="X85" s="11">
        <f t="shared" si="19"/>
        <v>2760972</v>
      </c>
      <c r="Y85" s="11">
        <f t="shared" si="19"/>
        <v>1205699</v>
      </c>
      <c r="Z85" s="11">
        <f t="shared" si="19"/>
        <v>2998815</v>
      </c>
      <c r="AA85" s="11">
        <f t="shared" si="19"/>
        <v>2771349</v>
      </c>
      <c r="AB85" s="11">
        <f t="shared" si="19"/>
        <v>1116125</v>
      </c>
      <c r="AC85" s="12">
        <f t="shared" si="19"/>
        <v>0</v>
      </c>
    </row>
    <row r="86" spans="1:29" ht="13.5" thickBot="1" x14ac:dyDescent="0.3">
      <c r="A86" s="55"/>
      <c r="B86" s="15"/>
      <c r="C86" s="37"/>
      <c r="D86" s="39"/>
      <c r="E86" s="39"/>
      <c r="F86" s="39"/>
      <c r="G86" s="39"/>
      <c r="H86" s="39"/>
      <c r="I86" s="39"/>
      <c r="J86" s="39"/>
      <c r="K86" s="43">
        <f t="shared" si="26"/>
        <v>0</v>
      </c>
      <c r="L86" s="37"/>
      <c r="M86" s="39"/>
      <c r="N86" s="39"/>
      <c r="O86" s="39"/>
      <c r="P86" s="39"/>
      <c r="Q86" s="39"/>
      <c r="R86" s="39"/>
      <c r="S86" s="39"/>
      <c r="T86" s="43">
        <f t="shared" si="27"/>
        <v>0</v>
      </c>
      <c r="U86" s="14">
        <f t="shared" si="19"/>
        <v>0</v>
      </c>
      <c r="V86" s="11">
        <f t="shared" si="19"/>
        <v>0</v>
      </c>
      <c r="W86" s="11">
        <f t="shared" si="19"/>
        <v>0</v>
      </c>
      <c r="X86" s="11">
        <f t="shared" si="19"/>
        <v>0</v>
      </c>
      <c r="Y86" s="11">
        <f t="shared" si="19"/>
        <v>0</v>
      </c>
      <c r="Z86" s="11">
        <f t="shared" si="19"/>
        <v>0</v>
      </c>
      <c r="AA86" s="11">
        <f t="shared" si="19"/>
        <v>0</v>
      </c>
      <c r="AB86" s="11">
        <f t="shared" si="19"/>
        <v>0</v>
      </c>
      <c r="AC86" s="12">
        <f t="shared" si="19"/>
        <v>0</v>
      </c>
    </row>
    <row r="87" spans="1:29" ht="13.5" thickBot="1" x14ac:dyDescent="0.3">
      <c r="A87" s="55">
        <v>5000000</v>
      </c>
      <c r="B87" s="13" t="s">
        <v>63</v>
      </c>
      <c r="C87" s="41">
        <f>179049991+930847</f>
        <v>179980838</v>
      </c>
      <c r="D87" s="49">
        <f>6849151+712232</f>
        <v>7561383</v>
      </c>
      <c r="E87" s="49">
        <f>61728125+124139</f>
        <v>61852264</v>
      </c>
      <c r="F87" s="49">
        <f>29481853+210000</f>
        <v>29691853</v>
      </c>
      <c r="G87" s="49">
        <f>12750844+54264</f>
        <v>12805108</v>
      </c>
      <c r="H87" s="49">
        <f>12792769+66250</f>
        <v>12859019</v>
      </c>
      <c r="I87" s="49">
        <f>11553506+155000</f>
        <v>11708506</v>
      </c>
      <c r="J87" s="49">
        <f>6088924+37500</f>
        <v>6126424</v>
      </c>
      <c r="K87" s="28">
        <f t="shared" si="26"/>
        <v>322585395</v>
      </c>
      <c r="L87" s="41">
        <f>179049991+930847+15256+60000-5561609</f>
        <v>174494485</v>
      </c>
      <c r="M87" s="49">
        <f>6849151+712232</f>
        <v>7561383</v>
      </c>
      <c r="N87" s="49">
        <f>61728125+124139-15256</f>
        <v>61837008</v>
      </c>
      <c r="O87" s="49">
        <f>29481853+210000</f>
        <v>29691853</v>
      </c>
      <c r="P87" s="49">
        <f>12750844+54264+60625</f>
        <v>12865733</v>
      </c>
      <c r="Q87" s="49">
        <f>12792769+66250+8892</f>
        <v>12867911</v>
      </c>
      <c r="R87" s="49">
        <f>11553506+155000</f>
        <v>11708506</v>
      </c>
      <c r="S87" s="49">
        <f>6088924+37500</f>
        <v>6126424</v>
      </c>
      <c r="T87" s="28">
        <f t="shared" si="27"/>
        <v>317153303</v>
      </c>
      <c r="U87" s="14">
        <f t="shared" si="19"/>
        <v>-5486353</v>
      </c>
      <c r="V87" s="11">
        <f t="shared" si="19"/>
        <v>0</v>
      </c>
      <c r="W87" s="11">
        <f t="shared" si="19"/>
        <v>-15256</v>
      </c>
      <c r="X87" s="11">
        <f t="shared" si="19"/>
        <v>0</v>
      </c>
      <c r="Y87" s="11">
        <f t="shared" si="19"/>
        <v>60625</v>
      </c>
      <c r="Z87" s="11">
        <f t="shared" si="19"/>
        <v>8892</v>
      </c>
      <c r="AA87" s="11">
        <f t="shared" si="19"/>
        <v>0</v>
      </c>
      <c r="AB87" s="11">
        <f t="shared" si="19"/>
        <v>0</v>
      </c>
      <c r="AC87" s="12">
        <f t="shared" si="19"/>
        <v>-5432092</v>
      </c>
    </row>
    <row r="88" spans="1:29" ht="13.5" thickBot="1" x14ac:dyDescent="0.3">
      <c r="A88" s="60"/>
      <c r="B88" s="22" t="s">
        <v>71</v>
      </c>
      <c r="C88" s="50">
        <f t="shared" ref="C88:J88" si="30">C8+C44+C67+C87+C62</f>
        <v>1791297753</v>
      </c>
      <c r="D88" s="50">
        <f t="shared" si="30"/>
        <v>254644023</v>
      </c>
      <c r="E88" s="50">
        <f t="shared" si="30"/>
        <v>352410813</v>
      </c>
      <c r="F88" s="50">
        <f t="shared" si="30"/>
        <v>287641844.995</v>
      </c>
      <c r="G88" s="50">
        <f t="shared" si="30"/>
        <v>130893403</v>
      </c>
      <c r="H88" s="50">
        <f t="shared" si="30"/>
        <v>173481150</v>
      </c>
      <c r="I88" s="50">
        <f t="shared" si="30"/>
        <v>100278125</v>
      </c>
      <c r="J88" s="50">
        <f t="shared" si="30"/>
        <v>52902437</v>
      </c>
      <c r="K88" s="51">
        <f t="shared" si="26"/>
        <v>3143549548.9949999</v>
      </c>
      <c r="L88" s="50">
        <f t="shared" ref="L88:S88" si="31">L8+L44+L67+L87+L62</f>
        <v>1788477108</v>
      </c>
      <c r="M88" s="50">
        <f t="shared" si="31"/>
        <v>254692879</v>
      </c>
      <c r="N88" s="50">
        <f t="shared" si="31"/>
        <v>362063656</v>
      </c>
      <c r="O88" s="50">
        <f t="shared" si="31"/>
        <v>290802816.995</v>
      </c>
      <c r="P88" s="50">
        <f t="shared" si="31"/>
        <v>134642706</v>
      </c>
      <c r="Q88" s="50">
        <f t="shared" si="31"/>
        <v>182930042</v>
      </c>
      <c r="R88" s="50">
        <f t="shared" si="31"/>
        <v>102922900</v>
      </c>
      <c r="S88" s="50">
        <f t="shared" si="31"/>
        <v>54729177</v>
      </c>
      <c r="T88" s="51">
        <f t="shared" si="27"/>
        <v>3171261284.9949999</v>
      </c>
      <c r="U88" s="23">
        <f t="shared" si="19"/>
        <v>-2820645</v>
      </c>
      <c r="V88" s="23">
        <f t="shared" si="19"/>
        <v>48856</v>
      </c>
      <c r="W88" s="23">
        <f t="shared" si="19"/>
        <v>9652843</v>
      </c>
      <c r="X88" s="23">
        <f t="shared" si="19"/>
        <v>3160972</v>
      </c>
      <c r="Y88" s="23">
        <f t="shared" si="19"/>
        <v>3749303</v>
      </c>
      <c r="Z88" s="23">
        <f t="shared" si="19"/>
        <v>9448892</v>
      </c>
      <c r="AA88" s="23">
        <f t="shared" si="19"/>
        <v>2644775</v>
      </c>
      <c r="AB88" s="23">
        <f t="shared" si="19"/>
        <v>1826740</v>
      </c>
      <c r="AC88" s="24">
        <f t="shared" si="19"/>
        <v>27711736</v>
      </c>
    </row>
  </sheetData>
  <mergeCells count="7">
    <mergeCell ref="H1:K1"/>
    <mergeCell ref="H2:K2"/>
    <mergeCell ref="H3:K3"/>
    <mergeCell ref="L6:T6"/>
    <mergeCell ref="U6:AC6"/>
    <mergeCell ref="C6:K6"/>
    <mergeCell ref="C4:K4"/>
  </mergeCells>
  <printOptions horizontalCentered="1"/>
  <pageMargins left="0.39370078740157483" right="0.15748031496062992" top="0.39370078740157483" bottom="0.39370078740157483" header="0" footer="0"/>
  <pageSetup paperSize="9" scale="58" firstPageNumber="14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 к Приложению № 2</vt:lpstr>
      <vt:lpstr>'С к Приложению № 2'!Заголовки_для_печати</vt:lpstr>
      <vt:lpstr>'С к Приложению № 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2021-11-01T15:07:31Z</dcterms:modified>
</cp:coreProperties>
</file>