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 8 (192)" sheetId="5" r:id="rId1"/>
    <sheet name="аналитика" sheetId="6" r:id="rId2"/>
  </sheets>
  <definedNames>
    <definedName name="_xlnm.Print_Area" localSheetId="1">аналитика!$A$1:$S$35</definedName>
    <definedName name="_xlnm.Print_Area" localSheetId="0">'Приложение № 8 (192)'!$A$1:$S$43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2" i="5" l="1"/>
  <c r="S21" i="5" l="1"/>
  <c r="S20" i="5" l="1"/>
  <c r="S18" i="5"/>
  <c r="S34" i="6" l="1"/>
  <c r="AN34" i="6" s="1"/>
  <c r="AN33" i="6"/>
  <c r="AN32" i="6"/>
  <c r="AN31" i="6"/>
  <c r="AM30" i="6"/>
  <c r="AK30" i="6"/>
  <c r="S30" i="6"/>
  <c r="AN30" i="6" s="1"/>
  <c r="BD29" i="6"/>
  <c r="BB29" i="6"/>
  <c r="BA29" i="6"/>
  <c r="AX29" i="6"/>
  <c r="AW29" i="6"/>
  <c r="AV29" i="6"/>
  <c r="AR29" i="6"/>
  <c r="AQ29" i="6"/>
  <c r="AP29" i="6"/>
  <c r="AO29" i="6"/>
  <c r="AH29" i="6"/>
  <c r="AB29" i="6"/>
  <c r="AT29" i="6" s="1"/>
  <c r="M29" i="6"/>
  <c r="AY29" i="6" s="1"/>
  <c r="I29" i="6"/>
  <c r="AU29" i="6" s="1"/>
  <c r="H29" i="6"/>
  <c r="G29" i="6"/>
  <c r="AS29" i="6" s="1"/>
  <c r="BD28" i="6"/>
  <c r="BB28" i="6"/>
  <c r="BA28" i="6"/>
  <c r="AX28" i="6"/>
  <c r="AW28" i="6"/>
  <c r="AV28" i="6"/>
  <c r="AR28" i="6"/>
  <c r="AQ28" i="6"/>
  <c r="AP28" i="6"/>
  <c r="AO28" i="6"/>
  <c r="AH28" i="6"/>
  <c r="AZ28" i="6" s="1"/>
  <c r="N28" i="6"/>
  <c r="Q28" i="6" s="1"/>
  <c r="S28" i="6" s="1"/>
  <c r="M28" i="6"/>
  <c r="AY28" i="6" s="1"/>
  <c r="I28" i="6"/>
  <c r="AU28" i="6" s="1"/>
  <c r="G28" i="6"/>
  <c r="AS28" i="6" s="1"/>
  <c r="BD27" i="6"/>
  <c r="BB27" i="6"/>
  <c r="BA27" i="6"/>
  <c r="AX27" i="6"/>
  <c r="AW27" i="6"/>
  <c r="AV27" i="6"/>
  <c r="AR27" i="6"/>
  <c r="AQ27" i="6"/>
  <c r="AP27" i="6"/>
  <c r="AO27" i="6"/>
  <c r="AK27" i="6"/>
  <c r="AH27" i="6"/>
  <c r="AB27" i="6"/>
  <c r="AT27" i="6" s="1"/>
  <c r="M27" i="6"/>
  <c r="AY27" i="6" s="1"/>
  <c r="I27" i="6"/>
  <c r="AU27" i="6" s="1"/>
  <c r="H27" i="6"/>
  <c r="G27" i="6"/>
  <c r="AS27" i="6" s="1"/>
  <c r="BD26" i="6"/>
  <c r="BB26" i="6"/>
  <c r="BA26" i="6"/>
  <c r="AX26" i="6"/>
  <c r="AW26" i="6"/>
  <c r="AV26" i="6"/>
  <c r="AR26" i="6"/>
  <c r="AQ26" i="6"/>
  <c r="AP26" i="6"/>
  <c r="AO26" i="6"/>
  <c r="AH26" i="6"/>
  <c r="AZ26" i="6" s="1"/>
  <c r="N26" i="6"/>
  <c r="Q26" i="6" s="1"/>
  <c r="S26" i="6" s="1"/>
  <c r="M26" i="6"/>
  <c r="AY26" i="6" s="1"/>
  <c r="I26" i="6"/>
  <c r="AU26" i="6" s="1"/>
  <c r="G26" i="6"/>
  <c r="AS26" i="6" s="1"/>
  <c r="BD25" i="6"/>
  <c r="BB25" i="6"/>
  <c r="BA25" i="6"/>
  <c r="AX25" i="6"/>
  <c r="AW25" i="6"/>
  <c r="AV25" i="6"/>
  <c r="AR25" i="6"/>
  <c r="AQ25" i="6"/>
  <c r="AP25" i="6"/>
  <c r="AO25" i="6"/>
  <c r="AK25" i="6"/>
  <c r="AH25" i="6"/>
  <c r="AB25" i="6"/>
  <c r="AT25" i="6" s="1"/>
  <c r="M25" i="6"/>
  <c r="AY25" i="6" s="1"/>
  <c r="I25" i="6"/>
  <c r="AU25" i="6" s="1"/>
  <c r="H25" i="6"/>
  <c r="G25" i="6"/>
  <c r="AS25" i="6" s="1"/>
  <c r="BD24" i="6"/>
  <c r="BB24" i="6"/>
  <c r="BA24" i="6"/>
  <c r="AX24" i="6"/>
  <c r="AW24" i="6"/>
  <c r="AV24" i="6"/>
  <c r="AS24" i="6"/>
  <c r="AR24" i="6"/>
  <c r="AQ24" i="6"/>
  <c r="AP24" i="6"/>
  <c r="AO24" i="6"/>
  <c r="AH24" i="6"/>
  <c r="AZ24" i="6" s="1"/>
  <c r="N24" i="6"/>
  <c r="Q24" i="6" s="1"/>
  <c r="S24" i="6" s="1"/>
  <c r="M24" i="6"/>
  <c r="AY24" i="6" s="1"/>
  <c r="I24" i="6"/>
  <c r="AU24" i="6" s="1"/>
  <c r="BD23" i="6"/>
  <c r="BB23" i="6"/>
  <c r="BA23" i="6"/>
  <c r="AX23" i="6"/>
  <c r="AW23" i="6"/>
  <c r="AV23" i="6"/>
  <c r="AS23" i="6"/>
  <c r="AR23" i="6"/>
  <c r="AQ23" i="6"/>
  <c r="AP23" i="6"/>
  <c r="AO23" i="6"/>
  <c r="AH23" i="6"/>
  <c r="AZ23" i="6" s="1"/>
  <c r="N23" i="6"/>
  <c r="Q23" i="6" s="1"/>
  <c r="S23" i="6" s="1"/>
  <c r="M23" i="6"/>
  <c r="AY23" i="6" s="1"/>
  <c r="I23" i="6"/>
  <c r="AU23" i="6" s="1"/>
  <c r="BD22" i="6"/>
  <c r="BB22" i="6"/>
  <c r="BA22" i="6"/>
  <c r="AY22" i="6"/>
  <c r="AX22" i="6"/>
  <c r="AW22" i="6"/>
  <c r="AV22" i="6"/>
  <c r="AS22" i="6"/>
  <c r="AR22" i="6"/>
  <c r="AQ22" i="6"/>
  <c r="AP22" i="6"/>
  <c r="AO22" i="6"/>
  <c r="AH22" i="6"/>
  <c r="AZ22" i="6" s="1"/>
  <c r="N22" i="6"/>
  <c r="Q22" i="6" s="1"/>
  <c r="M22" i="6"/>
  <c r="I22" i="6"/>
  <c r="AU22" i="6" s="1"/>
  <c r="AQ21" i="6"/>
  <c r="AP21" i="6"/>
  <c r="AO21" i="6"/>
  <c r="AL21" i="6"/>
  <c r="BD21" i="6" s="1"/>
  <c r="AJ21" i="6"/>
  <c r="BB21" i="6" s="1"/>
  <c r="AI21" i="6"/>
  <c r="BA21" i="6" s="1"/>
  <c r="AH21" i="6"/>
  <c r="AG21" i="6"/>
  <c r="AY21" i="6" s="1"/>
  <c r="AF21" i="6"/>
  <c r="AX21" i="6" s="1"/>
  <c r="AE21" i="6"/>
  <c r="AW21" i="6" s="1"/>
  <c r="AD21" i="6"/>
  <c r="AV21" i="6" s="1"/>
  <c r="AC21" i="6"/>
  <c r="AU21" i="6" s="1"/>
  <c r="AA21" i="6"/>
  <c r="AS21" i="6" s="1"/>
  <c r="Z21" i="6"/>
  <c r="AR21" i="6" s="1"/>
  <c r="R21" i="6"/>
  <c r="P21" i="6"/>
  <c r="O21" i="6"/>
  <c r="M21" i="6"/>
  <c r="L21" i="6"/>
  <c r="K21" i="6"/>
  <c r="J21" i="6"/>
  <c r="I21" i="6"/>
  <c r="G21" i="6"/>
  <c r="F21" i="6"/>
  <c r="AK15" i="6"/>
  <c r="AN14" i="6"/>
  <c r="S14" i="6"/>
  <c r="AN13" i="6"/>
  <c r="S12" i="6"/>
  <c r="AN12" i="6" s="1"/>
  <c r="AN11" i="6"/>
  <c r="AM10" i="6"/>
  <c r="AL10" i="6"/>
  <c r="AK10" i="6"/>
  <c r="S10" i="6"/>
  <c r="AN9" i="6"/>
  <c r="AN8" i="6"/>
  <c r="AM8" i="6"/>
  <c r="AM7" i="6"/>
  <c r="AL7" i="6"/>
  <c r="AK7" i="6"/>
  <c r="S7" i="6"/>
  <c r="AN7" i="6" s="1"/>
  <c r="S41" i="5"/>
  <c r="M28" i="5"/>
  <c r="S22" i="6" l="1"/>
  <c r="AN10" i="6"/>
  <c r="H22" i="6"/>
  <c r="AB22" i="6"/>
  <c r="AK22" i="6"/>
  <c r="H23" i="6"/>
  <c r="AB23" i="6"/>
  <c r="AK23" i="6"/>
  <c r="H24" i="6"/>
  <c r="AB24" i="6"/>
  <c r="AT24" i="6" s="1"/>
  <c r="AK24" i="6"/>
  <c r="N25" i="6"/>
  <c r="AM25" i="6"/>
  <c r="H26" i="6"/>
  <c r="AB26" i="6"/>
  <c r="AK26" i="6"/>
  <c r="N27" i="6"/>
  <c r="Q27" i="6" s="1"/>
  <c r="S27" i="6" s="1"/>
  <c r="AM27" i="6"/>
  <c r="BE27" i="6" s="1"/>
  <c r="H28" i="6"/>
  <c r="AB28" i="6"/>
  <c r="AT28" i="6" s="1"/>
  <c r="AK28" i="6"/>
  <c r="N29" i="6"/>
  <c r="Q29" i="6" s="1"/>
  <c r="S29" i="6" s="1"/>
  <c r="AK29" i="6"/>
  <c r="M35" i="5"/>
  <c r="M34" i="5"/>
  <c r="M33" i="5"/>
  <c r="M32" i="5"/>
  <c r="M31" i="5"/>
  <c r="M30" i="5"/>
  <c r="M29" i="5"/>
  <c r="I35" i="5"/>
  <c r="H35" i="5" s="1"/>
  <c r="I34" i="5"/>
  <c r="H34" i="5" s="1"/>
  <c r="I33" i="5"/>
  <c r="H33" i="5" s="1"/>
  <c r="I32" i="5"/>
  <c r="H32" i="5" s="1"/>
  <c r="I31" i="5"/>
  <c r="H31" i="5" s="1"/>
  <c r="I30" i="5"/>
  <c r="H30" i="5" s="1"/>
  <c r="I29" i="5"/>
  <c r="H29" i="5" s="1"/>
  <c r="I28" i="5"/>
  <c r="H28" i="5" s="1"/>
  <c r="G35" i="5"/>
  <c r="G34" i="5"/>
  <c r="G33" i="5"/>
  <c r="G32" i="5"/>
  <c r="G31" i="5"/>
  <c r="Q25" i="6" l="1"/>
  <c r="N21" i="6"/>
  <c r="AZ21" i="6" s="1"/>
  <c r="BC23" i="6"/>
  <c r="AM23" i="6"/>
  <c r="AT22" i="6"/>
  <c r="AB21" i="6"/>
  <c r="BC27" i="6"/>
  <c r="AZ27" i="6"/>
  <c r="BC26" i="6"/>
  <c r="AM26" i="6"/>
  <c r="BC29" i="6"/>
  <c r="AM29" i="6"/>
  <c r="BE29" i="6" s="1"/>
  <c r="BC28" i="6"/>
  <c r="AM28" i="6"/>
  <c r="AN27" i="6"/>
  <c r="AT26" i="6"/>
  <c r="BC24" i="6"/>
  <c r="AM24" i="6"/>
  <c r="AT23" i="6"/>
  <c r="BC22" i="6"/>
  <c r="AM22" i="6"/>
  <c r="BE22" i="6" s="1"/>
  <c r="AK21" i="6"/>
  <c r="H21" i="6"/>
  <c r="AN22" i="6"/>
  <c r="AZ29" i="6"/>
  <c r="AZ25" i="6"/>
  <c r="R27" i="5"/>
  <c r="S13" i="5"/>
  <c r="AM21" i="6" l="1"/>
  <c r="BE24" i="6"/>
  <c r="AN24" i="6"/>
  <c r="AT21" i="6"/>
  <c r="BE23" i="6"/>
  <c r="AN23" i="6"/>
  <c r="BE28" i="6"/>
  <c r="AN28" i="6"/>
  <c r="BE26" i="6"/>
  <c r="AN26" i="6"/>
  <c r="AN29" i="6"/>
  <c r="S25" i="6"/>
  <c r="Q21" i="6"/>
  <c r="BC21" i="6" s="1"/>
  <c r="BC25" i="6"/>
  <c r="AM16" i="6" l="1"/>
  <c r="AM15" i="6" s="1"/>
  <c r="AN25" i="6"/>
  <c r="BE25" i="6"/>
  <c r="S21" i="6"/>
  <c r="S16" i="6" l="1"/>
  <c r="AN21" i="6"/>
  <c r="BE21" i="6"/>
  <c r="AN16" i="6" l="1"/>
  <c r="S15" i="6"/>
  <c r="AN15" i="6" l="1"/>
  <c r="S35" i="6"/>
  <c r="AN35" i="6" s="1"/>
  <c r="S36" i="5" l="1"/>
  <c r="S16" i="5" l="1"/>
  <c r="P27" i="5" l="1"/>
  <c r="O27" i="5"/>
  <c r="M27" i="5"/>
  <c r="L27" i="5"/>
  <c r="K27" i="5"/>
  <c r="J27" i="5"/>
  <c r="I27" i="5"/>
  <c r="G27" i="5"/>
  <c r="F27" i="5"/>
  <c r="N35" i="5"/>
  <c r="Q35" i="5" s="1"/>
  <c r="S35" i="5" s="1"/>
  <c r="N34" i="5"/>
  <c r="Q34" i="5" s="1"/>
  <c r="S34" i="5" s="1"/>
  <c r="N33" i="5"/>
  <c r="Q33" i="5" s="1"/>
  <c r="S33" i="5" s="1"/>
  <c r="N32" i="5"/>
  <c r="Q32" i="5" s="1"/>
  <c r="S32" i="5" s="1"/>
  <c r="N31" i="5"/>
  <c r="Q31" i="5" s="1"/>
  <c r="S31" i="5" s="1"/>
  <c r="N30" i="5"/>
  <c r="Q30" i="5" s="1"/>
  <c r="S30" i="5" s="1"/>
  <c r="N29" i="5"/>
  <c r="Q29" i="5" s="1"/>
  <c r="S29" i="5" s="1"/>
  <c r="N28" i="5"/>
  <c r="Q28" i="5" s="1"/>
  <c r="S28" i="5" l="1"/>
  <c r="Q27" i="5"/>
  <c r="S27" i="5"/>
  <c r="N27" i="5"/>
  <c r="S22" i="5" l="1"/>
  <c r="H27" i="5"/>
</calcChain>
</file>

<file path=xl/sharedStrings.xml><?xml version="1.0" encoding="utf-8"?>
<sst xmlns="http://schemas.openxmlformats.org/spreadsheetml/2006/main" count="241" uniqueCount="120">
  <si>
    <t>1</t>
  </si>
  <si>
    <t>№ п/п</t>
  </si>
  <si>
    <t>ДОХОДЫ ВСЕГО, в том числе:</t>
  </si>
  <si>
    <t>Налог с владельцев транспортных средств, уплачиваемый юридическими лицами</t>
  </si>
  <si>
    <t>Отчисления от налога на доходы организаций</t>
  </si>
  <si>
    <t>Отчисления от акцизного сбора на газ углеводородный сжиженный, реализуемый в качестве автомобильного топлива</t>
  </si>
  <si>
    <t>РАСХОДЫ ВСЕГО, в том числе:</t>
  </si>
  <si>
    <t xml:space="preserve">  "О республиканском бюджете на 2021 год"</t>
  </si>
  <si>
    <t>Доли для распределения государственными администрациями субсидий, направленных в местные бюджеты городов и районов</t>
  </si>
  <si>
    <t>Распределение средств для формирования программ развития дорожной отрасли, руб.</t>
  </si>
  <si>
    <t>Источники финансирования расходов по программам развития дорожной отрасли, руб.</t>
  </si>
  <si>
    <t>на государственные дороги</t>
  </si>
  <si>
    <t>на улично-дорожную сеть</t>
  </si>
  <si>
    <t>Всего</t>
  </si>
  <si>
    <t>по автомобильным дорогам общего пользования, находящимся в государственной собственности</t>
  </si>
  <si>
    <t>по автомобильным дорогам общего пользования, находящимся в муниципальной собственности</t>
  </si>
  <si>
    <t>г.Тирасполь</t>
  </si>
  <si>
    <t>г. Днестровск</t>
  </si>
  <si>
    <t>г. Бендеры</t>
  </si>
  <si>
    <t>Дубоссарский район и г. Дубоссары</t>
  </si>
  <si>
    <t>Каменский район и г. Каменка</t>
  </si>
  <si>
    <t xml:space="preserve">Рыбницкий район и г. Рыбница </t>
  </si>
  <si>
    <t xml:space="preserve">Слободзейский район и г. Слободзея </t>
  </si>
  <si>
    <t xml:space="preserve">Министерство экономического развития Приднестровской Молдавской Республики </t>
  </si>
  <si>
    <t>Итого расходы за счет средств                                                                     Дорожного фонда ПМР,  руб.</t>
  </si>
  <si>
    <t>Приложение № 8</t>
  </si>
  <si>
    <t>к  Закону Приднестровской Молдавской Республики</t>
  </si>
  <si>
    <t>Доля для распределения  иных поступлений в Дорожный фонд ПМР</t>
  </si>
  <si>
    <t>Всего субсидий на исполнение программ развития дорожной отрасли, руб.</t>
  </si>
  <si>
    <t>Распределение субсидий на обустройство мест стоянки, парковки</t>
  </si>
  <si>
    <t>Доля количества зарегистрированных транспортных средств по городам (районам)</t>
  </si>
  <si>
    <t>1.1.</t>
  </si>
  <si>
    <t>налог с владельцев   транспортных средств</t>
  </si>
  <si>
    <t>ВСЕГО</t>
  </si>
  <si>
    <t xml:space="preserve"> в том числе</t>
  </si>
  <si>
    <t>на формирование программ развития дорожной отрасли</t>
  </si>
  <si>
    <t>на ремонт и реконструкцию тротуаров</t>
  </si>
  <si>
    <t xml:space="preserve">на благоустройство территорий образовательных  и соц.-культ учреждений </t>
  </si>
  <si>
    <t xml:space="preserve">Основные характеристики Дорожного фонда Приднестровской Молдавской Республики на 2021 год </t>
  </si>
  <si>
    <t>иные поступления в Дорожный фонд</t>
  </si>
  <si>
    <t>2.2</t>
  </si>
  <si>
    <t>Субсидии на цели финансирования обустройства мест стоянки, парковки, руб.</t>
  </si>
  <si>
    <t>Наименование государственной администрации</t>
  </si>
  <si>
    <t>Григориопольский район и                                      г. Григориополь</t>
  </si>
  <si>
    <t>(руб.)</t>
  </si>
  <si>
    <t>ОСТАТОК ВСЕГО, в том числе:</t>
  </si>
  <si>
    <t>Остаток на счете Дорожного фонда ПМР по состоянию на 01.01.2021г.</t>
  </si>
  <si>
    <t>2</t>
  </si>
  <si>
    <t>2.1</t>
  </si>
  <si>
    <t>2.3</t>
  </si>
  <si>
    <t>2.4</t>
  </si>
  <si>
    <t>3.1.1</t>
  </si>
  <si>
    <t>3.1</t>
  </si>
  <si>
    <t>3.1.2</t>
  </si>
  <si>
    <t>3.1.3</t>
  </si>
  <si>
    <t>3.1.4</t>
  </si>
  <si>
    <t>3.1.5</t>
  </si>
  <si>
    <t>3.1.6</t>
  </si>
  <si>
    <t>3.1.7</t>
  </si>
  <si>
    <t>3.1.8</t>
  </si>
  <si>
    <t>3.1.9</t>
  </si>
  <si>
    <t>а)</t>
  </si>
  <si>
    <t>капитальный ремонт путепровода по ул. Котовского - ул. Панина</t>
  </si>
  <si>
    <t>б)</t>
  </si>
  <si>
    <t>расширение участков автодорог в районе ул. Котовского и ул. Суворова</t>
  </si>
  <si>
    <t>в)</t>
  </si>
  <si>
    <t>3.2</t>
  </si>
  <si>
    <t>усиление подпорных стенок на пересечении ул. Коммунистической с железной дорогой (в районе ЗАО "Флоаре")</t>
  </si>
  <si>
    <t>Отчисления от единого таможенного платежа в размере 13,19%</t>
  </si>
  <si>
    <t>Остаток  средств Дорожного фонда ПМР на счетах Республиканского бюджета по состоянию на 01.01.2021г.</t>
  </si>
  <si>
    <t>1.2.</t>
  </si>
  <si>
    <t>Остаток субсидий на развитие дорожной отрасли ПМР на счетах местных бюджетов  по состоянию на 01.01.2021г.</t>
  </si>
  <si>
    <t>Расходы  местных бюджетов на исполнение программ развития дорожной отрасли с учетом остатков на счетах местных бюджетов  по состоянию на 01.01.2021г.</t>
  </si>
  <si>
    <t>3.3</t>
  </si>
  <si>
    <t>РАСХОДЫ ВСЕГО</t>
  </si>
  <si>
    <t>Остаток на счетах местных бюджетов по состоянию на 01.01.2021г., руб.</t>
  </si>
  <si>
    <t>Итого расходы за счет средств Дорожного фонда,  с учетом остатков на счетах местных бюджетов  по состоянию на 01.01.2021г. руб.</t>
  </si>
  <si>
    <t>доля количества зарегистрированных транспортных средств по городам (районам)</t>
  </si>
  <si>
    <t>субсидии на цели финансирования обустройства мест стоянки, парковки, руб.</t>
  </si>
  <si>
    <t>Дубоссарский район и                       г. Дубоссары</t>
  </si>
  <si>
    <t>Каменский район и                               г. Каменка</t>
  </si>
  <si>
    <t xml:space="preserve">Рыбницкий район и                             г. Рыбница </t>
  </si>
  <si>
    <t xml:space="preserve">Слободзейский район и                            г. Слободзея </t>
  </si>
  <si>
    <t>ИТОГО:</t>
  </si>
  <si>
    <r>
      <t>Целевые субсидии государственной администрации города Бендеры</t>
    </r>
    <r>
      <rPr>
        <sz val="10"/>
        <rFont val="Times New Roman"/>
        <family val="1"/>
        <charset val="204"/>
      </rPr>
      <t xml:space="preserve"> (в размере 1,4361 % поступлений Дорожного фонда ПМР (за исключением налога с владельцев транспортных средств) и остатка на счете Дорожного фонда ПМР по состоянию на 01.01.2021 г.), в том числе:</t>
    </r>
  </si>
  <si>
    <t>для перечисления 0,8629%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 собственности</t>
  </si>
  <si>
    <r>
      <t xml:space="preserve">Источник расходов на цели реализации с 1 апреля 2021 года решений по повышению заработной платы работников бюджетной сферы и пенсий </t>
    </r>
    <r>
      <rPr>
        <sz val="10"/>
        <rFont val="Times New Roman"/>
        <family val="1"/>
        <charset val="204"/>
      </rPr>
      <t xml:space="preserve">(в размере 19,1825 % поступлений Дорожного фонда ПМР (за исключением налога с владельцев транспортных средств)) </t>
    </r>
  </si>
  <si>
    <t>1.1</t>
  </si>
  <si>
    <t>1.2</t>
  </si>
  <si>
    <t>Остаток субсидий на развитие дорожной отрасли ПМР на счетах местных бюджетов по состоянию на 01.01.2021г.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</si>
  <si>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</si>
  <si>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</si>
  <si>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</si>
  <si>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</si>
  <si>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</si>
  <si>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</si>
  <si>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</si>
  <si>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</si>
  <si>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3.1.2.1</t>
  </si>
  <si>
    <t>3.1.2.2</t>
  </si>
  <si>
    <t>3.1.2.3</t>
  </si>
  <si>
    <t>Всего субсидий, в том числе:</t>
  </si>
  <si>
    <r>
      <t xml:space="preserve">Источник расходов на цели реализации с 1 апреля 2021 года решений по повышению заработной платы работников бюджетной сферы и пенсий </t>
    </r>
    <r>
      <rPr>
        <sz val="12"/>
        <rFont val="Times New Roman"/>
        <family val="1"/>
        <charset val="204"/>
      </rPr>
      <t xml:space="preserve">(в размере 19,1825 % поступлений Дорожного фонда ПМР (за исключением налога с владельцев транспортных средств)) </t>
    </r>
  </si>
  <si>
    <t>для перечисления 0,8629%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 собственности, и экспертизе проектно-сметной документации</t>
  </si>
  <si>
    <r>
      <t xml:space="preserve">Целевые субсидии государственной администрации города Бендеры </t>
    </r>
    <r>
      <rPr>
        <sz val="12"/>
        <rFont val="Times New Roman"/>
        <family val="1"/>
        <charset val="204"/>
      </rPr>
      <t>(в размере 1,4361 % поступлений Дорожного фонда ПМР (за исключением налога с владельцев транспортных средств) и остатка на счете Дорожного фонда ПМР по состоянию на 01.01.2021 г.),</t>
    </r>
    <r>
      <rPr>
        <b/>
        <sz val="12"/>
        <rFont val="Times New Roman"/>
        <family val="1"/>
        <charset val="204"/>
      </rPr>
      <t xml:space="preserve"> в том числе:</t>
    </r>
  </si>
  <si>
    <t>Доля для распределения  иных поступлений в Дорожный фонд  ПМР</t>
  </si>
  <si>
    <t>Расходы местных бюджетов на исполнение программ развития дорожной отрасли с учетом остатков на счетах местных бюджетов  по состоянию на 01.01.2021г.</t>
  </si>
  <si>
    <t>3.1.2.4</t>
  </si>
  <si>
    <t>5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</si>
  <si>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</si>
  <si>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</si>
  <si>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</si>
  <si>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"О республиканском бюджете на 2021 год"</t>
  </si>
  <si>
    <t>Приложение № 22</t>
  </si>
  <si>
    <t xml:space="preserve">на благоустройство территорий образовательных  и соц.-культ. учреждений </t>
  </si>
  <si>
    <r>
      <t xml:space="preserve">Целевые субсидии государственной администрации города Бендеры </t>
    </r>
    <r>
      <rPr>
        <sz val="12"/>
        <rFont val="Times New Roman"/>
        <family val="1"/>
        <charset val="204"/>
      </rPr>
      <t>(в размере 10,2633 % поступлений Дорожного фонда ПМР (за исключением налога с владельцев транспортных средств) и остатка на счете Дорожного фонда ПМР по состоянию на 01.01.2021 г.),</t>
    </r>
    <r>
      <rPr>
        <b/>
        <sz val="12"/>
        <rFont val="Times New Roman"/>
        <family val="1"/>
        <charset val="204"/>
      </rPr>
      <t xml:space="preserve"> в том числе:</t>
    </r>
  </si>
  <si>
    <t>для перечисления 0,8551% поступлений Дорожного фонда ПМР (за исключением налога с владельцев транспортных средств) на проведение работ по  обследованию мостовых сооружений и на выполнение проектно-изыскательских работ, связанных с содержанием, ремонтом и развитием (строительством, реконструкцией) автомобильных дорог общего пользования и их составных частей, находящихся в государственной и муниципально собственности, и экспертизе проектно-сметной документации</t>
  </si>
  <si>
    <r>
      <t xml:space="preserve">Источник расходов на цели реализации с 1 апреля 2021 года решений по повышению заработной платы работников бюджетной сферы и пенсий </t>
    </r>
    <r>
      <rPr>
        <sz val="12"/>
        <rFont val="Times New Roman"/>
        <family val="1"/>
        <charset val="204"/>
      </rPr>
      <t xml:space="preserve">(в размере 10,7899 % поступлений Дорожного фонда ПМР (за исключением налога с владельцев транспортных средств)) </t>
    </r>
  </si>
  <si>
    <t>Резерв Дорожного фонда Приднестровской Молдавской Республики</t>
  </si>
  <si>
    <t>улучшение транспортной инфраструктуры в районе повышенного режима безопасности г. Бендеры и населенных пунктов Гыска, Протягайловка, Варница и микрорайона 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</si>
</sst>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3" fontId="2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4" xfId="0" applyFont="1" applyFill="1" applyBorder="1" applyAlignment="1">
      <alignment horizontal="left" vertical="center" wrapText="1"/>
    </xf>
    <xf numFmtId="10" fontId="2" fillId="0" borderId="14" xfId="0" applyNumberFormat="1" applyFont="1" applyFill="1" applyBorder="1" applyAlignment="1">
      <alignment horizontal="right" vertical="center" wrapText="1"/>
    </xf>
    <xf numFmtId="10" fontId="2" fillId="0" borderId="14" xfId="1" applyNumberFormat="1" applyFont="1" applyFill="1" applyBorder="1" applyAlignment="1">
      <alignment horizontal="right" vertical="center" wrapText="1"/>
    </xf>
    <xf numFmtId="3" fontId="2" fillId="0" borderId="14" xfId="0" applyNumberFormat="1" applyFont="1" applyFill="1" applyBorder="1" applyAlignment="1">
      <alignment horizontal="right" vertical="center" wrapText="1"/>
    </xf>
    <xf numFmtId="3" fontId="2" fillId="0" borderId="25" xfId="0" applyNumberFormat="1" applyFont="1" applyFill="1" applyBorder="1" applyAlignment="1">
      <alignment horizontal="right"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right" vertical="center" wrapText="1"/>
    </xf>
    <xf numFmtId="10" fontId="2" fillId="0" borderId="1" xfId="1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vertical="center" wrapText="1"/>
    </xf>
    <xf numFmtId="3" fontId="2" fillId="0" borderId="12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right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3" fontId="6" fillId="0" borderId="6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right" vertical="center" wrapText="1"/>
    </xf>
    <xf numFmtId="10" fontId="7" fillId="0" borderId="1" xfId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10" fontId="3" fillId="0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17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0" fontId="3" fillId="0" borderId="22" xfId="0" applyFont="1" applyFill="1" applyBorder="1" applyAlignment="1">
      <alignment vertical="center" wrapText="1"/>
    </xf>
    <xf numFmtId="3" fontId="3" fillId="0" borderId="23" xfId="0" applyNumberFormat="1" applyFont="1" applyFill="1" applyBorder="1" applyAlignment="1">
      <alignment vertical="center" wrapText="1"/>
    </xf>
    <xf numFmtId="3" fontId="4" fillId="0" borderId="35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10" fontId="2" fillId="0" borderId="8" xfId="0" applyNumberFormat="1" applyFont="1" applyFill="1" applyBorder="1" applyAlignment="1">
      <alignment horizontal="right" vertical="center" wrapText="1"/>
    </xf>
    <xf numFmtId="10" fontId="2" fillId="0" borderId="8" xfId="1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Fill="1" applyBorder="1" applyAlignment="1">
      <alignment horizontal="right" vertical="center" wrapText="1"/>
    </xf>
    <xf numFmtId="3" fontId="2" fillId="0" borderId="34" xfId="0" applyNumberFormat="1" applyFont="1" applyFill="1" applyBorder="1" applyAlignment="1">
      <alignment horizontal="right" vertical="center" wrapText="1"/>
    </xf>
    <xf numFmtId="3" fontId="2" fillId="0" borderId="4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26" xfId="0" applyNumberFormat="1" applyFont="1" applyFill="1" applyBorder="1" applyAlignment="1">
      <alignment horizontal="left" vertical="center"/>
    </xf>
    <xf numFmtId="49" fontId="2" fillId="0" borderId="27" xfId="0" applyNumberFormat="1" applyFont="1" applyFill="1" applyBorder="1" applyAlignment="1">
      <alignment horizontal="left" vertical="center"/>
    </xf>
    <xf numFmtId="49" fontId="2" fillId="0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Fill="1" applyBorder="1" applyAlignment="1">
      <alignment horizontal="left" vertical="center"/>
    </xf>
    <xf numFmtId="49" fontId="2" fillId="0" borderId="30" xfId="0" applyNumberFormat="1" applyFont="1" applyFill="1" applyBorder="1" applyAlignment="1">
      <alignment horizontal="left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10" fontId="2" fillId="0" borderId="11" xfId="0" applyNumberFormat="1" applyFont="1" applyFill="1" applyBorder="1" applyAlignment="1">
      <alignment horizontal="right" vertical="center" wrapText="1"/>
    </xf>
    <xf numFmtId="10" fontId="2" fillId="0" borderId="11" xfId="1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2" fillId="0" borderId="33" xfId="0" applyNumberFormat="1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vertical="center" wrapText="1"/>
    </xf>
    <xf numFmtId="49" fontId="4" fillId="0" borderId="35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horizontal="left" vertical="center"/>
    </xf>
    <xf numFmtId="49" fontId="2" fillId="0" borderId="47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4" fillId="0" borderId="17" xfId="0" applyFont="1" applyFill="1" applyBorder="1" applyAlignment="1">
      <alignment horizontal="left" wrapText="1"/>
    </xf>
    <xf numFmtId="0" fontId="4" fillId="0" borderId="18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4" fillId="0" borderId="25" xfId="0" applyFont="1" applyFill="1" applyBorder="1" applyAlignment="1">
      <alignment horizontal="left" wrapText="1"/>
    </xf>
    <xf numFmtId="0" fontId="4" fillId="0" borderId="31" xfId="0" applyFont="1" applyFill="1" applyBorder="1" applyAlignment="1">
      <alignment horizontal="left" wrapText="1"/>
    </xf>
    <xf numFmtId="0" fontId="4" fillId="0" borderId="32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7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textRotation="90" wrapText="1"/>
    </xf>
    <xf numFmtId="49" fontId="2" fillId="0" borderId="22" xfId="0" applyNumberFormat="1" applyFont="1" applyFill="1" applyBorder="1" applyAlignment="1">
      <alignment horizontal="center" vertical="center" textRotation="90" wrapText="1"/>
    </xf>
    <xf numFmtId="49" fontId="2" fillId="0" borderId="24" xfId="0" applyNumberFormat="1" applyFont="1" applyFill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28" xfId="0" applyFont="1" applyFill="1" applyBorder="1" applyAlignment="1">
      <alignment horizontal="center" vertical="center" textRotation="90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right" wrapText="1"/>
    </xf>
    <xf numFmtId="49" fontId="3" fillId="0" borderId="0" xfId="0" applyNumberFormat="1" applyFont="1" applyFill="1" applyAlignment="1">
      <alignment horizontal="center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23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left" vertical="center" wrapText="1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textRotation="90" wrapText="1"/>
    </xf>
    <xf numFmtId="3" fontId="7" fillId="0" borderId="6" xfId="0" applyNumberFormat="1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view="pageBreakPreview" zoomScale="60" zoomScaleNormal="80" workbookViewId="0">
      <pane xSplit="1" ySplit="12" topLeftCell="B36" activePane="bottomRight" state="frozenSplit"/>
      <selection pane="topRight" activeCell="B1" sqref="B1"/>
      <selection pane="bottomLeft" activeCell="A14" sqref="A14"/>
      <selection pane="bottomRight" activeCell="B40" sqref="B40"/>
    </sheetView>
  </sheetViews>
  <sheetFormatPr defaultColWidth="11" defaultRowHeight="15.75" x14ac:dyDescent="0.25"/>
  <cols>
    <col min="1" max="1" width="8.42578125" style="27" customWidth="1"/>
    <col min="2" max="2" width="36.5703125" style="2" customWidth="1"/>
    <col min="3" max="6" width="11.140625" style="2" bestFit="1" customWidth="1"/>
    <col min="7" max="7" width="13" style="2" customWidth="1"/>
    <col min="8" max="8" width="13.7109375" style="2" customWidth="1"/>
    <col min="9" max="9" width="12.5703125" style="2" customWidth="1"/>
    <col min="10" max="10" width="12.7109375" style="2" customWidth="1"/>
    <col min="11" max="11" width="11.140625" style="2" bestFit="1" customWidth="1"/>
    <col min="12" max="12" width="13.28515625" style="2" customWidth="1"/>
    <col min="13" max="13" width="13.5703125" style="2" customWidth="1"/>
    <col min="14" max="14" width="13.28515625" style="2" customWidth="1"/>
    <col min="15" max="15" width="11.140625" style="2" bestFit="1" customWidth="1"/>
    <col min="16" max="16" width="10.7109375" style="2" customWidth="1"/>
    <col min="17" max="17" width="14.140625" style="2" customWidth="1"/>
    <col min="18" max="18" width="10.7109375" style="2" customWidth="1"/>
    <col min="19" max="19" width="13.5703125" style="2" customWidth="1"/>
    <col min="20" max="20" width="3.140625" style="2" customWidth="1"/>
    <col min="21" max="16384" width="11" style="2"/>
  </cols>
  <sheetData>
    <row r="1" spans="1:20" ht="16.5" x14ac:dyDescent="0.25">
      <c r="L1" s="117"/>
      <c r="M1" s="117"/>
      <c r="N1" s="117"/>
      <c r="O1" s="117"/>
      <c r="P1" s="117"/>
      <c r="Q1" s="117"/>
      <c r="R1" s="171" t="s">
        <v>113</v>
      </c>
      <c r="S1" s="171"/>
    </row>
    <row r="2" spans="1:20" ht="15.75" customHeight="1" x14ac:dyDescent="0.25">
      <c r="L2" s="117"/>
      <c r="M2" s="117"/>
      <c r="N2" s="117"/>
      <c r="O2" s="171" t="s">
        <v>109</v>
      </c>
      <c r="P2" s="171"/>
      <c r="Q2" s="171"/>
      <c r="R2" s="171"/>
      <c r="S2" s="171"/>
    </row>
    <row r="3" spans="1:20" ht="16.5" x14ac:dyDescent="0.25">
      <c r="L3" s="117"/>
      <c r="M3" s="117"/>
      <c r="N3" s="117"/>
      <c r="O3" s="117"/>
      <c r="P3" s="172" t="s">
        <v>110</v>
      </c>
      <c r="Q3" s="172"/>
      <c r="R3" s="172"/>
      <c r="S3" s="172"/>
    </row>
    <row r="4" spans="1:20" ht="16.5" customHeight="1" x14ac:dyDescent="0.25">
      <c r="L4" s="117"/>
      <c r="M4" s="117"/>
      <c r="N4" s="117"/>
      <c r="O4" s="172" t="s">
        <v>111</v>
      </c>
      <c r="P4" s="172"/>
      <c r="Q4" s="172"/>
      <c r="R4" s="172"/>
      <c r="S4" s="172"/>
    </row>
    <row r="5" spans="1:20" ht="16.5" x14ac:dyDescent="0.25">
      <c r="L5" s="117"/>
      <c r="M5" s="117"/>
      <c r="N5" s="117"/>
      <c r="O5" s="117"/>
      <c r="P5" s="170" t="s">
        <v>112</v>
      </c>
      <c r="Q5" s="170"/>
      <c r="R5" s="170"/>
      <c r="S5" s="170"/>
    </row>
    <row r="6" spans="1:20" ht="16.5" x14ac:dyDescent="0.25">
      <c r="L6" s="117"/>
      <c r="M6" s="117"/>
      <c r="N6" s="117"/>
      <c r="O6" s="117"/>
      <c r="P6" s="117"/>
      <c r="Q6" s="117"/>
      <c r="R6" s="117"/>
      <c r="S6" s="117"/>
    </row>
    <row r="7" spans="1:20" ht="15.75" customHeight="1" x14ac:dyDescent="0.25">
      <c r="A7" s="28"/>
      <c r="B7" s="1"/>
      <c r="C7" s="1"/>
      <c r="D7" s="1"/>
      <c r="E7" s="1"/>
      <c r="F7" s="1"/>
      <c r="G7" s="1"/>
      <c r="H7" s="1"/>
      <c r="I7" s="1"/>
      <c r="J7" s="1"/>
      <c r="K7" s="1"/>
      <c r="L7" s="165" t="s">
        <v>25</v>
      </c>
      <c r="M7" s="165"/>
      <c r="N7" s="165"/>
      <c r="O7" s="165"/>
      <c r="P7" s="165"/>
      <c r="Q7" s="165"/>
      <c r="R7" s="165"/>
      <c r="S7" s="165"/>
    </row>
    <row r="8" spans="1:20" ht="15.75" customHeight="1" x14ac:dyDescent="0.25">
      <c r="A8" s="28"/>
      <c r="B8" s="1"/>
      <c r="C8" s="1"/>
      <c r="D8" s="1"/>
      <c r="E8" s="1"/>
      <c r="F8" s="1"/>
      <c r="G8" s="1"/>
      <c r="H8" s="1"/>
      <c r="I8" s="1"/>
      <c r="J8" s="1"/>
      <c r="K8" s="1"/>
      <c r="L8" s="165" t="s">
        <v>26</v>
      </c>
      <c r="M8" s="165"/>
      <c r="N8" s="165"/>
      <c r="O8" s="165"/>
      <c r="P8" s="165"/>
      <c r="Q8" s="165"/>
      <c r="R8" s="165"/>
      <c r="S8" s="165"/>
    </row>
    <row r="9" spans="1:20" ht="15.75" customHeight="1" x14ac:dyDescent="0.25">
      <c r="A9" s="28"/>
      <c r="B9" s="1"/>
      <c r="C9" s="1"/>
      <c r="D9" s="1"/>
      <c r="E9" s="1"/>
      <c r="F9" s="1"/>
      <c r="G9" s="1"/>
      <c r="H9" s="1"/>
      <c r="I9" s="1"/>
      <c r="J9" s="1"/>
      <c r="K9" s="1"/>
      <c r="L9" s="165" t="s">
        <v>7</v>
      </c>
      <c r="M9" s="165"/>
      <c r="N9" s="165"/>
      <c r="O9" s="165"/>
      <c r="P9" s="165"/>
      <c r="Q9" s="165"/>
      <c r="R9" s="165"/>
      <c r="S9" s="165"/>
    </row>
    <row r="10" spans="1:20" ht="6.75" customHeight="1" x14ac:dyDescent="0.25">
      <c r="A10" s="28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3"/>
    </row>
    <row r="11" spans="1:20" ht="15" customHeight="1" x14ac:dyDescent="0.25">
      <c r="A11" s="166" t="s">
        <v>38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</row>
    <row r="12" spans="1:20" ht="16.5" thickBot="1" x14ac:dyDescent="0.3">
      <c r="A12" s="28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31" t="s">
        <v>44</v>
      </c>
    </row>
    <row r="13" spans="1:20" s="7" customFormat="1" x14ac:dyDescent="0.25">
      <c r="A13" s="5" t="s">
        <v>0</v>
      </c>
      <c r="B13" s="118" t="s">
        <v>45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  <c r="S13" s="6">
        <f>SUM(S14:S15)</f>
        <v>5711779</v>
      </c>
    </row>
    <row r="14" spans="1:20" ht="19.5" customHeight="1" x14ac:dyDescent="0.25">
      <c r="A14" s="32" t="s">
        <v>87</v>
      </c>
      <c r="B14" s="121" t="s">
        <v>46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3"/>
      <c r="S14" s="8">
        <v>4492529</v>
      </c>
    </row>
    <row r="15" spans="1:20" s="7" customFormat="1" ht="26.25" customHeight="1" thickBot="1" x14ac:dyDescent="0.3">
      <c r="A15" s="32" t="s">
        <v>88</v>
      </c>
      <c r="B15" s="124" t="s">
        <v>89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6"/>
      <c r="S15" s="8">
        <v>1219250</v>
      </c>
      <c r="T15" s="2"/>
    </row>
    <row r="16" spans="1:20" ht="21.75" customHeight="1" x14ac:dyDescent="0.25">
      <c r="A16" s="5" t="s">
        <v>47</v>
      </c>
      <c r="B16" s="118" t="s">
        <v>2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20"/>
      <c r="S16" s="6">
        <f>SUM(S17:S20)</f>
        <v>178397581</v>
      </c>
      <c r="T16" s="7"/>
    </row>
    <row r="17" spans="1:20" ht="24" customHeight="1" x14ac:dyDescent="0.25">
      <c r="A17" s="32" t="s">
        <v>48</v>
      </c>
      <c r="B17" s="121" t="s">
        <v>3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3"/>
      <c r="S17" s="8">
        <v>10981341</v>
      </c>
    </row>
    <row r="18" spans="1:20" ht="21" customHeight="1" x14ac:dyDescent="0.25">
      <c r="A18" s="32" t="s">
        <v>40</v>
      </c>
      <c r="B18" s="121" t="s">
        <v>4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  <c r="S18" s="8">
        <f>75870574+1686000-76556</f>
        <v>77480018</v>
      </c>
    </row>
    <row r="19" spans="1:20" ht="19.5" customHeight="1" x14ac:dyDescent="0.25">
      <c r="A19" s="32" t="s">
        <v>49</v>
      </c>
      <c r="B19" s="121" t="s">
        <v>5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3"/>
      <c r="S19" s="8">
        <v>473506</v>
      </c>
    </row>
    <row r="20" spans="1:20" s="11" customFormat="1" ht="24" customHeight="1" thickBot="1" x14ac:dyDescent="0.3">
      <c r="A20" s="111" t="s">
        <v>50</v>
      </c>
      <c r="B20" s="124" t="s">
        <v>68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6"/>
      <c r="S20" s="112">
        <f>87480248+380000+1602468</f>
        <v>89462716</v>
      </c>
      <c r="T20" s="2"/>
    </row>
    <row r="21" spans="1:20" s="13" customFormat="1" ht="21.75" customHeight="1" x14ac:dyDescent="0.25">
      <c r="A21" s="110">
        <v>3</v>
      </c>
      <c r="B21" s="127" t="s">
        <v>6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9"/>
      <c r="S21" s="71">
        <f>SUM(S22+S41)</f>
        <v>165561593</v>
      </c>
      <c r="T21" s="10"/>
    </row>
    <row r="22" spans="1:20" s="13" customFormat="1" ht="24" customHeight="1" x14ac:dyDescent="0.25">
      <c r="A22" s="30" t="s">
        <v>52</v>
      </c>
      <c r="B22" s="130" t="s">
        <v>106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2"/>
      <c r="S22" s="9">
        <f>S27+S36</f>
        <v>164130067</v>
      </c>
      <c r="T22" s="12"/>
    </row>
    <row r="23" spans="1:20" s="13" customFormat="1" ht="95.25" customHeight="1" x14ac:dyDescent="0.25">
      <c r="A23" s="133" t="s">
        <v>1</v>
      </c>
      <c r="B23" s="136" t="s">
        <v>42</v>
      </c>
      <c r="C23" s="136" t="s">
        <v>8</v>
      </c>
      <c r="D23" s="136"/>
      <c r="E23" s="136"/>
      <c r="F23" s="139" t="s">
        <v>105</v>
      </c>
      <c r="G23" s="142" t="s">
        <v>9</v>
      </c>
      <c r="H23" s="143"/>
      <c r="I23" s="143"/>
      <c r="J23" s="143"/>
      <c r="K23" s="144"/>
      <c r="L23" s="136" t="s">
        <v>10</v>
      </c>
      <c r="M23" s="136"/>
      <c r="N23" s="146" t="s">
        <v>28</v>
      </c>
      <c r="O23" s="142" t="s">
        <v>29</v>
      </c>
      <c r="P23" s="144"/>
      <c r="Q23" s="156" t="s">
        <v>24</v>
      </c>
      <c r="R23" s="140" t="s">
        <v>89</v>
      </c>
      <c r="S23" s="167" t="s">
        <v>24</v>
      </c>
      <c r="T23" s="12"/>
    </row>
    <row r="24" spans="1:20" s="13" customFormat="1" ht="58.5" customHeight="1" x14ac:dyDescent="0.25">
      <c r="A24" s="134"/>
      <c r="B24" s="137"/>
      <c r="C24" s="148" t="s">
        <v>11</v>
      </c>
      <c r="D24" s="148" t="s">
        <v>12</v>
      </c>
      <c r="E24" s="148" t="s">
        <v>13</v>
      </c>
      <c r="F24" s="140"/>
      <c r="G24" s="148" t="s">
        <v>14</v>
      </c>
      <c r="H24" s="150" t="s">
        <v>15</v>
      </c>
      <c r="I24" s="151"/>
      <c r="J24" s="151"/>
      <c r="K24" s="152"/>
      <c r="L24" s="148" t="s">
        <v>32</v>
      </c>
      <c r="M24" s="148" t="s">
        <v>39</v>
      </c>
      <c r="N24" s="146"/>
      <c r="O24" s="145" t="s">
        <v>30</v>
      </c>
      <c r="P24" s="145" t="s">
        <v>41</v>
      </c>
      <c r="Q24" s="157"/>
      <c r="R24" s="140"/>
      <c r="S24" s="168"/>
      <c r="T24" s="12"/>
    </row>
    <row r="25" spans="1:20" s="13" customFormat="1" ht="81" customHeight="1" x14ac:dyDescent="0.25">
      <c r="A25" s="134"/>
      <c r="B25" s="137"/>
      <c r="C25" s="140"/>
      <c r="D25" s="140"/>
      <c r="E25" s="140"/>
      <c r="F25" s="140"/>
      <c r="G25" s="140"/>
      <c r="H25" s="148" t="s">
        <v>33</v>
      </c>
      <c r="I25" s="150" t="s">
        <v>34</v>
      </c>
      <c r="J25" s="151"/>
      <c r="K25" s="152"/>
      <c r="L25" s="140"/>
      <c r="M25" s="140"/>
      <c r="N25" s="146"/>
      <c r="O25" s="146"/>
      <c r="P25" s="146"/>
      <c r="Q25" s="157"/>
      <c r="R25" s="140"/>
      <c r="S25" s="168"/>
      <c r="T25" s="12"/>
    </row>
    <row r="26" spans="1:20" s="13" customFormat="1" ht="162" thickBot="1" x14ac:dyDescent="0.3">
      <c r="A26" s="135"/>
      <c r="B26" s="138"/>
      <c r="C26" s="149"/>
      <c r="D26" s="149"/>
      <c r="E26" s="149"/>
      <c r="F26" s="141"/>
      <c r="G26" s="149"/>
      <c r="H26" s="149"/>
      <c r="I26" s="14" t="s">
        <v>35</v>
      </c>
      <c r="J26" s="14" t="s">
        <v>36</v>
      </c>
      <c r="K26" s="14" t="s">
        <v>114</v>
      </c>
      <c r="L26" s="149"/>
      <c r="M26" s="149"/>
      <c r="N26" s="147"/>
      <c r="O26" s="147"/>
      <c r="P26" s="147"/>
      <c r="Q26" s="158"/>
      <c r="R26" s="149"/>
      <c r="S26" s="169"/>
      <c r="T26" s="12"/>
    </row>
    <row r="27" spans="1:20" s="13" customFormat="1" x14ac:dyDescent="0.25">
      <c r="A27" s="72" t="s">
        <v>51</v>
      </c>
      <c r="B27" s="73" t="s">
        <v>101</v>
      </c>
      <c r="C27" s="74"/>
      <c r="D27" s="74"/>
      <c r="E27" s="74"/>
      <c r="F27" s="75">
        <f t="shared" ref="F27:S27" si="0">SUM(F28:F35)</f>
        <v>0.99999999999999989</v>
      </c>
      <c r="G27" s="76">
        <f t="shared" si="0"/>
        <v>53112812</v>
      </c>
      <c r="H27" s="76">
        <f t="shared" si="0"/>
        <v>84223547</v>
      </c>
      <c r="I27" s="76">
        <f t="shared" si="0"/>
        <v>64785589</v>
      </c>
      <c r="J27" s="76">
        <f t="shared" si="0"/>
        <v>13195252</v>
      </c>
      <c r="K27" s="76">
        <f t="shared" si="0"/>
        <v>6242706</v>
      </c>
      <c r="L27" s="76">
        <f t="shared" si="0"/>
        <v>10981341</v>
      </c>
      <c r="M27" s="76">
        <f t="shared" si="0"/>
        <v>126355018</v>
      </c>
      <c r="N27" s="76">
        <f t="shared" si="0"/>
        <v>137336359</v>
      </c>
      <c r="O27" s="75">
        <f t="shared" si="0"/>
        <v>1</v>
      </c>
      <c r="P27" s="77">
        <f t="shared" si="0"/>
        <v>3899545</v>
      </c>
      <c r="Q27" s="77">
        <f t="shared" si="0"/>
        <v>141235904</v>
      </c>
      <c r="R27" s="77">
        <f t="shared" si="0"/>
        <v>1219250</v>
      </c>
      <c r="S27" s="78">
        <f t="shared" si="0"/>
        <v>142455154</v>
      </c>
      <c r="T27" s="12"/>
    </row>
    <row r="28" spans="1:20" s="13" customFormat="1" x14ac:dyDescent="0.25">
      <c r="A28" s="29" t="s">
        <v>90</v>
      </c>
      <c r="B28" s="15" t="s">
        <v>16</v>
      </c>
      <c r="C28" s="16"/>
      <c r="D28" s="16">
        <v>1</v>
      </c>
      <c r="E28" s="16">
        <v>1</v>
      </c>
      <c r="F28" s="17">
        <v>0.1588</v>
      </c>
      <c r="G28" s="18">
        <v>0</v>
      </c>
      <c r="H28" s="18">
        <f>SUM(I28:K28)</f>
        <v>24943707</v>
      </c>
      <c r="I28" s="18">
        <f>19893105+380000+220602</f>
        <v>20493707</v>
      </c>
      <c r="J28" s="18">
        <v>2000000</v>
      </c>
      <c r="K28" s="18">
        <v>2450000</v>
      </c>
      <c r="L28" s="18">
        <v>4872967</v>
      </c>
      <c r="M28" s="18">
        <f>19470138+380000+220602</f>
        <v>20070740</v>
      </c>
      <c r="N28" s="19">
        <f>L28+M28</f>
        <v>24943707</v>
      </c>
      <c r="O28" s="16">
        <v>0.27539999999999998</v>
      </c>
      <c r="P28" s="18">
        <v>1073935</v>
      </c>
      <c r="Q28" s="19">
        <f>N28+P28</f>
        <v>26017642</v>
      </c>
      <c r="R28" s="19">
        <v>346001</v>
      </c>
      <c r="S28" s="20">
        <f>Q28+R28</f>
        <v>26363643</v>
      </c>
      <c r="T28" s="12"/>
    </row>
    <row r="29" spans="1:20" s="13" customFormat="1" x14ac:dyDescent="0.25">
      <c r="A29" s="29" t="s">
        <v>91</v>
      </c>
      <c r="B29" s="21" t="s">
        <v>17</v>
      </c>
      <c r="C29" s="22"/>
      <c r="D29" s="22">
        <v>1</v>
      </c>
      <c r="E29" s="22">
        <v>1</v>
      </c>
      <c r="F29" s="23">
        <v>4.7000000000000002E-3</v>
      </c>
      <c r="G29" s="24">
        <v>0</v>
      </c>
      <c r="H29" s="18">
        <f t="shared" ref="H29:H35" si="1">SUM(I29:K29)</f>
        <v>882642</v>
      </c>
      <c r="I29" s="18">
        <f>649268+6608</f>
        <v>655876</v>
      </c>
      <c r="J29" s="18">
        <v>150841</v>
      </c>
      <c r="K29" s="18">
        <v>75925</v>
      </c>
      <c r="L29" s="24">
        <v>290560</v>
      </c>
      <c r="M29" s="24">
        <f>585474+6608</f>
        <v>592082</v>
      </c>
      <c r="N29" s="19">
        <f t="shared" ref="N29:N35" si="2">L29+M29</f>
        <v>882642</v>
      </c>
      <c r="O29" s="22">
        <v>1.8700000000000001E-2</v>
      </c>
      <c r="P29" s="24">
        <v>72921</v>
      </c>
      <c r="Q29" s="19">
        <f t="shared" ref="Q29:Q35" si="3">N29+P29</f>
        <v>955563</v>
      </c>
      <c r="R29" s="19">
        <v>83605</v>
      </c>
      <c r="S29" s="20">
        <f t="shared" ref="S29:S35" si="4">Q29+R29</f>
        <v>1039168</v>
      </c>
      <c r="T29" s="12"/>
    </row>
    <row r="30" spans="1:20" s="13" customFormat="1" x14ac:dyDescent="0.25">
      <c r="A30" s="29" t="s">
        <v>92</v>
      </c>
      <c r="B30" s="21" t="s">
        <v>18</v>
      </c>
      <c r="C30" s="22"/>
      <c r="D30" s="22">
        <v>1</v>
      </c>
      <c r="E30" s="22">
        <v>1</v>
      </c>
      <c r="F30" s="23">
        <v>0.10920000000000001</v>
      </c>
      <c r="G30" s="24">
        <v>0</v>
      </c>
      <c r="H30" s="18">
        <f t="shared" si="1"/>
        <v>15302117</v>
      </c>
      <c r="I30" s="18">
        <f>8458108+154660</f>
        <v>8612768</v>
      </c>
      <c r="J30" s="18">
        <v>5289349</v>
      </c>
      <c r="K30" s="18">
        <v>1400000</v>
      </c>
      <c r="L30" s="24">
        <v>1507150</v>
      </c>
      <c r="M30" s="24">
        <f>13640307+154660</f>
        <v>13794967</v>
      </c>
      <c r="N30" s="19">
        <f t="shared" si="2"/>
        <v>15302117</v>
      </c>
      <c r="O30" s="22">
        <v>0.19539999999999999</v>
      </c>
      <c r="P30" s="24">
        <v>761971</v>
      </c>
      <c r="Q30" s="19">
        <f t="shared" si="3"/>
        <v>16064088</v>
      </c>
      <c r="R30" s="19">
        <v>203927</v>
      </c>
      <c r="S30" s="20">
        <f t="shared" si="4"/>
        <v>16268015</v>
      </c>
      <c r="T30" s="12"/>
    </row>
    <row r="31" spans="1:20" s="13" customFormat="1" ht="31.5" x14ac:dyDescent="0.25">
      <c r="A31" s="29" t="s">
        <v>93</v>
      </c>
      <c r="B31" s="21" t="s">
        <v>43</v>
      </c>
      <c r="C31" s="22">
        <v>0.47610000000000002</v>
      </c>
      <c r="D31" s="22">
        <v>0.52390000000000003</v>
      </c>
      <c r="E31" s="22">
        <v>1</v>
      </c>
      <c r="F31" s="23">
        <v>0.1207</v>
      </c>
      <c r="G31" s="24">
        <f>7353709+78587</f>
        <v>7432296</v>
      </c>
      <c r="H31" s="18">
        <f t="shared" si="1"/>
        <v>8178492</v>
      </c>
      <c r="I31" s="24">
        <f>5407415+86477</f>
        <v>5493892</v>
      </c>
      <c r="J31" s="24">
        <v>2154600</v>
      </c>
      <c r="K31" s="24">
        <v>530000</v>
      </c>
      <c r="L31" s="24">
        <v>360416</v>
      </c>
      <c r="M31" s="24">
        <f>15085308+165064</f>
        <v>15250372</v>
      </c>
      <c r="N31" s="19">
        <f t="shared" si="2"/>
        <v>15610788</v>
      </c>
      <c r="O31" s="22">
        <v>7.2300000000000003E-2</v>
      </c>
      <c r="P31" s="24">
        <v>281937</v>
      </c>
      <c r="Q31" s="19">
        <f t="shared" si="3"/>
        <v>15892725</v>
      </c>
      <c r="R31" s="19">
        <v>0</v>
      </c>
      <c r="S31" s="20">
        <f t="shared" si="4"/>
        <v>15892725</v>
      </c>
      <c r="T31" s="12"/>
    </row>
    <row r="32" spans="1:20" s="13" customFormat="1" ht="31.5" x14ac:dyDescent="0.25">
      <c r="A32" s="29" t="s">
        <v>94</v>
      </c>
      <c r="B32" s="25" t="s">
        <v>19</v>
      </c>
      <c r="C32" s="22">
        <v>0.53359999999999996</v>
      </c>
      <c r="D32" s="22">
        <v>0.46639999999999998</v>
      </c>
      <c r="E32" s="22">
        <v>1</v>
      </c>
      <c r="F32" s="23">
        <v>0.12740000000000001</v>
      </c>
      <c r="G32" s="24">
        <f>8925738+96331</f>
        <v>9022069</v>
      </c>
      <c r="H32" s="18">
        <f t="shared" si="1"/>
        <v>7885857</v>
      </c>
      <c r="I32" s="24">
        <f>6401658+84199</f>
        <v>6485857</v>
      </c>
      <c r="J32" s="24">
        <v>900000</v>
      </c>
      <c r="K32" s="24">
        <v>500000</v>
      </c>
      <c r="L32" s="24">
        <v>807475</v>
      </c>
      <c r="M32" s="24">
        <f>15919921+180530</f>
        <v>16100451</v>
      </c>
      <c r="N32" s="19">
        <f t="shared" si="2"/>
        <v>16907926</v>
      </c>
      <c r="O32" s="22">
        <v>7.9699999999999993E-2</v>
      </c>
      <c r="P32" s="24">
        <v>310794</v>
      </c>
      <c r="Q32" s="19">
        <f t="shared" si="3"/>
        <v>17218720</v>
      </c>
      <c r="R32" s="19">
        <v>20930</v>
      </c>
      <c r="S32" s="20">
        <f t="shared" si="4"/>
        <v>17239650</v>
      </c>
      <c r="T32" s="12"/>
    </row>
    <row r="33" spans="1:20" s="13" customFormat="1" x14ac:dyDescent="0.25">
      <c r="A33" s="29" t="s">
        <v>95</v>
      </c>
      <c r="B33" s="25" t="s">
        <v>20</v>
      </c>
      <c r="C33" s="22">
        <v>0.61170000000000002</v>
      </c>
      <c r="D33" s="22">
        <v>0.38829999999999998</v>
      </c>
      <c r="E33" s="22">
        <v>1</v>
      </c>
      <c r="F33" s="23">
        <v>0.10050000000000001</v>
      </c>
      <c r="G33" s="24">
        <f>7875563+87037</f>
        <v>7962600</v>
      </c>
      <c r="H33" s="18">
        <f t="shared" si="1"/>
        <v>5054565</v>
      </c>
      <c r="I33" s="24">
        <f>4399315+55250</f>
        <v>4454565</v>
      </c>
      <c r="J33" s="24">
        <v>600000</v>
      </c>
      <c r="K33" s="24">
        <v>0</v>
      </c>
      <c r="L33" s="24">
        <v>318321</v>
      </c>
      <c r="M33" s="24">
        <f>12556557+142287</f>
        <v>12698844</v>
      </c>
      <c r="N33" s="19">
        <f t="shared" si="2"/>
        <v>13017165</v>
      </c>
      <c r="O33" s="22">
        <v>4.7100000000000003E-2</v>
      </c>
      <c r="P33" s="24">
        <v>183669</v>
      </c>
      <c r="Q33" s="19">
        <f t="shared" si="3"/>
        <v>13200834</v>
      </c>
      <c r="R33" s="19">
        <v>564725</v>
      </c>
      <c r="S33" s="20">
        <f t="shared" si="4"/>
        <v>13765559</v>
      </c>
      <c r="T33" s="12"/>
    </row>
    <row r="34" spans="1:20" s="11" customFormat="1" x14ac:dyDescent="0.25">
      <c r="A34" s="29" t="s">
        <v>96</v>
      </c>
      <c r="B34" s="25" t="s">
        <v>21</v>
      </c>
      <c r="C34" s="22">
        <v>0.52629999999999999</v>
      </c>
      <c r="D34" s="22">
        <v>0.47370000000000001</v>
      </c>
      <c r="E34" s="22">
        <v>1</v>
      </c>
      <c r="F34" s="23">
        <v>0.1759</v>
      </c>
      <c r="G34" s="24">
        <f>12517948+131050</f>
        <v>12648998</v>
      </c>
      <c r="H34" s="18">
        <f t="shared" si="1"/>
        <v>11384820</v>
      </c>
      <c r="I34" s="24">
        <f>9817186+117953</f>
        <v>9935139</v>
      </c>
      <c r="J34" s="24">
        <v>801900</v>
      </c>
      <c r="K34" s="24">
        <v>647781</v>
      </c>
      <c r="L34" s="24">
        <v>1810840</v>
      </c>
      <c r="M34" s="24">
        <f>21973975+249003</f>
        <v>22222978</v>
      </c>
      <c r="N34" s="19">
        <f t="shared" si="2"/>
        <v>24033818</v>
      </c>
      <c r="O34" s="22">
        <v>0.14940000000000001</v>
      </c>
      <c r="P34" s="24">
        <v>582592</v>
      </c>
      <c r="Q34" s="19">
        <f t="shared" si="3"/>
        <v>24616410</v>
      </c>
      <c r="R34" s="19">
        <v>62</v>
      </c>
      <c r="S34" s="20">
        <f t="shared" si="4"/>
        <v>24616472</v>
      </c>
      <c r="T34" s="12"/>
    </row>
    <row r="35" spans="1:20" s="13" customFormat="1" ht="31.5" x14ac:dyDescent="0.25">
      <c r="A35" s="101" t="s">
        <v>97</v>
      </c>
      <c r="B35" s="102" t="s">
        <v>22</v>
      </c>
      <c r="C35" s="103">
        <v>0.60240000000000005</v>
      </c>
      <c r="D35" s="103">
        <v>0.39760000000000001</v>
      </c>
      <c r="E35" s="103">
        <v>1</v>
      </c>
      <c r="F35" s="104">
        <v>0.20280000000000001</v>
      </c>
      <c r="G35" s="105">
        <f>15873812+173037</f>
        <v>16046849</v>
      </c>
      <c r="H35" s="106">
        <f t="shared" si="1"/>
        <v>10591347</v>
      </c>
      <c r="I35" s="105">
        <f>8539576+114209</f>
        <v>8653785</v>
      </c>
      <c r="J35" s="105">
        <v>1298562</v>
      </c>
      <c r="K35" s="105">
        <v>639000</v>
      </c>
      <c r="L35" s="105">
        <v>1013612</v>
      </c>
      <c r="M35" s="105">
        <f>25337338+287246</f>
        <v>25624584</v>
      </c>
      <c r="N35" s="107">
        <f t="shared" si="2"/>
        <v>26638196</v>
      </c>
      <c r="O35" s="103">
        <v>0.16200000000000001</v>
      </c>
      <c r="P35" s="105">
        <v>631726</v>
      </c>
      <c r="Q35" s="107">
        <f t="shared" si="3"/>
        <v>27269922</v>
      </c>
      <c r="R35" s="107">
        <v>0</v>
      </c>
      <c r="S35" s="108">
        <f t="shared" si="4"/>
        <v>27269922</v>
      </c>
      <c r="T35" s="10"/>
    </row>
    <row r="36" spans="1:20" s="13" customFormat="1" ht="39.75" customHeight="1" x14ac:dyDescent="0.25">
      <c r="A36" s="109" t="s">
        <v>53</v>
      </c>
      <c r="B36" s="153" t="s">
        <v>115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5"/>
      <c r="S36" s="9">
        <f>SUM(S37:S40)</f>
        <v>21674913</v>
      </c>
      <c r="T36" s="12"/>
    </row>
    <row r="37" spans="1:20" s="13" customFormat="1" ht="33" customHeight="1" x14ac:dyDescent="0.25">
      <c r="A37" s="34" t="s">
        <v>98</v>
      </c>
      <c r="B37" s="95" t="s">
        <v>62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7"/>
      <c r="S37" s="36">
        <v>4861390</v>
      </c>
      <c r="T37" s="12"/>
    </row>
    <row r="38" spans="1:20" s="13" customFormat="1" ht="18" customHeight="1" x14ac:dyDescent="0.25">
      <c r="A38" s="34" t="s">
        <v>99</v>
      </c>
      <c r="B38" s="95" t="s">
        <v>64</v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  <c r="S38" s="36">
        <v>368310</v>
      </c>
      <c r="T38" s="12"/>
    </row>
    <row r="39" spans="1:20" s="13" customFormat="1" ht="27" customHeight="1" x14ac:dyDescent="0.25">
      <c r="A39" s="34" t="s">
        <v>100</v>
      </c>
      <c r="B39" s="114" t="s">
        <v>67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6"/>
      <c r="S39" s="36">
        <v>1645213</v>
      </c>
      <c r="T39" s="12"/>
    </row>
    <row r="40" spans="1:20" s="13" customFormat="1" ht="21.75" customHeight="1" thickBot="1" x14ac:dyDescent="0.3">
      <c r="A40" s="79" t="s">
        <v>107</v>
      </c>
      <c r="B40" s="98" t="s">
        <v>119</v>
      </c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100"/>
      <c r="S40" s="80">
        <v>14800000</v>
      </c>
      <c r="T40" s="12"/>
    </row>
    <row r="41" spans="1:20" s="11" customFormat="1" ht="64.5" customHeight="1" thickBot="1" x14ac:dyDescent="0.3">
      <c r="A41" s="70" t="s">
        <v>66</v>
      </c>
      <c r="B41" s="81" t="s">
        <v>23</v>
      </c>
      <c r="C41" s="162" t="s">
        <v>116</v>
      </c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4"/>
      <c r="S41" s="82">
        <f>1151526+280000</f>
        <v>1431526</v>
      </c>
      <c r="T41" s="10"/>
    </row>
    <row r="42" spans="1:20" ht="43.5" customHeight="1" thickBot="1" x14ac:dyDescent="0.3">
      <c r="A42" s="83">
        <v>4</v>
      </c>
      <c r="B42" s="159" t="s">
        <v>117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1"/>
      <c r="S42" s="84">
        <f>S16+S13-S21-S43</f>
        <v>18064125</v>
      </c>
    </row>
    <row r="43" spans="1:20" s="11" customFormat="1" ht="33.75" customHeight="1" thickBot="1" x14ac:dyDescent="0.3">
      <c r="A43" s="113" t="s">
        <v>108</v>
      </c>
      <c r="B43" s="159" t="s">
        <v>118</v>
      </c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/>
      <c r="S43" s="84">
        <v>483642</v>
      </c>
      <c r="T43" s="10"/>
    </row>
    <row r="44" spans="1:20" x14ac:dyDescent="0.25">
      <c r="P44" s="26"/>
      <c r="Q44" s="26"/>
      <c r="R44" s="26"/>
    </row>
  </sheetData>
  <mergeCells count="45">
    <mergeCell ref="P5:S5"/>
    <mergeCell ref="R1:S1"/>
    <mergeCell ref="P3:S3"/>
    <mergeCell ref="O4:S4"/>
    <mergeCell ref="O2:S2"/>
    <mergeCell ref="B43:R43"/>
    <mergeCell ref="C41:R41"/>
    <mergeCell ref="B42:R42"/>
    <mergeCell ref="L7:S7"/>
    <mergeCell ref="L8:S8"/>
    <mergeCell ref="L9:S9"/>
    <mergeCell ref="A11:S11"/>
    <mergeCell ref="S23:S26"/>
    <mergeCell ref="C24:C26"/>
    <mergeCell ref="D24:D26"/>
    <mergeCell ref="E24:E26"/>
    <mergeCell ref="G24:G26"/>
    <mergeCell ref="H24:K24"/>
    <mergeCell ref="L24:L26"/>
    <mergeCell ref="M24:M26"/>
    <mergeCell ref="O24:O26"/>
    <mergeCell ref="P24:P26"/>
    <mergeCell ref="H25:H26"/>
    <mergeCell ref="I25:K25"/>
    <mergeCell ref="R23:R26"/>
    <mergeCell ref="B36:R36"/>
    <mergeCell ref="Q23:Q26"/>
    <mergeCell ref="L23:M23"/>
    <mergeCell ref="N23:N26"/>
    <mergeCell ref="O23:P23"/>
    <mergeCell ref="A23:A26"/>
    <mergeCell ref="B23:B26"/>
    <mergeCell ref="F23:F26"/>
    <mergeCell ref="G23:K23"/>
    <mergeCell ref="C23:E23"/>
    <mergeCell ref="B18:R18"/>
    <mergeCell ref="B19:R19"/>
    <mergeCell ref="B20:R20"/>
    <mergeCell ref="B21:R21"/>
    <mergeCell ref="B22:R22"/>
    <mergeCell ref="B13:R13"/>
    <mergeCell ref="B14:R14"/>
    <mergeCell ref="B15:R15"/>
    <mergeCell ref="B16:R16"/>
    <mergeCell ref="B17:R17"/>
  </mergeCells>
  <printOptions horizontalCentered="1"/>
  <pageMargins left="0.19685039370078741" right="0.19685039370078741" top="0.59055118110236227" bottom="0.11811023622047245" header="0" footer="0"/>
  <pageSetup paperSize="9" scale="56" firstPageNumber="199" fitToHeight="8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7"/>
  <sheetViews>
    <sheetView zoomScale="80" zoomScaleNormal="80" workbookViewId="0">
      <pane xSplit="1" ySplit="6" topLeftCell="B13" activePane="bottomRight" state="frozenSplit"/>
      <selection pane="topRight" activeCell="B1" sqref="B1"/>
      <selection pane="bottomLeft" activeCell="A14" sqref="A14"/>
      <selection pane="bottomRight" activeCell="B16" sqref="B16:R16"/>
    </sheetView>
  </sheetViews>
  <sheetFormatPr defaultColWidth="11" defaultRowHeight="15.75" x14ac:dyDescent="0.25"/>
  <cols>
    <col min="1" max="1" width="7.28515625" style="27" bestFit="1" customWidth="1"/>
    <col min="2" max="2" width="39.28515625" style="2" customWidth="1"/>
    <col min="3" max="6" width="11.140625" style="2" bestFit="1" customWidth="1"/>
    <col min="7" max="7" width="13" style="2" customWidth="1"/>
    <col min="8" max="8" width="13.7109375" style="2" customWidth="1"/>
    <col min="9" max="9" width="12.5703125" style="2" customWidth="1"/>
    <col min="10" max="10" width="12.7109375" style="2" customWidth="1"/>
    <col min="11" max="11" width="11.140625" style="2" bestFit="1" customWidth="1"/>
    <col min="12" max="12" width="13.28515625" style="2" customWidth="1"/>
    <col min="13" max="13" width="13.5703125" style="2" customWidth="1"/>
    <col min="14" max="14" width="13.28515625" style="2" customWidth="1"/>
    <col min="15" max="15" width="11.140625" style="2" bestFit="1" customWidth="1"/>
    <col min="16" max="16" width="10.7109375" style="2" customWidth="1"/>
    <col min="17" max="17" width="14.140625" style="2" customWidth="1"/>
    <col min="18" max="18" width="10.7109375" style="2" customWidth="1"/>
    <col min="19" max="19" width="13.5703125" style="2" customWidth="1"/>
    <col min="20" max="20" width="3.140625" style="2" customWidth="1"/>
    <col min="21" max="21" width="5.7109375" style="2" bestFit="1" customWidth="1"/>
    <col min="22" max="22" width="44.42578125" style="2" customWidth="1"/>
    <col min="23" max="36" width="11" style="2"/>
    <col min="37" max="37" width="13.5703125" style="2" bestFit="1" customWidth="1"/>
    <col min="38" max="38" width="11" style="2"/>
    <col min="39" max="39" width="13.140625" style="2" customWidth="1"/>
    <col min="40" max="40" width="14.42578125" style="2" bestFit="1" customWidth="1"/>
    <col min="41" max="55" width="11" style="2"/>
    <col min="56" max="56" width="11.5703125" style="2" bestFit="1" customWidth="1"/>
    <col min="57" max="57" width="10.85546875" style="2" bestFit="1" customWidth="1"/>
    <col min="58" max="16384" width="11" style="2"/>
  </cols>
  <sheetData>
    <row r="1" spans="1:40" ht="15.75" customHeight="1" x14ac:dyDescent="0.25">
      <c r="A1" s="28"/>
      <c r="B1" s="1"/>
      <c r="C1" s="1"/>
      <c r="D1" s="1"/>
      <c r="E1" s="1"/>
      <c r="F1" s="1"/>
      <c r="G1" s="1"/>
      <c r="H1" s="1"/>
      <c r="I1" s="1"/>
      <c r="J1" s="1"/>
      <c r="K1" s="1"/>
      <c r="L1" s="209" t="s">
        <v>25</v>
      </c>
      <c r="M1" s="209"/>
      <c r="N1" s="209"/>
      <c r="O1" s="209"/>
      <c r="P1" s="209"/>
      <c r="Q1" s="209"/>
      <c r="R1" s="209"/>
      <c r="S1" s="209"/>
    </row>
    <row r="2" spans="1:40" ht="15.75" customHeight="1" x14ac:dyDescent="0.25">
      <c r="A2" s="28"/>
      <c r="B2" s="1"/>
      <c r="C2" s="1"/>
      <c r="D2" s="1"/>
      <c r="E2" s="1"/>
      <c r="F2" s="1"/>
      <c r="G2" s="1"/>
      <c r="H2" s="1"/>
      <c r="I2" s="1"/>
      <c r="J2" s="1"/>
      <c r="K2" s="1"/>
      <c r="L2" s="209" t="s">
        <v>26</v>
      </c>
      <c r="M2" s="209"/>
      <c r="N2" s="209"/>
      <c r="O2" s="209"/>
      <c r="P2" s="209"/>
      <c r="Q2" s="209"/>
      <c r="R2" s="209"/>
      <c r="S2" s="209"/>
    </row>
    <row r="3" spans="1:40" ht="15.75" customHeight="1" x14ac:dyDescent="0.25">
      <c r="A3" s="28"/>
      <c r="B3" s="1"/>
      <c r="C3" s="1"/>
      <c r="D3" s="1"/>
      <c r="E3" s="1"/>
      <c r="F3" s="1"/>
      <c r="G3" s="1"/>
      <c r="H3" s="1"/>
      <c r="I3" s="1"/>
      <c r="J3" s="1"/>
      <c r="K3" s="1"/>
      <c r="L3" s="209" t="s">
        <v>7</v>
      </c>
      <c r="M3" s="209"/>
      <c r="N3" s="209"/>
      <c r="O3" s="209"/>
      <c r="P3" s="209"/>
      <c r="Q3" s="209"/>
      <c r="R3" s="209"/>
      <c r="S3" s="209"/>
    </row>
    <row r="4" spans="1:40" ht="6.75" customHeight="1" x14ac:dyDescent="0.25">
      <c r="A4" s="2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8"/>
    </row>
    <row r="5" spans="1:40" ht="15" customHeight="1" x14ac:dyDescent="0.25">
      <c r="A5" s="166" t="s">
        <v>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40" ht="16.5" thickBot="1" x14ac:dyDescent="0.3">
      <c r="A6" s="2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8" t="s">
        <v>44</v>
      </c>
    </row>
    <row r="7" spans="1:40" s="7" customFormat="1" x14ac:dyDescent="0.25">
      <c r="A7" s="5" t="s">
        <v>0</v>
      </c>
      <c r="B7" s="118" t="s">
        <v>45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6">
        <f>SUM(S8:S9)</f>
        <v>5711779</v>
      </c>
      <c r="U7" s="39" t="s">
        <v>0</v>
      </c>
      <c r="V7" s="40" t="s">
        <v>45</v>
      </c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1">
        <f t="shared" ref="AK7:AL7" si="0">AK8+AK9</f>
        <v>4492529</v>
      </c>
      <c r="AL7" s="41">
        <f t="shared" si="0"/>
        <v>1219250</v>
      </c>
      <c r="AM7" s="42">
        <f>AM8+AM9</f>
        <v>5711779</v>
      </c>
      <c r="AN7" s="94">
        <f>S7-AM7</f>
        <v>0</v>
      </c>
    </row>
    <row r="8" spans="1:40" ht="15.75" customHeight="1" x14ac:dyDescent="0.25">
      <c r="A8" s="32" t="s">
        <v>87</v>
      </c>
      <c r="B8" s="121" t="s">
        <v>46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/>
      <c r="S8" s="8">
        <v>4492529</v>
      </c>
      <c r="U8" s="43" t="s">
        <v>31</v>
      </c>
      <c r="V8" s="208" t="s">
        <v>69</v>
      </c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44">
        <v>4492529</v>
      </c>
      <c r="AL8" s="45"/>
      <c r="AM8" s="46">
        <f>AK8+AL8</f>
        <v>4492529</v>
      </c>
      <c r="AN8" s="94">
        <f t="shared" ref="AN8:AN16" si="1">S8-AM8</f>
        <v>0</v>
      </c>
    </row>
    <row r="9" spans="1:40" s="7" customFormat="1" ht="16.5" customHeight="1" thickBot="1" x14ac:dyDescent="0.3">
      <c r="A9" s="32" t="s">
        <v>88</v>
      </c>
      <c r="B9" s="124" t="s">
        <v>89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6"/>
      <c r="S9" s="8">
        <v>1219250</v>
      </c>
      <c r="T9" s="2"/>
      <c r="U9" s="43" t="s">
        <v>70</v>
      </c>
      <c r="V9" s="208" t="s">
        <v>71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45"/>
      <c r="AL9" s="44">
        <v>1219250</v>
      </c>
      <c r="AM9" s="46">
        <v>1219250</v>
      </c>
      <c r="AN9" s="94">
        <f t="shared" si="1"/>
        <v>0</v>
      </c>
    </row>
    <row r="10" spans="1:40" ht="15.75" customHeight="1" x14ac:dyDescent="0.25">
      <c r="A10" s="5" t="s">
        <v>47</v>
      </c>
      <c r="B10" s="118" t="s">
        <v>2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20"/>
      <c r="S10" s="6">
        <f>SUM(S11:S14)</f>
        <v>176871669</v>
      </c>
      <c r="T10" s="7"/>
      <c r="U10" s="47" t="s">
        <v>47</v>
      </c>
      <c r="V10" s="180" t="s">
        <v>2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48">
        <f t="shared" ref="AK10:AL10" si="2">SUM(AK11:AK14)</f>
        <v>176871669</v>
      </c>
      <c r="AL10" s="48">
        <f t="shared" si="2"/>
        <v>0</v>
      </c>
      <c r="AM10" s="49">
        <f>SUM(AM11:AM14)</f>
        <v>176871669</v>
      </c>
      <c r="AN10" s="94">
        <f t="shared" si="1"/>
        <v>0</v>
      </c>
    </row>
    <row r="11" spans="1:40" ht="15.75" customHeight="1" x14ac:dyDescent="0.25">
      <c r="A11" s="32" t="s">
        <v>48</v>
      </c>
      <c r="B11" s="121" t="s">
        <v>3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3"/>
      <c r="S11" s="8">
        <v>10981341</v>
      </c>
      <c r="U11" s="50" t="s">
        <v>48</v>
      </c>
      <c r="V11" s="208" t="s">
        <v>3</v>
      </c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44">
        <v>10981341</v>
      </c>
      <c r="AL11" s="45"/>
      <c r="AM11" s="46">
        <v>10981341</v>
      </c>
      <c r="AN11" s="94">
        <f t="shared" si="1"/>
        <v>0</v>
      </c>
    </row>
    <row r="12" spans="1:40" ht="15.75" customHeight="1" x14ac:dyDescent="0.25">
      <c r="A12" s="32" t="s">
        <v>40</v>
      </c>
      <c r="B12" s="121" t="s">
        <v>4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3"/>
      <c r="S12" s="8">
        <f>75870574+1686000</f>
        <v>77556574</v>
      </c>
      <c r="U12" s="50" t="s">
        <v>40</v>
      </c>
      <c r="V12" s="208" t="s">
        <v>4</v>
      </c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44">
        <v>77556574</v>
      </c>
      <c r="AL12" s="45"/>
      <c r="AM12" s="46">
        <v>77556574</v>
      </c>
      <c r="AN12" s="94">
        <f t="shared" si="1"/>
        <v>0</v>
      </c>
    </row>
    <row r="13" spans="1:40" ht="15.75" customHeight="1" x14ac:dyDescent="0.25">
      <c r="A13" s="32" t="s">
        <v>49</v>
      </c>
      <c r="B13" s="121" t="s">
        <v>5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3"/>
      <c r="S13" s="8">
        <v>473506</v>
      </c>
      <c r="U13" s="50" t="s">
        <v>49</v>
      </c>
      <c r="V13" s="208" t="s">
        <v>5</v>
      </c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44">
        <v>473506</v>
      </c>
      <c r="AL13" s="45"/>
      <c r="AM13" s="46">
        <v>473506</v>
      </c>
      <c r="AN13" s="94">
        <f t="shared" si="1"/>
        <v>0</v>
      </c>
    </row>
    <row r="14" spans="1:40" s="11" customFormat="1" ht="15.75" customHeight="1" x14ac:dyDescent="0.25">
      <c r="A14" s="32" t="s">
        <v>50</v>
      </c>
      <c r="B14" s="121" t="s">
        <v>68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3"/>
      <c r="S14" s="8">
        <f>87480248+380000</f>
        <v>87860248</v>
      </c>
      <c r="T14" s="2"/>
      <c r="U14" s="50" t="s">
        <v>50</v>
      </c>
      <c r="V14" s="208" t="s">
        <v>68</v>
      </c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44">
        <v>87860248</v>
      </c>
      <c r="AL14" s="45"/>
      <c r="AM14" s="46">
        <v>87860248</v>
      </c>
      <c r="AN14" s="94">
        <f t="shared" si="1"/>
        <v>0</v>
      </c>
    </row>
    <row r="15" spans="1:40" s="13" customFormat="1" ht="16.5" customHeight="1" x14ac:dyDescent="0.25">
      <c r="A15" s="69">
        <v>3</v>
      </c>
      <c r="B15" s="190" t="s">
        <v>6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2"/>
      <c r="S15" s="9">
        <f>SUM(S16+S34)</f>
        <v>150761593</v>
      </c>
      <c r="T15" s="10"/>
      <c r="U15" s="47" t="s">
        <v>73</v>
      </c>
      <c r="V15" s="180" t="s">
        <v>74</v>
      </c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48" t="e">
        <f>#REF!+AK34</f>
        <v>#REF!</v>
      </c>
      <c r="AL15" s="53"/>
      <c r="AM15" s="54">
        <f>AM16+AM34</f>
        <v>150761593</v>
      </c>
      <c r="AN15" s="94">
        <f t="shared" si="1"/>
        <v>0</v>
      </c>
    </row>
    <row r="16" spans="1:40" s="13" customFormat="1" ht="16.5" customHeight="1" thickBot="1" x14ac:dyDescent="0.3">
      <c r="A16" s="33" t="s">
        <v>52</v>
      </c>
      <c r="B16" s="193" t="s">
        <v>106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5"/>
      <c r="S16" s="35">
        <f>S21+S30</f>
        <v>149330067</v>
      </c>
      <c r="T16" s="12"/>
      <c r="U16" s="47" t="s">
        <v>66</v>
      </c>
      <c r="V16" s="180" t="s">
        <v>72</v>
      </c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51"/>
      <c r="AL16" s="51"/>
      <c r="AM16" s="52">
        <f>AM21+AM30</f>
        <v>149330067</v>
      </c>
      <c r="AN16" s="94">
        <f t="shared" si="1"/>
        <v>0</v>
      </c>
    </row>
    <row r="17" spans="1:57" s="13" customFormat="1" ht="84" customHeight="1" x14ac:dyDescent="0.25">
      <c r="A17" s="205" t="s">
        <v>1</v>
      </c>
      <c r="B17" s="196" t="s">
        <v>42</v>
      </c>
      <c r="C17" s="196" t="s">
        <v>8</v>
      </c>
      <c r="D17" s="196"/>
      <c r="E17" s="196"/>
      <c r="F17" s="206" t="s">
        <v>27</v>
      </c>
      <c r="G17" s="198" t="s">
        <v>9</v>
      </c>
      <c r="H17" s="207"/>
      <c r="I17" s="207"/>
      <c r="J17" s="207"/>
      <c r="K17" s="199"/>
      <c r="L17" s="196" t="s">
        <v>10</v>
      </c>
      <c r="M17" s="196"/>
      <c r="N17" s="197" t="s">
        <v>28</v>
      </c>
      <c r="O17" s="198" t="s">
        <v>29</v>
      </c>
      <c r="P17" s="199"/>
      <c r="Q17" s="200" t="s">
        <v>24</v>
      </c>
      <c r="R17" s="201" t="s">
        <v>89</v>
      </c>
      <c r="S17" s="202" t="s">
        <v>24</v>
      </c>
      <c r="T17" s="12"/>
      <c r="U17" s="189" t="s">
        <v>1</v>
      </c>
      <c r="V17" s="186" t="s">
        <v>42</v>
      </c>
      <c r="W17" s="186" t="s">
        <v>8</v>
      </c>
      <c r="X17" s="186"/>
      <c r="Y17" s="186"/>
      <c r="Z17" s="173" t="s">
        <v>27</v>
      </c>
      <c r="AA17" s="186" t="s">
        <v>9</v>
      </c>
      <c r="AB17" s="186"/>
      <c r="AC17" s="186"/>
      <c r="AD17" s="186"/>
      <c r="AE17" s="186"/>
      <c r="AF17" s="186" t="s">
        <v>10</v>
      </c>
      <c r="AG17" s="186"/>
      <c r="AH17" s="187" t="s">
        <v>28</v>
      </c>
      <c r="AI17" s="186" t="s">
        <v>29</v>
      </c>
      <c r="AJ17" s="186"/>
      <c r="AK17" s="173" t="s">
        <v>24</v>
      </c>
      <c r="AL17" s="187" t="s">
        <v>75</v>
      </c>
      <c r="AM17" s="188" t="s">
        <v>76</v>
      </c>
    </row>
    <row r="18" spans="1:57" s="13" customFormat="1" ht="37.5" customHeight="1" x14ac:dyDescent="0.25">
      <c r="A18" s="134"/>
      <c r="B18" s="137"/>
      <c r="C18" s="148" t="s">
        <v>11</v>
      </c>
      <c r="D18" s="148" t="s">
        <v>12</v>
      </c>
      <c r="E18" s="148" t="s">
        <v>13</v>
      </c>
      <c r="F18" s="140"/>
      <c r="G18" s="148" t="s">
        <v>14</v>
      </c>
      <c r="H18" s="150" t="s">
        <v>15</v>
      </c>
      <c r="I18" s="151"/>
      <c r="J18" s="151"/>
      <c r="K18" s="152"/>
      <c r="L18" s="148" t="s">
        <v>32</v>
      </c>
      <c r="M18" s="148" t="s">
        <v>39</v>
      </c>
      <c r="N18" s="146"/>
      <c r="O18" s="145" t="s">
        <v>30</v>
      </c>
      <c r="P18" s="145" t="s">
        <v>41</v>
      </c>
      <c r="Q18" s="157"/>
      <c r="R18" s="140"/>
      <c r="S18" s="168"/>
      <c r="T18" s="12"/>
      <c r="U18" s="189"/>
      <c r="V18" s="186"/>
      <c r="W18" s="173" t="s">
        <v>11</v>
      </c>
      <c r="X18" s="173" t="s">
        <v>12</v>
      </c>
      <c r="Y18" s="173" t="s">
        <v>13</v>
      </c>
      <c r="Z18" s="173"/>
      <c r="AA18" s="173" t="s">
        <v>14</v>
      </c>
      <c r="AB18" s="186" t="s">
        <v>15</v>
      </c>
      <c r="AC18" s="186"/>
      <c r="AD18" s="186"/>
      <c r="AE18" s="186"/>
      <c r="AF18" s="173" t="s">
        <v>32</v>
      </c>
      <c r="AG18" s="173" t="s">
        <v>39</v>
      </c>
      <c r="AH18" s="187"/>
      <c r="AI18" s="187" t="s">
        <v>77</v>
      </c>
      <c r="AJ18" s="187" t="s">
        <v>78</v>
      </c>
      <c r="AK18" s="173"/>
      <c r="AL18" s="187"/>
      <c r="AM18" s="188"/>
    </row>
    <row r="19" spans="1:57" s="13" customFormat="1" ht="81" customHeight="1" x14ac:dyDescent="0.25">
      <c r="A19" s="134"/>
      <c r="B19" s="137"/>
      <c r="C19" s="140"/>
      <c r="D19" s="140"/>
      <c r="E19" s="140"/>
      <c r="F19" s="140"/>
      <c r="G19" s="140"/>
      <c r="H19" s="148" t="s">
        <v>33</v>
      </c>
      <c r="I19" s="150" t="s">
        <v>34</v>
      </c>
      <c r="J19" s="151"/>
      <c r="K19" s="152"/>
      <c r="L19" s="140"/>
      <c r="M19" s="140"/>
      <c r="N19" s="146"/>
      <c r="O19" s="146"/>
      <c r="P19" s="146"/>
      <c r="Q19" s="157"/>
      <c r="R19" s="140"/>
      <c r="S19" s="168"/>
      <c r="T19" s="12"/>
      <c r="U19" s="189"/>
      <c r="V19" s="186"/>
      <c r="W19" s="173"/>
      <c r="X19" s="173"/>
      <c r="Y19" s="173"/>
      <c r="Z19" s="173"/>
      <c r="AA19" s="173"/>
      <c r="AB19" s="203" t="s">
        <v>33</v>
      </c>
      <c r="AC19" s="183" t="s">
        <v>34</v>
      </c>
      <c r="AD19" s="184"/>
      <c r="AE19" s="185"/>
      <c r="AF19" s="173"/>
      <c r="AG19" s="173"/>
      <c r="AH19" s="187"/>
      <c r="AI19" s="187"/>
      <c r="AJ19" s="187"/>
      <c r="AK19" s="173"/>
      <c r="AL19" s="187"/>
      <c r="AM19" s="188"/>
    </row>
    <row r="20" spans="1:57" s="13" customFormat="1" ht="160.5" thickBot="1" x14ac:dyDescent="0.3">
      <c r="A20" s="135"/>
      <c r="B20" s="138"/>
      <c r="C20" s="149"/>
      <c r="D20" s="149"/>
      <c r="E20" s="149"/>
      <c r="F20" s="141"/>
      <c r="G20" s="149"/>
      <c r="H20" s="149"/>
      <c r="I20" s="37" t="s">
        <v>35</v>
      </c>
      <c r="J20" s="37" t="s">
        <v>36</v>
      </c>
      <c r="K20" s="37" t="s">
        <v>37</v>
      </c>
      <c r="L20" s="149"/>
      <c r="M20" s="149"/>
      <c r="N20" s="147"/>
      <c r="O20" s="147"/>
      <c r="P20" s="147"/>
      <c r="Q20" s="158"/>
      <c r="R20" s="149"/>
      <c r="S20" s="169"/>
      <c r="T20" s="12"/>
      <c r="U20" s="189"/>
      <c r="V20" s="186"/>
      <c r="W20" s="173"/>
      <c r="X20" s="173"/>
      <c r="Y20" s="173"/>
      <c r="Z20" s="173"/>
      <c r="AA20" s="173"/>
      <c r="AB20" s="204"/>
      <c r="AC20" s="55" t="s">
        <v>35</v>
      </c>
      <c r="AD20" s="55" t="s">
        <v>36</v>
      </c>
      <c r="AE20" s="55" t="s">
        <v>37</v>
      </c>
      <c r="AF20" s="173"/>
      <c r="AG20" s="173"/>
      <c r="AH20" s="187"/>
      <c r="AI20" s="187"/>
      <c r="AJ20" s="187"/>
      <c r="AK20" s="173"/>
      <c r="AL20" s="187"/>
      <c r="AM20" s="188"/>
    </row>
    <row r="21" spans="1:57" s="13" customFormat="1" x14ac:dyDescent="0.2">
      <c r="A21" s="72" t="s">
        <v>51</v>
      </c>
      <c r="B21" s="73" t="s">
        <v>101</v>
      </c>
      <c r="C21" s="74"/>
      <c r="D21" s="74"/>
      <c r="E21" s="74"/>
      <c r="F21" s="75">
        <f t="shared" ref="F21:S21" si="3">SUM(F22:F29)</f>
        <v>0.99999999999999989</v>
      </c>
      <c r="G21" s="76">
        <f t="shared" si="3"/>
        <v>53112812</v>
      </c>
      <c r="H21" s="76">
        <f t="shared" si="3"/>
        <v>84223547</v>
      </c>
      <c r="I21" s="76">
        <f t="shared" si="3"/>
        <v>64785589</v>
      </c>
      <c r="J21" s="76">
        <f t="shared" si="3"/>
        <v>13195252</v>
      </c>
      <c r="K21" s="76">
        <f t="shared" si="3"/>
        <v>6242706</v>
      </c>
      <c r="L21" s="76">
        <f t="shared" si="3"/>
        <v>10981341</v>
      </c>
      <c r="M21" s="76">
        <f t="shared" si="3"/>
        <v>126355018</v>
      </c>
      <c r="N21" s="76">
        <f t="shared" si="3"/>
        <v>137336359</v>
      </c>
      <c r="O21" s="75">
        <f t="shared" si="3"/>
        <v>1</v>
      </c>
      <c r="P21" s="77">
        <f t="shared" si="3"/>
        <v>3899545</v>
      </c>
      <c r="Q21" s="77">
        <f t="shared" si="3"/>
        <v>141235904</v>
      </c>
      <c r="R21" s="77">
        <f t="shared" si="3"/>
        <v>1219250</v>
      </c>
      <c r="S21" s="78">
        <f t="shared" si="3"/>
        <v>142455154</v>
      </c>
      <c r="T21" s="12"/>
      <c r="U21" s="50"/>
      <c r="V21" s="60" t="s">
        <v>83</v>
      </c>
      <c r="W21" s="61"/>
      <c r="X21" s="61"/>
      <c r="Y21" s="61"/>
      <c r="Z21" s="57">
        <f t="shared" ref="Z21:AL21" si="4">SUM(Z22:Z29)</f>
        <v>0.99999999999999989</v>
      </c>
      <c r="AA21" s="59">
        <f t="shared" si="4"/>
        <v>53112812</v>
      </c>
      <c r="AB21" s="59">
        <f t="shared" si="4"/>
        <v>84223547</v>
      </c>
      <c r="AC21" s="59">
        <f t="shared" si="4"/>
        <v>64785589</v>
      </c>
      <c r="AD21" s="59">
        <f t="shared" si="4"/>
        <v>13195252</v>
      </c>
      <c r="AE21" s="59">
        <f t="shared" si="4"/>
        <v>6242706</v>
      </c>
      <c r="AF21" s="59">
        <f t="shared" si="4"/>
        <v>10981341</v>
      </c>
      <c r="AG21" s="59">
        <f t="shared" si="4"/>
        <v>126355018</v>
      </c>
      <c r="AH21" s="59">
        <f t="shared" si="4"/>
        <v>137336359</v>
      </c>
      <c r="AI21" s="57">
        <f t="shared" si="4"/>
        <v>1</v>
      </c>
      <c r="AJ21" s="59">
        <f t="shared" si="4"/>
        <v>3899545</v>
      </c>
      <c r="AK21" s="62">
        <f t="shared" si="4"/>
        <v>141235904</v>
      </c>
      <c r="AL21" s="62">
        <f t="shared" si="4"/>
        <v>1219250</v>
      </c>
      <c r="AM21" s="54">
        <f>AK21+AL21</f>
        <v>142455154</v>
      </c>
      <c r="AN21" s="94">
        <f t="shared" ref="AN21:AN34" si="5">S21-AM21</f>
        <v>0</v>
      </c>
      <c r="AO21" s="61">
        <f t="shared" ref="AO21:BB21" si="6">W21-C21</f>
        <v>0</v>
      </c>
      <c r="AP21" s="61">
        <f t="shared" si="6"/>
        <v>0</v>
      </c>
      <c r="AQ21" s="61">
        <f t="shared" si="6"/>
        <v>0</v>
      </c>
      <c r="AR21" s="61">
        <f t="shared" si="6"/>
        <v>0</v>
      </c>
      <c r="AS21" s="61">
        <f t="shared" si="6"/>
        <v>0</v>
      </c>
      <c r="AT21" s="61">
        <f t="shared" si="6"/>
        <v>0</v>
      </c>
      <c r="AU21" s="61">
        <f t="shared" si="6"/>
        <v>0</v>
      </c>
      <c r="AV21" s="61">
        <f t="shared" si="6"/>
        <v>0</v>
      </c>
      <c r="AW21" s="61">
        <f t="shared" si="6"/>
        <v>0</v>
      </c>
      <c r="AX21" s="61">
        <f t="shared" si="6"/>
        <v>0</v>
      </c>
      <c r="AY21" s="61">
        <f t="shared" si="6"/>
        <v>0</v>
      </c>
      <c r="AZ21" s="61">
        <f t="shared" si="6"/>
        <v>0</v>
      </c>
      <c r="BA21" s="61">
        <f t="shared" si="6"/>
        <v>0</v>
      </c>
      <c r="BB21" s="61">
        <f t="shared" si="6"/>
        <v>0</v>
      </c>
      <c r="BC21" s="61">
        <f t="shared" ref="BC21:BE29" si="7">AK21-Q21</f>
        <v>0</v>
      </c>
      <c r="BD21" s="61">
        <f t="shared" si="7"/>
        <v>0</v>
      </c>
      <c r="BE21" s="61">
        <f t="shared" si="7"/>
        <v>0</v>
      </c>
    </row>
    <row r="22" spans="1:57" s="13" customFormat="1" x14ac:dyDescent="0.25">
      <c r="A22" s="29" t="s">
        <v>90</v>
      </c>
      <c r="B22" s="15" t="s">
        <v>16</v>
      </c>
      <c r="C22" s="16"/>
      <c r="D22" s="16">
        <v>1</v>
      </c>
      <c r="E22" s="16">
        <v>1</v>
      </c>
      <c r="F22" s="17">
        <v>0.1588</v>
      </c>
      <c r="G22" s="18">
        <v>0</v>
      </c>
      <c r="H22" s="18">
        <f>SUM(I22:K22)</f>
        <v>24943707</v>
      </c>
      <c r="I22" s="18">
        <f>19893105+380000+220602</f>
        <v>20493707</v>
      </c>
      <c r="J22" s="18">
        <v>2000000</v>
      </c>
      <c r="K22" s="18">
        <v>2450000</v>
      </c>
      <c r="L22" s="18">
        <v>4872967</v>
      </c>
      <c r="M22" s="18">
        <f>19470138+380000+220602</f>
        <v>20070740</v>
      </c>
      <c r="N22" s="19">
        <f>L22+M22</f>
        <v>24943707</v>
      </c>
      <c r="O22" s="16">
        <v>0.27539999999999998</v>
      </c>
      <c r="P22" s="18">
        <v>1073935</v>
      </c>
      <c r="Q22" s="19">
        <f>N22+P22</f>
        <v>26017642</v>
      </c>
      <c r="R22" s="19">
        <v>346001</v>
      </c>
      <c r="S22" s="20">
        <f>Q22+R22</f>
        <v>26363643</v>
      </c>
      <c r="T22" s="12"/>
      <c r="U22" s="50" t="s">
        <v>51</v>
      </c>
      <c r="V22" s="56" t="s">
        <v>16</v>
      </c>
      <c r="W22" s="57"/>
      <c r="X22" s="57">
        <v>1</v>
      </c>
      <c r="Y22" s="57">
        <v>1</v>
      </c>
      <c r="Z22" s="58">
        <v>0.1588</v>
      </c>
      <c r="AA22" s="59">
        <v>0</v>
      </c>
      <c r="AB22" s="59">
        <f>AH22-AA22</f>
        <v>24943707</v>
      </c>
      <c r="AC22" s="59">
        <v>20493707</v>
      </c>
      <c r="AD22" s="59">
        <v>2000000</v>
      </c>
      <c r="AE22" s="59">
        <v>2450000</v>
      </c>
      <c r="AF22" s="59">
        <v>4872967</v>
      </c>
      <c r="AG22" s="59">
        <v>20070740</v>
      </c>
      <c r="AH22" s="59">
        <f>AF22+AG22</f>
        <v>24943707</v>
      </c>
      <c r="AI22" s="57">
        <v>0.27539999999999998</v>
      </c>
      <c r="AJ22" s="59">
        <v>1073935</v>
      </c>
      <c r="AK22" s="59">
        <f>AH22+AJ22</f>
        <v>26017642</v>
      </c>
      <c r="AL22" s="51">
        <v>346001</v>
      </c>
      <c r="AM22" s="52">
        <f>AK22+AL22</f>
        <v>26363643</v>
      </c>
      <c r="AN22" s="94">
        <f t="shared" si="5"/>
        <v>0</v>
      </c>
      <c r="AO22" s="61">
        <f t="shared" ref="AO22:BB29" si="8">W22-C22</f>
        <v>0</v>
      </c>
      <c r="AP22" s="61">
        <f t="shared" si="8"/>
        <v>0</v>
      </c>
      <c r="AQ22" s="61">
        <f t="shared" si="8"/>
        <v>0</v>
      </c>
      <c r="AR22" s="61">
        <f t="shared" si="8"/>
        <v>0</v>
      </c>
      <c r="AS22" s="61">
        <f t="shared" si="8"/>
        <v>0</v>
      </c>
      <c r="AT22" s="61">
        <f t="shared" si="8"/>
        <v>0</v>
      </c>
      <c r="AU22" s="61">
        <f t="shared" si="8"/>
        <v>0</v>
      </c>
      <c r="AV22" s="61">
        <f t="shared" si="8"/>
        <v>0</v>
      </c>
      <c r="AW22" s="61">
        <f t="shared" si="8"/>
        <v>0</v>
      </c>
      <c r="AX22" s="61">
        <f t="shared" si="8"/>
        <v>0</v>
      </c>
      <c r="AY22" s="61">
        <f t="shared" si="8"/>
        <v>0</v>
      </c>
      <c r="AZ22" s="61">
        <f t="shared" si="8"/>
        <v>0</v>
      </c>
      <c r="BA22" s="61">
        <f t="shared" si="8"/>
        <v>0</v>
      </c>
      <c r="BB22" s="61">
        <f t="shared" si="8"/>
        <v>0</v>
      </c>
      <c r="BC22" s="61">
        <f t="shared" si="7"/>
        <v>0</v>
      </c>
      <c r="BD22" s="61">
        <f t="shared" si="7"/>
        <v>0</v>
      </c>
      <c r="BE22" s="61">
        <f t="shared" si="7"/>
        <v>0</v>
      </c>
    </row>
    <row r="23" spans="1:57" s="13" customFormat="1" x14ac:dyDescent="0.25">
      <c r="A23" s="29" t="s">
        <v>91</v>
      </c>
      <c r="B23" s="21" t="s">
        <v>17</v>
      </c>
      <c r="C23" s="22"/>
      <c r="D23" s="22">
        <v>1</v>
      </c>
      <c r="E23" s="22">
        <v>1</v>
      </c>
      <c r="F23" s="23">
        <v>4.7000000000000002E-3</v>
      </c>
      <c r="G23" s="24">
        <v>0</v>
      </c>
      <c r="H23" s="18">
        <f t="shared" ref="H23:H29" si="9">SUM(I23:K23)</f>
        <v>882642</v>
      </c>
      <c r="I23" s="18">
        <f>649268+6608</f>
        <v>655876</v>
      </c>
      <c r="J23" s="18">
        <v>150841</v>
      </c>
      <c r="K23" s="18">
        <v>75925</v>
      </c>
      <c r="L23" s="24">
        <v>290560</v>
      </c>
      <c r="M23" s="24">
        <f>585474+6608</f>
        <v>592082</v>
      </c>
      <c r="N23" s="19">
        <f t="shared" ref="N23:N29" si="10">L23+M23</f>
        <v>882642</v>
      </c>
      <c r="O23" s="22">
        <v>1.8700000000000001E-2</v>
      </c>
      <c r="P23" s="24">
        <v>72921</v>
      </c>
      <c r="Q23" s="19">
        <f t="shared" ref="Q23:Q29" si="11">N23+P23</f>
        <v>955563</v>
      </c>
      <c r="R23" s="19">
        <v>83605</v>
      </c>
      <c r="S23" s="20">
        <f t="shared" ref="S23:S29" si="12">Q23+R23</f>
        <v>1039168</v>
      </c>
      <c r="T23" s="12"/>
      <c r="U23" s="50" t="s">
        <v>53</v>
      </c>
      <c r="V23" s="56" t="s">
        <v>17</v>
      </c>
      <c r="W23" s="57"/>
      <c r="X23" s="57">
        <v>1</v>
      </c>
      <c r="Y23" s="57">
        <v>1</v>
      </c>
      <c r="Z23" s="58">
        <v>4.7000000000000002E-3</v>
      </c>
      <c r="AA23" s="59">
        <v>0</v>
      </c>
      <c r="AB23" s="59">
        <f t="shared" ref="AB23:AB29" si="13">AH23-AA23</f>
        <v>882642</v>
      </c>
      <c r="AC23" s="59">
        <v>655876</v>
      </c>
      <c r="AD23" s="59">
        <v>150841</v>
      </c>
      <c r="AE23" s="59">
        <v>75925</v>
      </c>
      <c r="AF23" s="59">
        <v>290560</v>
      </c>
      <c r="AG23" s="59">
        <v>592082</v>
      </c>
      <c r="AH23" s="59">
        <f t="shared" ref="AH23:AH29" si="14">AF23+AG23</f>
        <v>882642</v>
      </c>
      <c r="AI23" s="57">
        <v>1.8700000000000001E-2</v>
      </c>
      <c r="AJ23" s="59">
        <v>72921</v>
      </c>
      <c r="AK23" s="59">
        <f t="shared" ref="AK23:AK29" si="15">AH23+AJ23</f>
        <v>955563</v>
      </c>
      <c r="AL23" s="51">
        <v>83605</v>
      </c>
      <c r="AM23" s="52">
        <f t="shared" ref="AM23:AM29" si="16">AK23+AL23</f>
        <v>1039168</v>
      </c>
      <c r="AN23" s="94">
        <f t="shared" si="5"/>
        <v>0</v>
      </c>
      <c r="AO23" s="61">
        <f t="shared" si="8"/>
        <v>0</v>
      </c>
      <c r="AP23" s="61">
        <f t="shared" si="8"/>
        <v>0</v>
      </c>
      <c r="AQ23" s="61">
        <f t="shared" si="8"/>
        <v>0</v>
      </c>
      <c r="AR23" s="61">
        <f t="shared" si="8"/>
        <v>0</v>
      </c>
      <c r="AS23" s="61">
        <f t="shared" si="8"/>
        <v>0</v>
      </c>
      <c r="AT23" s="61">
        <f t="shared" si="8"/>
        <v>0</v>
      </c>
      <c r="AU23" s="61">
        <f t="shared" si="8"/>
        <v>0</v>
      </c>
      <c r="AV23" s="61">
        <f t="shared" si="8"/>
        <v>0</v>
      </c>
      <c r="AW23" s="61">
        <f t="shared" si="8"/>
        <v>0</v>
      </c>
      <c r="AX23" s="61">
        <f t="shared" si="8"/>
        <v>0</v>
      </c>
      <c r="AY23" s="61">
        <f t="shared" si="8"/>
        <v>0</v>
      </c>
      <c r="AZ23" s="61">
        <f t="shared" si="8"/>
        <v>0</v>
      </c>
      <c r="BA23" s="61">
        <f t="shared" si="8"/>
        <v>0</v>
      </c>
      <c r="BB23" s="61">
        <f t="shared" si="8"/>
        <v>0</v>
      </c>
      <c r="BC23" s="61">
        <f t="shared" si="7"/>
        <v>0</v>
      </c>
      <c r="BD23" s="61">
        <f t="shared" si="7"/>
        <v>0</v>
      </c>
      <c r="BE23" s="61">
        <f t="shared" si="7"/>
        <v>0</v>
      </c>
    </row>
    <row r="24" spans="1:57" s="13" customFormat="1" x14ac:dyDescent="0.25">
      <c r="A24" s="29" t="s">
        <v>92</v>
      </c>
      <c r="B24" s="21" t="s">
        <v>18</v>
      </c>
      <c r="C24" s="22"/>
      <c r="D24" s="22">
        <v>1</v>
      </c>
      <c r="E24" s="22">
        <v>1</v>
      </c>
      <c r="F24" s="23">
        <v>0.10920000000000001</v>
      </c>
      <c r="G24" s="24">
        <v>0</v>
      </c>
      <c r="H24" s="18">
        <f t="shared" si="9"/>
        <v>15302117</v>
      </c>
      <c r="I24" s="18">
        <f>8458108+154660</f>
        <v>8612768</v>
      </c>
      <c r="J24" s="18">
        <v>5289349</v>
      </c>
      <c r="K24" s="18">
        <v>1400000</v>
      </c>
      <c r="L24" s="24">
        <v>1507150</v>
      </c>
      <c r="M24" s="24">
        <f>13640307+154660</f>
        <v>13794967</v>
      </c>
      <c r="N24" s="19">
        <f t="shared" si="10"/>
        <v>15302117</v>
      </c>
      <c r="O24" s="22">
        <v>0.19539999999999999</v>
      </c>
      <c r="P24" s="24">
        <v>761971</v>
      </c>
      <c r="Q24" s="19">
        <f t="shared" si="11"/>
        <v>16064088</v>
      </c>
      <c r="R24" s="19">
        <v>203927</v>
      </c>
      <c r="S24" s="20">
        <f t="shared" si="12"/>
        <v>16268015</v>
      </c>
      <c r="T24" s="12"/>
      <c r="U24" s="50" t="s">
        <v>54</v>
      </c>
      <c r="V24" s="56" t="s">
        <v>18</v>
      </c>
      <c r="W24" s="57"/>
      <c r="X24" s="57">
        <v>1</v>
      </c>
      <c r="Y24" s="57">
        <v>1</v>
      </c>
      <c r="Z24" s="58">
        <v>0.10920000000000001</v>
      </c>
      <c r="AA24" s="59">
        <v>0</v>
      </c>
      <c r="AB24" s="59">
        <f t="shared" si="13"/>
        <v>15302117</v>
      </c>
      <c r="AC24" s="59">
        <v>8612768</v>
      </c>
      <c r="AD24" s="59">
        <v>5289349</v>
      </c>
      <c r="AE24" s="59">
        <v>1400000</v>
      </c>
      <c r="AF24" s="59">
        <v>1507150</v>
      </c>
      <c r="AG24" s="59">
        <v>13794967</v>
      </c>
      <c r="AH24" s="59">
        <f t="shared" si="14"/>
        <v>15302117</v>
      </c>
      <c r="AI24" s="57">
        <v>0.19539999999999999</v>
      </c>
      <c r="AJ24" s="59">
        <v>761971</v>
      </c>
      <c r="AK24" s="59">
        <f t="shared" si="15"/>
        <v>16064088</v>
      </c>
      <c r="AL24" s="51">
        <v>203927</v>
      </c>
      <c r="AM24" s="52">
        <f t="shared" si="16"/>
        <v>16268015</v>
      </c>
      <c r="AN24" s="94">
        <f t="shared" si="5"/>
        <v>0</v>
      </c>
      <c r="AO24" s="61">
        <f t="shared" si="8"/>
        <v>0</v>
      </c>
      <c r="AP24" s="61">
        <f t="shared" si="8"/>
        <v>0</v>
      </c>
      <c r="AQ24" s="61">
        <f t="shared" si="8"/>
        <v>0</v>
      </c>
      <c r="AR24" s="61">
        <f t="shared" si="8"/>
        <v>0</v>
      </c>
      <c r="AS24" s="61">
        <f t="shared" si="8"/>
        <v>0</v>
      </c>
      <c r="AT24" s="61">
        <f t="shared" si="8"/>
        <v>0</v>
      </c>
      <c r="AU24" s="61">
        <f t="shared" si="8"/>
        <v>0</v>
      </c>
      <c r="AV24" s="61">
        <f t="shared" si="8"/>
        <v>0</v>
      </c>
      <c r="AW24" s="61">
        <f t="shared" si="8"/>
        <v>0</v>
      </c>
      <c r="AX24" s="61">
        <f t="shared" si="8"/>
        <v>0</v>
      </c>
      <c r="AY24" s="61">
        <f t="shared" si="8"/>
        <v>0</v>
      </c>
      <c r="AZ24" s="61">
        <f t="shared" si="8"/>
        <v>0</v>
      </c>
      <c r="BA24" s="61">
        <f t="shared" si="8"/>
        <v>0</v>
      </c>
      <c r="BB24" s="61">
        <f t="shared" si="8"/>
        <v>0</v>
      </c>
      <c r="BC24" s="61">
        <f t="shared" si="7"/>
        <v>0</v>
      </c>
      <c r="BD24" s="61">
        <f t="shared" si="7"/>
        <v>0</v>
      </c>
      <c r="BE24" s="61">
        <f t="shared" si="7"/>
        <v>0</v>
      </c>
    </row>
    <row r="25" spans="1:57" s="13" customFormat="1" ht="31.5" x14ac:dyDescent="0.25">
      <c r="A25" s="29" t="s">
        <v>93</v>
      </c>
      <c r="B25" s="21" t="s">
        <v>43</v>
      </c>
      <c r="C25" s="22">
        <v>0.47610000000000002</v>
      </c>
      <c r="D25" s="22">
        <v>0.52390000000000003</v>
      </c>
      <c r="E25" s="22">
        <v>1</v>
      </c>
      <c r="F25" s="23">
        <v>0.1207</v>
      </c>
      <c r="G25" s="24">
        <f>7353709+78587</f>
        <v>7432296</v>
      </c>
      <c r="H25" s="18">
        <f t="shared" si="9"/>
        <v>8178492</v>
      </c>
      <c r="I25" s="24">
        <f>5407415+86477</f>
        <v>5493892</v>
      </c>
      <c r="J25" s="24">
        <v>2154600</v>
      </c>
      <c r="K25" s="24">
        <v>530000</v>
      </c>
      <c r="L25" s="24">
        <v>360416</v>
      </c>
      <c r="M25" s="24">
        <f>15085308+165064</f>
        <v>15250372</v>
      </c>
      <c r="N25" s="19">
        <f t="shared" si="10"/>
        <v>15610788</v>
      </c>
      <c r="O25" s="22">
        <v>7.2300000000000003E-2</v>
      </c>
      <c r="P25" s="24">
        <v>281937</v>
      </c>
      <c r="Q25" s="19">
        <f t="shared" si="11"/>
        <v>15892725</v>
      </c>
      <c r="R25" s="19">
        <v>0</v>
      </c>
      <c r="S25" s="20">
        <f t="shared" si="12"/>
        <v>15892725</v>
      </c>
      <c r="T25" s="12"/>
      <c r="U25" s="50" t="s">
        <v>55</v>
      </c>
      <c r="V25" s="56" t="s">
        <v>43</v>
      </c>
      <c r="W25" s="57">
        <v>0.47610000000000002</v>
      </c>
      <c r="X25" s="57">
        <v>0.52390000000000003</v>
      </c>
      <c r="Y25" s="57">
        <v>1</v>
      </c>
      <c r="Z25" s="58">
        <v>0.1207</v>
      </c>
      <c r="AA25" s="59">
        <v>7432296</v>
      </c>
      <c r="AB25" s="59">
        <f t="shared" si="13"/>
        <v>8178492</v>
      </c>
      <c r="AC25" s="59">
        <v>5493892</v>
      </c>
      <c r="AD25" s="59">
        <v>2154600</v>
      </c>
      <c r="AE25" s="59">
        <v>530000</v>
      </c>
      <c r="AF25" s="59">
        <v>360416</v>
      </c>
      <c r="AG25" s="59">
        <v>15250372</v>
      </c>
      <c r="AH25" s="59">
        <f t="shared" si="14"/>
        <v>15610788</v>
      </c>
      <c r="AI25" s="57">
        <v>7.2300000000000003E-2</v>
      </c>
      <c r="AJ25" s="59">
        <v>281937</v>
      </c>
      <c r="AK25" s="59">
        <f t="shared" si="15"/>
        <v>15892725</v>
      </c>
      <c r="AL25" s="51">
        <v>0</v>
      </c>
      <c r="AM25" s="52">
        <f t="shared" si="16"/>
        <v>15892725</v>
      </c>
      <c r="AN25" s="94">
        <f t="shared" si="5"/>
        <v>0</v>
      </c>
      <c r="AO25" s="61">
        <f t="shared" si="8"/>
        <v>0</v>
      </c>
      <c r="AP25" s="61">
        <f t="shared" si="8"/>
        <v>0</v>
      </c>
      <c r="AQ25" s="61">
        <f t="shared" si="8"/>
        <v>0</v>
      </c>
      <c r="AR25" s="61">
        <f t="shared" si="8"/>
        <v>0</v>
      </c>
      <c r="AS25" s="61">
        <f t="shared" si="8"/>
        <v>0</v>
      </c>
      <c r="AT25" s="61">
        <f t="shared" si="8"/>
        <v>0</v>
      </c>
      <c r="AU25" s="61">
        <f t="shared" si="8"/>
        <v>0</v>
      </c>
      <c r="AV25" s="61">
        <f t="shared" si="8"/>
        <v>0</v>
      </c>
      <c r="AW25" s="61">
        <f t="shared" si="8"/>
        <v>0</v>
      </c>
      <c r="AX25" s="61">
        <f t="shared" si="8"/>
        <v>0</v>
      </c>
      <c r="AY25" s="61">
        <f t="shared" si="8"/>
        <v>0</v>
      </c>
      <c r="AZ25" s="61">
        <f t="shared" si="8"/>
        <v>0</v>
      </c>
      <c r="BA25" s="61">
        <f t="shared" si="8"/>
        <v>0</v>
      </c>
      <c r="BB25" s="61">
        <f t="shared" si="8"/>
        <v>0</v>
      </c>
      <c r="BC25" s="61">
        <f t="shared" si="7"/>
        <v>0</v>
      </c>
      <c r="BD25" s="61">
        <f t="shared" si="7"/>
        <v>0</v>
      </c>
      <c r="BE25" s="61">
        <f t="shared" si="7"/>
        <v>0</v>
      </c>
    </row>
    <row r="26" spans="1:57" s="13" customFormat="1" x14ac:dyDescent="0.25">
      <c r="A26" s="29" t="s">
        <v>94</v>
      </c>
      <c r="B26" s="25" t="s">
        <v>19</v>
      </c>
      <c r="C26" s="22">
        <v>0.53359999999999996</v>
      </c>
      <c r="D26" s="22">
        <v>0.46639999999999998</v>
      </c>
      <c r="E26" s="22">
        <v>1</v>
      </c>
      <c r="F26" s="23">
        <v>0.12740000000000001</v>
      </c>
      <c r="G26" s="24">
        <f>8925738+96331</f>
        <v>9022069</v>
      </c>
      <c r="H26" s="18">
        <f t="shared" si="9"/>
        <v>7885857</v>
      </c>
      <c r="I26" s="24">
        <f>6401658+84199</f>
        <v>6485857</v>
      </c>
      <c r="J26" s="24">
        <v>900000</v>
      </c>
      <c r="K26" s="24">
        <v>500000</v>
      </c>
      <c r="L26" s="24">
        <v>807475</v>
      </c>
      <c r="M26" s="24">
        <f>15919921+180530</f>
        <v>16100451</v>
      </c>
      <c r="N26" s="19">
        <f t="shared" si="10"/>
        <v>16907926</v>
      </c>
      <c r="O26" s="22">
        <v>7.9699999999999993E-2</v>
      </c>
      <c r="P26" s="24">
        <v>310794</v>
      </c>
      <c r="Q26" s="19">
        <f t="shared" si="11"/>
        <v>17218720</v>
      </c>
      <c r="R26" s="19">
        <v>20930</v>
      </c>
      <c r="S26" s="20">
        <f t="shared" si="12"/>
        <v>17239650</v>
      </c>
      <c r="T26" s="12"/>
      <c r="U26" s="50" t="s">
        <v>56</v>
      </c>
      <c r="V26" s="45" t="s">
        <v>79</v>
      </c>
      <c r="W26" s="57">
        <v>0.53359999999999996</v>
      </c>
      <c r="X26" s="57">
        <v>0.46639999999999998</v>
      </c>
      <c r="Y26" s="57">
        <v>1</v>
      </c>
      <c r="Z26" s="58">
        <v>0.12740000000000001</v>
      </c>
      <c r="AA26" s="59">
        <v>9022069</v>
      </c>
      <c r="AB26" s="59">
        <f t="shared" si="13"/>
        <v>7885857</v>
      </c>
      <c r="AC26" s="59">
        <v>6485857</v>
      </c>
      <c r="AD26" s="59">
        <v>900000</v>
      </c>
      <c r="AE26" s="59">
        <v>500000</v>
      </c>
      <c r="AF26" s="59">
        <v>807475</v>
      </c>
      <c r="AG26" s="59">
        <v>16100451</v>
      </c>
      <c r="AH26" s="59">
        <f t="shared" si="14"/>
        <v>16907926</v>
      </c>
      <c r="AI26" s="57">
        <v>7.9699999999999993E-2</v>
      </c>
      <c r="AJ26" s="59">
        <v>310794</v>
      </c>
      <c r="AK26" s="59">
        <f t="shared" si="15"/>
        <v>17218720</v>
      </c>
      <c r="AL26" s="51">
        <v>20930</v>
      </c>
      <c r="AM26" s="52">
        <f t="shared" si="16"/>
        <v>17239650</v>
      </c>
      <c r="AN26" s="94">
        <f t="shared" si="5"/>
        <v>0</v>
      </c>
      <c r="AO26" s="61">
        <f t="shared" si="8"/>
        <v>0</v>
      </c>
      <c r="AP26" s="61">
        <f t="shared" si="8"/>
        <v>0</v>
      </c>
      <c r="AQ26" s="61">
        <f t="shared" si="8"/>
        <v>0</v>
      </c>
      <c r="AR26" s="61">
        <f t="shared" si="8"/>
        <v>0</v>
      </c>
      <c r="AS26" s="61">
        <f t="shared" si="8"/>
        <v>0</v>
      </c>
      <c r="AT26" s="61">
        <f t="shared" si="8"/>
        <v>0</v>
      </c>
      <c r="AU26" s="61">
        <f t="shared" si="8"/>
        <v>0</v>
      </c>
      <c r="AV26" s="61">
        <f t="shared" si="8"/>
        <v>0</v>
      </c>
      <c r="AW26" s="61">
        <f t="shared" si="8"/>
        <v>0</v>
      </c>
      <c r="AX26" s="61">
        <f t="shared" si="8"/>
        <v>0</v>
      </c>
      <c r="AY26" s="61">
        <f t="shared" si="8"/>
        <v>0</v>
      </c>
      <c r="AZ26" s="61">
        <f t="shared" si="8"/>
        <v>0</v>
      </c>
      <c r="BA26" s="61">
        <f t="shared" si="8"/>
        <v>0</v>
      </c>
      <c r="BB26" s="61">
        <f t="shared" si="8"/>
        <v>0</v>
      </c>
      <c r="BC26" s="61">
        <f t="shared" si="7"/>
        <v>0</v>
      </c>
      <c r="BD26" s="61">
        <f t="shared" si="7"/>
        <v>0</v>
      </c>
      <c r="BE26" s="61">
        <f t="shared" si="7"/>
        <v>0</v>
      </c>
    </row>
    <row r="27" spans="1:57" s="13" customFormat="1" x14ac:dyDescent="0.25">
      <c r="A27" s="29" t="s">
        <v>95</v>
      </c>
      <c r="B27" s="25" t="s">
        <v>20</v>
      </c>
      <c r="C27" s="22">
        <v>0.61170000000000002</v>
      </c>
      <c r="D27" s="22">
        <v>0.38829999999999998</v>
      </c>
      <c r="E27" s="22">
        <v>1</v>
      </c>
      <c r="F27" s="23">
        <v>0.10050000000000001</v>
      </c>
      <c r="G27" s="24">
        <f>7875563+87037</f>
        <v>7962600</v>
      </c>
      <c r="H27" s="18">
        <f t="shared" si="9"/>
        <v>5054565</v>
      </c>
      <c r="I27" s="24">
        <f>4399315+55250</f>
        <v>4454565</v>
      </c>
      <c r="J27" s="24">
        <v>600000</v>
      </c>
      <c r="K27" s="24">
        <v>0</v>
      </c>
      <c r="L27" s="24">
        <v>318321</v>
      </c>
      <c r="M27" s="24">
        <f>12556557+142287</f>
        <v>12698844</v>
      </c>
      <c r="N27" s="19">
        <f t="shared" si="10"/>
        <v>13017165</v>
      </c>
      <c r="O27" s="22">
        <v>4.7100000000000003E-2</v>
      </c>
      <c r="P27" s="24">
        <v>183669</v>
      </c>
      <c r="Q27" s="19">
        <f t="shared" si="11"/>
        <v>13200834</v>
      </c>
      <c r="R27" s="19">
        <v>564725</v>
      </c>
      <c r="S27" s="20">
        <f t="shared" si="12"/>
        <v>13765559</v>
      </c>
      <c r="T27" s="12"/>
      <c r="U27" s="50" t="s">
        <v>57</v>
      </c>
      <c r="V27" s="45" t="s">
        <v>80</v>
      </c>
      <c r="W27" s="57">
        <v>0.61170000000000002</v>
      </c>
      <c r="X27" s="57">
        <v>0.38829999999999998</v>
      </c>
      <c r="Y27" s="57">
        <v>1</v>
      </c>
      <c r="Z27" s="58">
        <v>0.10050000000000001</v>
      </c>
      <c r="AA27" s="59">
        <v>7962600</v>
      </c>
      <c r="AB27" s="59">
        <f t="shared" si="13"/>
        <v>5054565</v>
      </c>
      <c r="AC27" s="59">
        <v>4454565</v>
      </c>
      <c r="AD27" s="59">
        <v>600000</v>
      </c>
      <c r="AE27" s="59">
        <v>0</v>
      </c>
      <c r="AF27" s="59">
        <v>318321</v>
      </c>
      <c r="AG27" s="59">
        <v>12698844</v>
      </c>
      <c r="AH27" s="59">
        <f t="shared" si="14"/>
        <v>13017165</v>
      </c>
      <c r="AI27" s="57">
        <v>4.7100000000000003E-2</v>
      </c>
      <c r="AJ27" s="59">
        <v>183669</v>
      </c>
      <c r="AK27" s="59">
        <f t="shared" si="15"/>
        <v>13200834</v>
      </c>
      <c r="AL27" s="51">
        <v>564725</v>
      </c>
      <c r="AM27" s="52">
        <f t="shared" si="16"/>
        <v>13765559</v>
      </c>
      <c r="AN27" s="94">
        <f t="shared" si="5"/>
        <v>0</v>
      </c>
      <c r="AO27" s="61">
        <f t="shared" si="8"/>
        <v>0</v>
      </c>
      <c r="AP27" s="61">
        <f t="shared" si="8"/>
        <v>0</v>
      </c>
      <c r="AQ27" s="61">
        <f t="shared" si="8"/>
        <v>0</v>
      </c>
      <c r="AR27" s="61">
        <f t="shared" si="8"/>
        <v>0</v>
      </c>
      <c r="AS27" s="61">
        <f t="shared" si="8"/>
        <v>0</v>
      </c>
      <c r="AT27" s="61">
        <f t="shared" si="8"/>
        <v>0</v>
      </c>
      <c r="AU27" s="61">
        <f t="shared" si="8"/>
        <v>0</v>
      </c>
      <c r="AV27" s="61">
        <f t="shared" si="8"/>
        <v>0</v>
      </c>
      <c r="AW27" s="61">
        <f t="shared" si="8"/>
        <v>0</v>
      </c>
      <c r="AX27" s="61">
        <f t="shared" si="8"/>
        <v>0</v>
      </c>
      <c r="AY27" s="61">
        <f t="shared" si="8"/>
        <v>0</v>
      </c>
      <c r="AZ27" s="61">
        <f t="shared" si="8"/>
        <v>0</v>
      </c>
      <c r="BA27" s="61">
        <f t="shared" si="8"/>
        <v>0</v>
      </c>
      <c r="BB27" s="61">
        <f t="shared" si="8"/>
        <v>0</v>
      </c>
      <c r="BC27" s="61">
        <f t="shared" si="7"/>
        <v>0</v>
      </c>
      <c r="BD27" s="61">
        <f t="shared" si="7"/>
        <v>0</v>
      </c>
      <c r="BE27" s="61">
        <f t="shared" si="7"/>
        <v>0</v>
      </c>
    </row>
    <row r="28" spans="1:57" s="11" customFormat="1" x14ac:dyDescent="0.25">
      <c r="A28" s="29" t="s">
        <v>96</v>
      </c>
      <c r="B28" s="25" t="s">
        <v>21</v>
      </c>
      <c r="C28" s="22">
        <v>0.52629999999999999</v>
      </c>
      <c r="D28" s="22">
        <v>0.47370000000000001</v>
      </c>
      <c r="E28" s="22">
        <v>1</v>
      </c>
      <c r="F28" s="23">
        <v>0.1759</v>
      </c>
      <c r="G28" s="24">
        <f>12517948+131050</f>
        <v>12648998</v>
      </c>
      <c r="H28" s="18">
        <f t="shared" si="9"/>
        <v>11384820</v>
      </c>
      <c r="I28" s="24">
        <f>9817186+117953</f>
        <v>9935139</v>
      </c>
      <c r="J28" s="24">
        <v>801900</v>
      </c>
      <c r="K28" s="24">
        <v>647781</v>
      </c>
      <c r="L28" s="24">
        <v>1810840</v>
      </c>
      <c r="M28" s="24">
        <f>21973975+249003</f>
        <v>22222978</v>
      </c>
      <c r="N28" s="19">
        <f t="shared" si="10"/>
        <v>24033818</v>
      </c>
      <c r="O28" s="22">
        <v>0.14940000000000001</v>
      </c>
      <c r="P28" s="24">
        <v>582592</v>
      </c>
      <c r="Q28" s="19">
        <f t="shared" si="11"/>
        <v>24616410</v>
      </c>
      <c r="R28" s="19">
        <v>62</v>
      </c>
      <c r="S28" s="20">
        <f t="shared" si="12"/>
        <v>24616472</v>
      </c>
      <c r="T28" s="12"/>
      <c r="U28" s="50" t="s">
        <v>58</v>
      </c>
      <c r="V28" s="45" t="s">
        <v>81</v>
      </c>
      <c r="W28" s="57">
        <v>0.52629999999999999</v>
      </c>
      <c r="X28" s="57">
        <v>0.47370000000000001</v>
      </c>
      <c r="Y28" s="57">
        <v>1</v>
      </c>
      <c r="Z28" s="58">
        <v>0.1759</v>
      </c>
      <c r="AA28" s="59">
        <v>12648998</v>
      </c>
      <c r="AB28" s="59">
        <f t="shared" si="13"/>
        <v>11384820</v>
      </c>
      <c r="AC28" s="59">
        <v>9935139</v>
      </c>
      <c r="AD28" s="59">
        <v>801900</v>
      </c>
      <c r="AE28" s="59">
        <v>647781</v>
      </c>
      <c r="AF28" s="59">
        <v>1810840</v>
      </c>
      <c r="AG28" s="59">
        <v>22222978</v>
      </c>
      <c r="AH28" s="59">
        <f t="shared" si="14"/>
        <v>24033818</v>
      </c>
      <c r="AI28" s="57">
        <v>0.14940000000000001</v>
      </c>
      <c r="AJ28" s="59">
        <v>582592</v>
      </c>
      <c r="AK28" s="59">
        <f t="shared" si="15"/>
        <v>24616410</v>
      </c>
      <c r="AL28" s="51">
        <v>62</v>
      </c>
      <c r="AM28" s="52">
        <f t="shared" si="16"/>
        <v>24616472</v>
      </c>
      <c r="AN28" s="94">
        <f t="shared" si="5"/>
        <v>0</v>
      </c>
      <c r="AO28" s="61">
        <f t="shared" si="8"/>
        <v>0</v>
      </c>
      <c r="AP28" s="61">
        <f t="shared" si="8"/>
        <v>0</v>
      </c>
      <c r="AQ28" s="61">
        <f t="shared" si="8"/>
        <v>0</v>
      </c>
      <c r="AR28" s="61">
        <f t="shared" si="8"/>
        <v>0</v>
      </c>
      <c r="AS28" s="61">
        <f t="shared" si="8"/>
        <v>0</v>
      </c>
      <c r="AT28" s="61">
        <f t="shared" si="8"/>
        <v>0</v>
      </c>
      <c r="AU28" s="61">
        <f t="shared" si="8"/>
        <v>0</v>
      </c>
      <c r="AV28" s="61">
        <f t="shared" si="8"/>
        <v>0</v>
      </c>
      <c r="AW28" s="61">
        <f t="shared" si="8"/>
        <v>0</v>
      </c>
      <c r="AX28" s="61">
        <f t="shared" si="8"/>
        <v>0</v>
      </c>
      <c r="AY28" s="61">
        <f t="shared" si="8"/>
        <v>0</v>
      </c>
      <c r="AZ28" s="61">
        <f t="shared" si="8"/>
        <v>0</v>
      </c>
      <c r="BA28" s="61">
        <f t="shared" si="8"/>
        <v>0</v>
      </c>
      <c r="BB28" s="61">
        <f t="shared" si="8"/>
        <v>0</v>
      </c>
      <c r="BC28" s="61">
        <f t="shared" si="7"/>
        <v>0</v>
      </c>
      <c r="BD28" s="61">
        <f t="shared" si="7"/>
        <v>0</v>
      </c>
      <c r="BE28" s="61">
        <f t="shared" si="7"/>
        <v>0</v>
      </c>
    </row>
    <row r="29" spans="1:57" s="13" customFormat="1" ht="16.5" thickBot="1" x14ac:dyDescent="0.3">
      <c r="A29" s="86" t="s">
        <v>97</v>
      </c>
      <c r="B29" s="87" t="s">
        <v>22</v>
      </c>
      <c r="C29" s="88">
        <v>0.60240000000000005</v>
      </c>
      <c r="D29" s="88">
        <v>0.39760000000000001</v>
      </c>
      <c r="E29" s="88">
        <v>1</v>
      </c>
      <c r="F29" s="89">
        <v>0.20280000000000001</v>
      </c>
      <c r="G29" s="90">
        <f>15873812+173037</f>
        <v>16046849</v>
      </c>
      <c r="H29" s="91">
        <f t="shared" si="9"/>
        <v>10591347</v>
      </c>
      <c r="I29" s="90">
        <f>8539576+114209</f>
        <v>8653785</v>
      </c>
      <c r="J29" s="90">
        <v>1298562</v>
      </c>
      <c r="K29" s="90">
        <v>639000</v>
      </c>
      <c r="L29" s="90">
        <v>1013612</v>
      </c>
      <c r="M29" s="90">
        <f>25337338+287246</f>
        <v>25624584</v>
      </c>
      <c r="N29" s="92">
        <f t="shared" si="10"/>
        <v>26638196</v>
      </c>
      <c r="O29" s="88">
        <v>0.16200000000000001</v>
      </c>
      <c r="P29" s="90">
        <v>631726</v>
      </c>
      <c r="Q29" s="92">
        <f t="shared" si="11"/>
        <v>27269922</v>
      </c>
      <c r="R29" s="92">
        <v>0</v>
      </c>
      <c r="S29" s="93">
        <f t="shared" si="12"/>
        <v>27269922</v>
      </c>
      <c r="T29" s="10"/>
      <c r="U29" s="50" t="s">
        <v>59</v>
      </c>
      <c r="V29" s="45" t="s">
        <v>82</v>
      </c>
      <c r="W29" s="57">
        <v>0.60240000000000005</v>
      </c>
      <c r="X29" s="57">
        <v>0.39760000000000001</v>
      </c>
      <c r="Y29" s="57">
        <v>1</v>
      </c>
      <c r="Z29" s="58">
        <v>0.20280000000000001</v>
      </c>
      <c r="AA29" s="59">
        <v>16046849</v>
      </c>
      <c r="AB29" s="59">
        <f t="shared" si="13"/>
        <v>10591347</v>
      </c>
      <c r="AC29" s="59">
        <v>8653785</v>
      </c>
      <c r="AD29" s="59">
        <v>1298562</v>
      </c>
      <c r="AE29" s="59">
        <v>639000</v>
      </c>
      <c r="AF29" s="59">
        <v>1013612</v>
      </c>
      <c r="AG29" s="59">
        <v>25624584</v>
      </c>
      <c r="AH29" s="59">
        <f t="shared" si="14"/>
        <v>26638196</v>
      </c>
      <c r="AI29" s="57">
        <v>0.16200000000000001</v>
      </c>
      <c r="AJ29" s="59">
        <v>631726</v>
      </c>
      <c r="AK29" s="59">
        <f t="shared" si="15"/>
        <v>27269922</v>
      </c>
      <c r="AL29" s="51">
        <v>0</v>
      </c>
      <c r="AM29" s="52">
        <f t="shared" si="16"/>
        <v>27269922</v>
      </c>
      <c r="AN29" s="94">
        <f t="shared" si="5"/>
        <v>0</v>
      </c>
      <c r="AO29" s="61">
        <f t="shared" si="8"/>
        <v>0</v>
      </c>
      <c r="AP29" s="61">
        <f t="shared" si="8"/>
        <v>0</v>
      </c>
      <c r="AQ29" s="61">
        <f t="shared" si="8"/>
        <v>0</v>
      </c>
      <c r="AR29" s="61">
        <f t="shared" si="8"/>
        <v>0</v>
      </c>
      <c r="AS29" s="61">
        <f t="shared" si="8"/>
        <v>0</v>
      </c>
      <c r="AT29" s="61">
        <f t="shared" si="8"/>
        <v>0</v>
      </c>
      <c r="AU29" s="61">
        <f t="shared" si="8"/>
        <v>0</v>
      </c>
      <c r="AV29" s="61">
        <f t="shared" si="8"/>
        <v>0</v>
      </c>
      <c r="AW29" s="61">
        <f t="shared" si="8"/>
        <v>0</v>
      </c>
      <c r="AX29" s="61">
        <f t="shared" si="8"/>
        <v>0</v>
      </c>
      <c r="AY29" s="61">
        <f t="shared" si="8"/>
        <v>0</v>
      </c>
      <c r="AZ29" s="61">
        <f t="shared" si="8"/>
        <v>0</v>
      </c>
      <c r="BA29" s="61">
        <f t="shared" si="8"/>
        <v>0</v>
      </c>
      <c r="BB29" s="61">
        <f t="shared" si="8"/>
        <v>0</v>
      </c>
      <c r="BC29" s="61">
        <f t="shared" si="7"/>
        <v>0</v>
      </c>
      <c r="BD29" s="61">
        <f t="shared" si="7"/>
        <v>0</v>
      </c>
      <c r="BE29" s="61">
        <f t="shared" si="7"/>
        <v>0</v>
      </c>
    </row>
    <row r="30" spans="1:57" s="13" customFormat="1" ht="32.25" customHeight="1" x14ac:dyDescent="0.25">
      <c r="A30" s="85" t="s">
        <v>53</v>
      </c>
      <c r="B30" s="177" t="s">
        <v>104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9"/>
      <c r="S30" s="82">
        <f>SUM(S31:S33)</f>
        <v>6874913</v>
      </c>
      <c r="T30" s="12"/>
      <c r="U30" s="63" t="s">
        <v>60</v>
      </c>
      <c r="V30" s="180" t="s">
        <v>84</v>
      </c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48">
        <f>AK31+AK32+AK33</f>
        <v>6874913</v>
      </c>
      <c r="AL30" s="53"/>
      <c r="AM30" s="49">
        <f>AM31+AM32+AM33</f>
        <v>6874913</v>
      </c>
      <c r="AN30" s="94">
        <f t="shared" si="5"/>
        <v>0</v>
      </c>
    </row>
    <row r="31" spans="1:57" s="13" customFormat="1" x14ac:dyDescent="0.25">
      <c r="A31" s="34" t="s">
        <v>98</v>
      </c>
      <c r="B31" s="95" t="s">
        <v>62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7"/>
      <c r="S31" s="36">
        <v>4861390</v>
      </c>
      <c r="T31" s="12"/>
      <c r="U31" s="64" t="s">
        <v>61</v>
      </c>
      <c r="V31" s="181" t="s">
        <v>62</v>
      </c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51">
        <v>4861390</v>
      </c>
      <c r="AL31" s="65"/>
      <c r="AM31" s="52">
        <v>4861390</v>
      </c>
      <c r="AN31" s="94">
        <f t="shared" si="5"/>
        <v>0</v>
      </c>
    </row>
    <row r="32" spans="1:57" s="13" customFormat="1" x14ac:dyDescent="0.25">
      <c r="A32" s="34" t="s">
        <v>99</v>
      </c>
      <c r="B32" s="95" t="s">
        <v>64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7"/>
      <c r="S32" s="36">
        <v>368310</v>
      </c>
      <c r="T32" s="12"/>
      <c r="U32" s="64" t="s">
        <v>63</v>
      </c>
      <c r="V32" s="181" t="s">
        <v>64</v>
      </c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51">
        <v>368310</v>
      </c>
      <c r="AL32" s="65"/>
      <c r="AM32" s="52">
        <v>368310</v>
      </c>
      <c r="AN32" s="94">
        <f t="shared" si="5"/>
        <v>0</v>
      </c>
    </row>
    <row r="33" spans="1:40" s="13" customFormat="1" ht="16.5" thickBot="1" x14ac:dyDescent="0.3">
      <c r="A33" s="79" t="s">
        <v>100</v>
      </c>
      <c r="B33" s="98" t="s">
        <v>67</v>
      </c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100"/>
      <c r="S33" s="80">
        <v>1645213</v>
      </c>
      <c r="T33" s="12"/>
      <c r="U33" s="64" t="s">
        <v>65</v>
      </c>
      <c r="V33" s="181" t="s">
        <v>67</v>
      </c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51">
        <v>1645213</v>
      </c>
      <c r="AL33" s="65"/>
      <c r="AM33" s="52">
        <v>1645213</v>
      </c>
      <c r="AN33" s="94">
        <f t="shared" si="5"/>
        <v>0</v>
      </c>
    </row>
    <row r="34" spans="1:40" s="11" customFormat="1" ht="48" customHeight="1" thickBot="1" x14ac:dyDescent="0.3">
      <c r="A34" s="70" t="s">
        <v>66</v>
      </c>
      <c r="B34" s="81" t="s">
        <v>23</v>
      </c>
      <c r="C34" s="159" t="s">
        <v>103</v>
      </c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1"/>
      <c r="S34" s="82">
        <f>1151526+280000</f>
        <v>1431526</v>
      </c>
      <c r="T34" s="10"/>
      <c r="U34" s="47" t="s">
        <v>66</v>
      </c>
      <c r="V34" s="66" t="s">
        <v>23</v>
      </c>
      <c r="W34" s="182" t="s">
        <v>85</v>
      </c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  <c r="AH34" s="182"/>
      <c r="AI34" s="182"/>
      <c r="AJ34" s="182"/>
      <c r="AK34" s="67">
        <v>1431526</v>
      </c>
      <c r="AL34" s="53"/>
      <c r="AM34" s="54">
        <v>1431526</v>
      </c>
      <c r="AN34" s="94">
        <f t="shared" si="5"/>
        <v>0</v>
      </c>
    </row>
    <row r="35" spans="1:40" ht="34.5" customHeight="1" thickBot="1" x14ac:dyDescent="0.3">
      <c r="A35" s="83">
        <v>4</v>
      </c>
      <c r="B35" s="159" t="s">
        <v>102</v>
      </c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1"/>
      <c r="S35" s="84">
        <f>S10+S7-S15</f>
        <v>31821855</v>
      </c>
      <c r="U35" s="68">
        <v>4</v>
      </c>
      <c r="V35" s="174" t="s">
        <v>86</v>
      </c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5">
        <v>31821855</v>
      </c>
      <c r="AL35" s="175"/>
      <c r="AM35" s="176"/>
      <c r="AN35" s="26">
        <f>S35-AK35</f>
        <v>0</v>
      </c>
    </row>
    <row r="36" spans="1:40" x14ac:dyDescent="0.25">
      <c r="A36" s="2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40" x14ac:dyDescent="0.25">
      <c r="P37" s="26"/>
      <c r="Q37" s="26"/>
      <c r="R37" s="26"/>
    </row>
  </sheetData>
  <mergeCells count="77">
    <mergeCell ref="B11:R11"/>
    <mergeCell ref="V11:AJ11"/>
    <mergeCell ref="L1:S1"/>
    <mergeCell ref="L2:S2"/>
    <mergeCell ref="L3:S3"/>
    <mergeCell ref="A5:S5"/>
    <mergeCell ref="B7:R7"/>
    <mergeCell ref="B8:R8"/>
    <mergeCell ref="V8:AJ8"/>
    <mergeCell ref="B9:R9"/>
    <mergeCell ref="V9:AJ9"/>
    <mergeCell ref="B10:R10"/>
    <mergeCell ref="V10:AJ10"/>
    <mergeCell ref="B12:R12"/>
    <mergeCell ref="V12:AJ12"/>
    <mergeCell ref="B13:R13"/>
    <mergeCell ref="V13:AJ13"/>
    <mergeCell ref="B14:R14"/>
    <mergeCell ref="V14:AJ14"/>
    <mergeCell ref="A17:A20"/>
    <mergeCell ref="B17:B20"/>
    <mergeCell ref="C17:E17"/>
    <mergeCell ref="F17:F20"/>
    <mergeCell ref="G17:K17"/>
    <mergeCell ref="U17:U20"/>
    <mergeCell ref="B15:R15"/>
    <mergeCell ref="V15:AJ15"/>
    <mergeCell ref="B16:R16"/>
    <mergeCell ref="V16:AJ16"/>
    <mergeCell ref="L17:M17"/>
    <mergeCell ref="N17:N20"/>
    <mergeCell ref="O17:P17"/>
    <mergeCell ref="Q17:Q20"/>
    <mergeCell ref="R17:R20"/>
    <mergeCell ref="S17:S20"/>
    <mergeCell ref="AI17:AJ17"/>
    <mergeCell ref="AJ18:AJ20"/>
    <mergeCell ref="H19:H20"/>
    <mergeCell ref="I19:K19"/>
    <mergeCell ref="AB19:AB20"/>
    <mergeCell ref="AK17:AK20"/>
    <mergeCell ref="AL17:AL20"/>
    <mergeCell ref="AM17:AM20"/>
    <mergeCell ref="C18:C20"/>
    <mergeCell ref="D18:D20"/>
    <mergeCell ref="E18:E20"/>
    <mergeCell ref="G18:G20"/>
    <mergeCell ref="H18:K18"/>
    <mergeCell ref="L18:L20"/>
    <mergeCell ref="V17:V20"/>
    <mergeCell ref="W17:Y17"/>
    <mergeCell ref="Z17:Z20"/>
    <mergeCell ref="AA17:AE17"/>
    <mergeCell ref="AF17:AG17"/>
    <mergeCell ref="AH17:AH20"/>
    <mergeCell ref="AI18:AI20"/>
    <mergeCell ref="W18:W20"/>
    <mergeCell ref="X18:X20"/>
    <mergeCell ref="Y18:Y20"/>
    <mergeCell ref="AA18:AA20"/>
    <mergeCell ref="AB18:AE18"/>
    <mergeCell ref="AF18:AF20"/>
    <mergeCell ref="AG18:AG20"/>
    <mergeCell ref="B35:R35"/>
    <mergeCell ref="V35:AJ35"/>
    <mergeCell ref="AK35:AM35"/>
    <mergeCell ref="B30:R30"/>
    <mergeCell ref="V30:AJ30"/>
    <mergeCell ref="V31:AJ31"/>
    <mergeCell ref="V32:AJ32"/>
    <mergeCell ref="V33:AJ33"/>
    <mergeCell ref="C34:R34"/>
    <mergeCell ref="W34:AJ34"/>
    <mergeCell ref="AC19:AE19"/>
    <mergeCell ref="M18:M20"/>
    <mergeCell ref="O18:O20"/>
    <mergeCell ref="P18:P20"/>
  </mergeCells>
  <printOptions horizontalCentered="1"/>
  <pageMargins left="0.39370078740157483" right="0.19685039370078741" top="0.70866141732283472" bottom="0.39370078740157483" header="0" footer="0"/>
  <pageSetup paperSize="9" scale="59" firstPageNumber="257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8 (192)</vt:lpstr>
      <vt:lpstr>аналитика</vt:lpstr>
      <vt:lpstr>аналитика!Область_печати</vt:lpstr>
      <vt:lpstr>'Приложение № 8 (192)'!Область_печати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2021-07-22T11:15:21Z</dcterms:modified>
</cp:coreProperties>
</file>