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585"/>
  </bookViews>
  <sheets>
    <sheet name="Приложение № 3 (192)" sheetId="1" r:id="rId1"/>
  </sheets>
  <definedNames>
    <definedName name="_xlnm.Print_Titles" localSheetId="0">'Приложение № 3 (192)'!$13:$13</definedName>
    <definedName name="_xlnm.Print_Area" localSheetId="0">'Приложение № 3 (192)'!$A$1:$K$61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5" i="1" l="1"/>
  <c r="C61" i="1" l="1"/>
  <c r="H32" i="1" l="1"/>
  <c r="H34" i="1"/>
  <c r="C32" i="1"/>
  <c r="C34" i="1"/>
  <c r="H25" i="1"/>
  <c r="C25" i="1"/>
  <c r="H19" i="1"/>
  <c r="F34" i="1"/>
  <c r="F32" i="1"/>
  <c r="F19" i="1"/>
  <c r="E61" i="1"/>
  <c r="E34" i="1"/>
  <c r="E32" i="1"/>
  <c r="E19" i="1"/>
  <c r="C19" i="1"/>
  <c r="J15" i="1"/>
  <c r="J25" i="1"/>
  <c r="G15" i="1" l="1"/>
  <c r="D15" i="1"/>
  <c r="F25" i="1"/>
  <c r="D25" i="1"/>
  <c r="J27" i="1"/>
  <c r="I27" i="1"/>
  <c r="G27" i="1"/>
  <c r="F27" i="1"/>
  <c r="C27" i="1"/>
  <c r="G29" i="1"/>
  <c r="C29" i="1"/>
  <c r="J32" i="1"/>
  <c r="I32" i="1"/>
  <c r="G32" i="1"/>
  <c r="D32" i="1"/>
  <c r="J34" i="1"/>
  <c r="I34" i="1"/>
  <c r="G34" i="1"/>
  <c r="C36" i="1"/>
  <c r="H38" i="1"/>
  <c r="D38" i="1"/>
  <c r="C38" i="1"/>
  <c r="E54" i="1"/>
  <c r="D54" i="1"/>
  <c r="J54" i="1"/>
  <c r="I54" i="1"/>
  <c r="H54" i="1"/>
  <c r="G54" i="1"/>
  <c r="F54" i="1"/>
  <c r="C54" i="1"/>
  <c r="F61" i="1"/>
  <c r="J61" i="1"/>
  <c r="I61" i="1"/>
  <c r="H61" i="1"/>
  <c r="G61" i="1"/>
  <c r="D61" i="1"/>
  <c r="D40" i="1"/>
  <c r="E40" i="1"/>
  <c r="F40" i="1"/>
  <c r="G40" i="1"/>
  <c r="H40" i="1"/>
  <c r="I40" i="1"/>
  <c r="J40" i="1"/>
  <c r="C40" i="1"/>
  <c r="K56" i="1"/>
  <c r="K55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G21" i="1"/>
  <c r="C21" i="1"/>
  <c r="J19" i="1"/>
  <c r="I19" i="1"/>
  <c r="G19" i="1"/>
  <c r="D19" i="1"/>
  <c r="D18" i="1"/>
  <c r="D16" i="1"/>
  <c r="C39" i="1" l="1"/>
  <c r="I39" i="1"/>
  <c r="G39" i="1"/>
  <c r="E39" i="1"/>
  <c r="C37" i="1"/>
  <c r="I37" i="1"/>
  <c r="G37" i="1"/>
  <c r="K54" i="1"/>
  <c r="J39" i="1"/>
  <c r="H39" i="1"/>
  <c r="F39" i="1"/>
  <c r="D39" i="1"/>
  <c r="K40" i="1"/>
  <c r="G23" i="1" l="1"/>
  <c r="E37" i="1"/>
  <c r="I23" i="1"/>
  <c r="E23" i="1"/>
  <c r="C23" i="1"/>
  <c r="D23" i="1"/>
  <c r="F23" i="1"/>
  <c r="F37" i="1"/>
  <c r="J37" i="1"/>
  <c r="J23" i="1"/>
  <c r="D37" i="1"/>
  <c r="H23" i="1"/>
  <c r="H37" i="1"/>
  <c r="K39" i="1"/>
  <c r="I25" i="1" l="1"/>
  <c r="G25" i="1"/>
  <c r="E25" i="1"/>
  <c r="J33" i="1" l="1"/>
  <c r="I33" i="1"/>
  <c r="G33" i="1"/>
  <c r="F33" i="1"/>
  <c r="E33" i="1"/>
  <c r="H33" i="1" l="1"/>
  <c r="C33" i="1"/>
  <c r="K38" i="1"/>
  <c r="K37" i="1"/>
  <c r="D33" i="1"/>
  <c r="C57" i="1" l="1"/>
  <c r="K61" i="1" l="1"/>
  <c r="K60" i="1"/>
  <c r="K59" i="1"/>
  <c r="K58" i="1"/>
  <c r="J57" i="1"/>
  <c r="I57" i="1"/>
  <c r="H57" i="1"/>
  <c r="G57" i="1"/>
  <c r="F57" i="1"/>
  <c r="E57" i="1"/>
  <c r="D57" i="1"/>
  <c r="K36" i="1"/>
  <c r="K35" i="1"/>
  <c r="K34" i="1"/>
  <c r="H31" i="1"/>
  <c r="D31" i="1"/>
  <c r="K32" i="1"/>
  <c r="K30" i="1"/>
  <c r="K29" i="1"/>
  <c r="K28" i="1"/>
  <c r="K27" i="1"/>
  <c r="K26" i="1"/>
  <c r="K25" i="1"/>
  <c r="J24" i="1"/>
  <c r="I24" i="1"/>
  <c r="H24" i="1"/>
  <c r="G24" i="1"/>
  <c r="F24" i="1"/>
  <c r="E24" i="1"/>
  <c r="D24" i="1"/>
  <c r="C24" i="1"/>
  <c r="I22" i="1"/>
  <c r="K21" i="1"/>
  <c r="I20" i="1"/>
  <c r="K19" i="1"/>
  <c r="K18" i="1"/>
  <c r="K17" i="1"/>
  <c r="K16" i="1"/>
  <c r="K15" i="1"/>
  <c r="J14" i="1"/>
  <c r="I14" i="1"/>
  <c r="H14" i="1"/>
  <c r="G14" i="1"/>
  <c r="F14" i="1"/>
  <c r="E14" i="1"/>
  <c r="D14" i="1"/>
  <c r="C14" i="1"/>
  <c r="C22" i="1" l="1"/>
  <c r="E22" i="1"/>
  <c r="D22" i="1"/>
  <c r="G22" i="1"/>
  <c r="F31" i="1"/>
  <c r="J31" i="1"/>
  <c r="K33" i="1"/>
  <c r="G20" i="1"/>
  <c r="H22" i="1"/>
  <c r="J22" i="1"/>
  <c r="F22" i="1"/>
  <c r="K24" i="1"/>
  <c r="C31" i="1"/>
  <c r="E31" i="1"/>
  <c r="G31" i="1"/>
  <c r="I31" i="1"/>
  <c r="K57" i="1"/>
  <c r="K14" i="1"/>
  <c r="K23" i="1"/>
  <c r="E20" i="1" l="1"/>
  <c r="D20" i="1"/>
  <c r="C20" i="1"/>
  <c r="K22" i="1"/>
  <c r="F20" i="1"/>
  <c r="H20" i="1"/>
  <c r="K31" i="1"/>
  <c r="J20" i="1"/>
  <c r="K20" i="1" l="1"/>
</calcChain>
</file>

<file path=xl/sharedStrings.xml><?xml version="1.0" encoding="utf-8"?>
<sst xmlns="http://schemas.openxmlformats.org/spreadsheetml/2006/main" count="116" uniqueCount="112">
  <si>
    <t>Наименование показателя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</si>
  <si>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</si>
  <si>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</si>
  <si>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</si>
  <si>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</si>
  <si>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</si>
  <si>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</si>
  <si>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</si>
  <si>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</si>
  <si>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</si>
  <si>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 на содержание жилищного фонда, объектов социально-культурной сферы и иные цели</t>
  </si>
  <si>
    <t>"О республиканском бюджете на 2021 год"</t>
  </si>
  <si>
    <t>№ п/п</t>
  </si>
  <si>
    <t>имеющие целевое назначение</t>
  </si>
  <si>
    <t>не имеющие целевого назначения</t>
  </si>
  <si>
    <t>Предельные расходы, из них:</t>
  </si>
  <si>
    <t>за счет доходов, имеющих целевое назначение</t>
  </si>
  <si>
    <t>Предельный дефицит</t>
  </si>
  <si>
    <t>на установку, ремонт и компенсацию за установку памятников</t>
  </si>
  <si>
    <t>Дефицит</t>
  </si>
  <si>
    <t>Доходы</t>
  </si>
  <si>
    <t>от оказания платных услуг и иной приносящей доход деятельности</t>
  </si>
  <si>
    <t>за счет доходов, не имеющих целевого назначения</t>
  </si>
  <si>
    <t>Источники покрытия предельного дефицита, из них:</t>
  </si>
  <si>
    <t>Приложение № 3</t>
  </si>
  <si>
    <t>поступления в доходы территориального экологического фонда</t>
  </si>
  <si>
    <t>по прочим направлениям, из них:</t>
  </si>
  <si>
    <t>на оплату коммунальных услуг</t>
  </si>
  <si>
    <t>Субсидии из республиканского бюджета:</t>
  </si>
  <si>
    <t>за счет Фонда развития и стимулирования территорий городов и районов</t>
  </si>
  <si>
    <t>за счет Дорожного фонда (на развитие дорожной отрасли)</t>
  </si>
  <si>
    <t>по социально защищенным направлениям, из них:</t>
  </si>
  <si>
    <t>на содержание Центрального парка "Екатерининский"</t>
  </si>
  <si>
    <t>3.2.2.3</t>
  </si>
  <si>
    <t>6.1.1</t>
  </si>
  <si>
    <t>дотации (трансферты) из республиканского бюджета, из них:</t>
  </si>
  <si>
    <t>на оплату текущих трансфертов предприятию электротранспорта</t>
  </si>
  <si>
    <t>к Закону Приднестровской Молдавской Республики</t>
  </si>
  <si>
    <t>задолженность за потребляемые коммунальные услуги</t>
  </si>
  <si>
    <t>Основные характеристики доходной и расходной частей местных бюджетов, источники покрытия дефицита местных бюджетов, объемы субсидий из республиканского бюджета на 2021 год</t>
  </si>
  <si>
    <t>(руб.)</t>
  </si>
  <si>
    <t>на оплату коммунальных услуг, возмещение льгот по коммунальным услугам и услугам жилищного фонда (полная расчетная потребность, исходя из планируемого объема потребления соответствующих коммунальных услуг, возмещения соответствующих льгот)</t>
  </si>
  <si>
    <t>Расходы (план финансирования)</t>
  </si>
  <si>
    <t>на возмещение льгот по коммунальным услугам и услугам жилищного фонда, подлежащим финансированию</t>
  </si>
  <si>
    <t>на цели осуществления городом Тирасполем функций столицы, из них:</t>
  </si>
  <si>
    <t>ОСТАТКИ по состоянию на 1 января 2021 года всего, в том числе:</t>
  </si>
  <si>
    <t xml:space="preserve"> не имеющие целевого назначения  (очищенные)</t>
  </si>
  <si>
    <t>целевой сбор на благоустройство территории сел (поселков)</t>
  </si>
  <si>
    <t>целевой сбор на содержание и развитие социальной сферы и инфраструктуры сел (поселков)</t>
  </si>
  <si>
    <t>целевой сбор землеустроителей</t>
  </si>
  <si>
    <t>плата за услуги, осуществляемые органами местного самоуправления в связи с утверждением схем домовладений и (или) иных построек хозяйственного назначения, расположенных в сельских населенных пунктах</t>
  </si>
  <si>
    <t>средства  от приватизации</t>
  </si>
  <si>
    <t>средства, направляемые на кредитование крестьянских (фермерских) хозяйств (и проценты)</t>
  </si>
  <si>
    <t>средства, направляемые на кредитование молодых специалистов на приобретение строительных материалов для строительства жилья (и проценты)</t>
  </si>
  <si>
    <t>средства, направляемые на кредитование молодых семей на приобретение строительных материалов для строительства жилья (и проценты)</t>
  </si>
  <si>
    <t>фонд социального развития</t>
  </si>
  <si>
    <t xml:space="preserve">фонд экономического развития </t>
  </si>
  <si>
    <t>территориального экологического фонда</t>
  </si>
  <si>
    <t>на обустройство мест стоянок и парковок</t>
  </si>
  <si>
    <t>ремонтные работы дорог от пер. Западный до ул. Правды</t>
  </si>
  <si>
    <t>6.3.2.1</t>
  </si>
  <si>
    <t>6.3.2.1.1</t>
  </si>
  <si>
    <t>6.3.2.1.2</t>
  </si>
  <si>
    <t>6.3.2.1.3</t>
  </si>
  <si>
    <t>6.3.2.1.4</t>
  </si>
  <si>
    <t>6.3.2.1.5</t>
  </si>
  <si>
    <t>6.3.2.1.6</t>
  </si>
  <si>
    <t>6.3.2.1.7</t>
  </si>
  <si>
    <t>6.3.2.1.8</t>
  </si>
  <si>
    <t>6.3.2.1.9</t>
  </si>
  <si>
    <t>6.3.2.1.10</t>
  </si>
  <si>
    <t>6.3.2.1.11</t>
  </si>
  <si>
    <t>целевые сборы и платежи всего, в том числе:</t>
  </si>
  <si>
    <t>на специальных бюджетных счетах</t>
  </si>
  <si>
    <t>средства из РБ  на развитие дорожной отрасли, из них:</t>
  </si>
  <si>
    <t>7.3</t>
  </si>
  <si>
    <t>7.2.1</t>
  </si>
  <si>
    <t>7.2</t>
  </si>
  <si>
    <t>7.1</t>
  </si>
  <si>
    <t>1.1</t>
  </si>
  <si>
    <t>1.1.1</t>
  </si>
  <si>
    <t>1.1.2</t>
  </si>
  <si>
    <t>1.1.3</t>
  </si>
  <si>
    <t>1.2</t>
  </si>
  <si>
    <t>2</t>
  </si>
  <si>
    <t>2.1</t>
  </si>
  <si>
    <t>3</t>
  </si>
  <si>
    <t>3.1</t>
  </si>
  <si>
    <t>3.2</t>
  </si>
  <si>
    <t>3.2.1</t>
  </si>
  <si>
    <t>3.2.1.1</t>
  </si>
  <si>
    <t>3.2.2</t>
  </si>
  <si>
    <t>3.2.2.1</t>
  </si>
  <si>
    <t>3.2.2.2</t>
  </si>
  <si>
    <t>4</t>
  </si>
  <si>
    <t>5</t>
  </si>
  <si>
    <t>6</t>
  </si>
  <si>
    <t>6.1</t>
  </si>
  <si>
    <t>6.2</t>
  </si>
  <si>
    <t>6.3</t>
  </si>
  <si>
    <t>6.3.1</t>
  </si>
  <si>
    <t>6.3.2</t>
  </si>
  <si>
    <t>6.3.2.2</t>
  </si>
  <si>
    <t>6.3.2.3</t>
  </si>
  <si>
    <t>6.3.2.4</t>
  </si>
  <si>
    <t>6.3.2.4.1</t>
  </si>
  <si>
    <t>6.3.2.4.2</t>
  </si>
  <si>
    <t>7</t>
  </si>
  <si>
    <t xml:space="preserve">к Закону Приднестровской Молдавской Республики </t>
  </si>
  <si>
    <t>"О внесении изменений и дополнений</t>
  </si>
  <si>
    <t xml:space="preserve">в Закон Приднестровской Молдавской Республики </t>
  </si>
  <si>
    <t>Приложение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</si>
</sst>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50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2" fillId="3" borderId="0" xfId="0" applyNumberFormat="1" applyFont="1" applyFill="1"/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3" fontId="6" fillId="0" borderId="0" xfId="0" applyNumberFormat="1" applyFont="1" applyFill="1" applyAlignment="1">
      <alignment vertical="center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vertical="center" wrapText="1"/>
    </xf>
    <xf numFmtId="3" fontId="4" fillId="3" borderId="0" xfId="0" applyNumberFormat="1" applyFont="1" applyFill="1"/>
    <xf numFmtId="3" fontId="3" fillId="0" borderId="5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3" fontId="6" fillId="2" borderId="8" xfId="1" applyNumberFormat="1" applyFont="1" applyFill="1" applyBorder="1" applyAlignment="1">
      <alignment vertical="center" wrapText="1"/>
    </xf>
    <xf numFmtId="3" fontId="6" fillId="3" borderId="8" xfId="1" applyNumberFormat="1" applyFont="1" applyFill="1" applyBorder="1" applyAlignment="1">
      <alignment vertical="center" wrapText="1"/>
    </xf>
    <xf numFmtId="3" fontId="6" fillId="0" borderId="9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/>
    </xf>
    <xf numFmtId="3" fontId="9" fillId="0" borderId="3" xfId="0" applyNumberFormat="1" applyFont="1" applyFill="1" applyBorder="1" applyAlignment="1">
      <alignment vertical="center"/>
    </xf>
    <xf numFmtId="3" fontId="9" fillId="0" borderId="0" xfId="0" applyNumberFormat="1" applyFont="1" applyFill="1" applyAlignment="1">
      <alignment vertical="center"/>
    </xf>
    <xf numFmtId="3" fontId="10" fillId="0" borderId="0" xfId="0" applyNumberFormat="1" applyFont="1"/>
    <xf numFmtId="3" fontId="9" fillId="0" borderId="1" xfId="0" applyNumberFormat="1" applyFont="1" applyBorder="1" applyAlignment="1">
      <alignment vertical="center" wrapText="1"/>
    </xf>
    <xf numFmtId="3" fontId="9" fillId="3" borderId="1" xfId="0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horizontal="center" wrapText="1"/>
    </xf>
    <xf numFmtId="4" fontId="3" fillId="0" borderId="0" xfId="0" applyNumberFormat="1" applyFont="1" applyFill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</cellXfs>
  <cellStyles count="5">
    <cellStyle name="Обычный" xfId="0" builtinId="0"/>
    <cellStyle name="Финансовый 2" xfId="1"/>
    <cellStyle name="Финансовый 2 2" xfId="4"/>
    <cellStyle name="Финансовый 3" xfId="2"/>
    <cellStyle name="Финансов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view="pageBreakPreview" zoomScaleNormal="100" zoomScaleSheetLayoutView="100" workbookViewId="0">
      <pane xSplit="2" ySplit="13" topLeftCell="C41" activePane="bottomRight" state="frozenSplit"/>
      <selection pane="topRight" activeCell="B1" sqref="B1"/>
      <selection pane="bottomLeft" activeCell="A8" sqref="A8"/>
      <selection pane="bottomRight" activeCell="B57" sqref="B57"/>
    </sheetView>
  </sheetViews>
  <sheetFormatPr defaultColWidth="9.140625" defaultRowHeight="15.75" x14ac:dyDescent="0.25"/>
  <cols>
    <col min="1" max="1" width="10.140625" style="5" bestFit="1" customWidth="1"/>
    <col min="2" max="2" width="47.42578125" style="2" customWidth="1"/>
    <col min="3" max="3" width="12.7109375" style="5" bestFit="1" customWidth="1"/>
    <col min="4" max="4" width="13.140625" style="5" customWidth="1"/>
    <col min="5" max="6" width="12.7109375" style="5" bestFit="1" customWidth="1"/>
    <col min="7" max="7" width="12.7109375" style="11" bestFit="1" customWidth="1"/>
    <col min="8" max="8" width="12.7109375" style="5" bestFit="1" customWidth="1"/>
    <col min="9" max="9" width="16.28515625" style="5" customWidth="1"/>
    <col min="10" max="10" width="11.5703125" style="5" customWidth="1"/>
    <col min="11" max="11" width="14.7109375" style="5" customWidth="1"/>
    <col min="12" max="16384" width="9.140625" style="5"/>
  </cols>
  <sheetData>
    <row r="1" spans="1:11" x14ac:dyDescent="0.25">
      <c r="J1" s="47" t="s">
        <v>111</v>
      </c>
      <c r="K1" s="47"/>
    </row>
    <row r="2" spans="1:11" ht="15.75" customHeight="1" x14ac:dyDescent="0.25">
      <c r="H2" s="47" t="s">
        <v>108</v>
      </c>
      <c r="I2" s="47"/>
      <c r="J2" s="47"/>
      <c r="K2" s="47"/>
    </row>
    <row r="3" spans="1:11" x14ac:dyDescent="0.25">
      <c r="I3" s="48" t="s">
        <v>109</v>
      </c>
      <c r="J3" s="48"/>
      <c r="K3" s="48"/>
    </row>
    <row r="4" spans="1:11" ht="15.75" customHeight="1" x14ac:dyDescent="0.25">
      <c r="H4" s="48" t="s">
        <v>110</v>
      </c>
      <c r="I4" s="48"/>
      <c r="J4" s="48"/>
      <c r="K4" s="48"/>
    </row>
    <row r="5" spans="1:11" x14ac:dyDescent="0.25">
      <c r="I5" s="49" t="s">
        <v>11</v>
      </c>
      <c r="J5" s="49"/>
      <c r="K5" s="49"/>
    </row>
    <row r="7" spans="1:11" x14ac:dyDescent="0.25">
      <c r="A7" s="1"/>
      <c r="C7" s="1"/>
      <c r="D7" s="1"/>
      <c r="E7" s="1"/>
      <c r="F7" s="1"/>
      <c r="G7" s="3"/>
      <c r="H7" s="1"/>
      <c r="I7" s="1"/>
      <c r="J7" s="1"/>
      <c r="K7" s="4" t="s">
        <v>24</v>
      </c>
    </row>
    <row r="8" spans="1:11" x14ac:dyDescent="0.25">
      <c r="A8" s="1"/>
      <c r="C8" s="1"/>
      <c r="D8" s="1"/>
      <c r="E8" s="1"/>
      <c r="F8" s="1"/>
      <c r="G8" s="3"/>
      <c r="H8" s="1"/>
      <c r="I8" s="1"/>
      <c r="J8" s="1"/>
      <c r="K8" s="4" t="s">
        <v>37</v>
      </c>
    </row>
    <row r="9" spans="1:11" x14ac:dyDescent="0.25">
      <c r="A9" s="1"/>
      <c r="C9" s="1"/>
      <c r="D9" s="1"/>
      <c r="E9" s="1"/>
      <c r="F9" s="1"/>
      <c r="G9" s="3"/>
      <c r="H9" s="1"/>
      <c r="I9" s="1"/>
      <c r="J9" s="1"/>
      <c r="K9" s="4" t="s">
        <v>11</v>
      </c>
    </row>
    <row r="10" spans="1:11" x14ac:dyDescent="0.25">
      <c r="A10" s="1"/>
      <c r="C10" s="1"/>
      <c r="D10" s="1"/>
      <c r="E10" s="1"/>
      <c r="F10" s="1"/>
      <c r="G10" s="3"/>
      <c r="H10" s="1"/>
      <c r="I10" s="1"/>
      <c r="J10" s="1"/>
      <c r="K10" s="4"/>
    </row>
    <row r="11" spans="1:11" ht="37.5" customHeight="1" x14ac:dyDescent="0.25">
      <c r="A11" s="46" t="s">
        <v>39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ht="16.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32" t="s">
        <v>40</v>
      </c>
    </row>
    <row r="13" spans="1:11" s="6" customFormat="1" ht="16.5" thickBot="1" x14ac:dyDescent="0.3">
      <c r="A13" s="14" t="s">
        <v>12</v>
      </c>
      <c r="B13" s="15" t="s">
        <v>0</v>
      </c>
      <c r="C13" s="16" t="s">
        <v>1</v>
      </c>
      <c r="D13" s="16" t="s">
        <v>2</v>
      </c>
      <c r="E13" s="16" t="s">
        <v>3</v>
      </c>
      <c r="F13" s="16" t="s">
        <v>4</v>
      </c>
      <c r="G13" s="17" t="s">
        <v>5</v>
      </c>
      <c r="H13" s="16" t="s">
        <v>6</v>
      </c>
      <c r="I13" s="16" t="s">
        <v>7</v>
      </c>
      <c r="J13" s="16" t="s">
        <v>8</v>
      </c>
      <c r="K13" s="18" t="s">
        <v>9</v>
      </c>
    </row>
    <row r="14" spans="1:11" s="6" customFormat="1" x14ac:dyDescent="0.25">
      <c r="A14" s="34">
        <v>1</v>
      </c>
      <c r="B14" s="13" t="s">
        <v>20</v>
      </c>
      <c r="C14" s="20">
        <f>SUM(C15+C19)</f>
        <v>323548929</v>
      </c>
      <c r="D14" s="20">
        <f t="shared" ref="D14:J14" si="0">SUM(D15+D19)</f>
        <v>38455290</v>
      </c>
      <c r="E14" s="20">
        <f t="shared" si="0"/>
        <v>239695892</v>
      </c>
      <c r="F14" s="20">
        <f t="shared" si="0"/>
        <v>203230887</v>
      </c>
      <c r="G14" s="21">
        <f t="shared" si="0"/>
        <v>92480878</v>
      </c>
      <c r="H14" s="20">
        <f t="shared" si="0"/>
        <v>132285133</v>
      </c>
      <c r="I14" s="20">
        <f t="shared" si="0"/>
        <v>69261524</v>
      </c>
      <c r="J14" s="20">
        <f t="shared" si="0"/>
        <v>39564788</v>
      </c>
      <c r="K14" s="22">
        <f>SUM(C14:J14)</f>
        <v>1138523321</v>
      </c>
    </row>
    <row r="15" spans="1:11" s="6" customFormat="1" x14ac:dyDescent="0.25">
      <c r="A15" s="35" t="s">
        <v>79</v>
      </c>
      <c r="B15" s="7" t="s">
        <v>13</v>
      </c>
      <c r="C15" s="23">
        <v>45346556</v>
      </c>
      <c r="D15" s="23">
        <f>9467380+1400488</f>
        <v>10867868</v>
      </c>
      <c r="E15" s="23">
        <v>32163936</v>
      </c>
      <c r="F15" s="23">
        <v>20969951</v>
      </c>
      <c r="G15" s="23">
        <f>7536066-112500</f>
        <v>7423566</v>
      </c>
      <c r="H15" s="23">
        <v>14734789</v>
      </c>
      <c r="I15" s="23">
        <v>12521024</v>
      </c>
      <c r="J15" s="23">
        <f>7755624+415362+358708</f>
        <v>8529694</v>
      </c>
      <c r="K15" s="24">
        <f t="shared" ref="K15:K61" si="1">SUM(C15:J15)</f>
        <v>152557384</v>
      </c>
    </row>
    <row r="16" spans="1:11" s="6" customFormat="1" ht="47.25" x14ac:dyDescent="0.25">
      <c r="A16" s="19" t="s">
        <v>80</v>
      </c>
      <c r="B16" s="8" t="s">
        <v>10</v>
      </c>
      <c r="C16" s="25">
        <v>14051504</v>
      </c>
      <c r="D16" s="25">
        <f>6807457+688256</f>
        <v>7495713</v>
      </c>
      <c r="E16" s="25">
        <v>7062939</v>
      </c>
      <c r="F16" s="25">
        <v>4694390</v>
      </c>
      <c r="G16" s="26">
        <v>2261842</v>
      </c>
      <c r="H16" s="25">
        <v>3351892</v>
      </c>
      <c r="I16" s="25">
        <v>1269814</v>
      </c>
      <c r="J16" s="25">
        <v>1076601</v>
      </c>
      <c r="K16" s="27">
        <f t="shared" si="1"/>
        <v>41264695</v>
      </c>
    </row>
    <row r="17" spans="1:11" s="6" customFormat="1" ht="31.5" x14ac:dyDescent="0.25">
      <c r="A17" s="19" t="s">
        <v>81</v>
      </c>
      <c r="B17" s="8" t="s">
        <v>25</v>
      </c>
      <c r="C17" s="25">
        <v>4662929</v>
      </c>
      <c r="D17" s="25">
        <v>2084823</v>
      </c>
      <c r="E17" s="25">
        <v>1644224</v>
      </c>
      <c r="F17" s="25">
        <v>3053027</v>
      </c>
      <c r="G17" s="26">
        <v>659460</v>
      </c>
      <c r="H17" s="25">
        <v>1870214</v>
      </c>
      <c r="I17" s="25">
        <v>542206</v>
      </c>
      <c r="J17" s="25">
        <v>416791</v>
      </c>
      <c r="K17" s="27">
        <f t="shared" si="1"/>
        <v>14933674</v>
      </c>
    </row>
    <row r="18" spans="1:11" s="6" customFormat="1" ht="31.5" x14ac:dyDescent="0.25">
      <c r="A18" s="19" t="s">
        <v>82</v>
      </c>
      <c r="B18" s="8" t="s">
        <v>21</v>
      </c>
      <c r="C18" s="25">
        <v>25352403</v>
      </c>
      <c r="D18" s="25">
        <f>521962+712232</f>
        <v>1234194</v>
      </c>
      <c r="E18" s="25">
        <v>21497680</v>
      </c>
      <c r="F18" s="25">
        <v>9510687</v>
      </c>
      <c r="G18" s="26">
        <v>3256710</v>
      </c>
      <c r="H18" s="25">
        <v>6171273</v>
      </c>
      <c r="I18" s="25">
        <v>6617364</v>
      </c>
      <c r="J18" s="25">
        <v>3114122</v>
      </c>
      <c r="K18" s="27">
        <f t="shared" si="1"/>
        <v>76754433</v>
      </c>
    </row>
    <row r="19" spans="1:11" s="6" customFormat="1" x14ac:dyDescent="0.25">
      <c r="A19" s="35" t="s">
        <v>83</v>
      </c>
      <c r="B19" s="7" t="s">
        <v>14</v>
      </c>
      <c r="C19" s="23">
        <f>268760090+7985900+1785791-329408</f>
        <v>278202373</v>
      </c>
      <c r="D19" s="23">
        <f>26956084+717338-86000</f>
        <v>27587422</v>
      </c>
      <c r="E19" s="23">
        <f>200621821+4945352+1575817+388966</f>
        <v>207531956</v>
      </c>
      <c r="F19" s="23">
        <f>177614802+3667017+836948+142169</f>
        <v>182260936</v>
      </c>
      <c r="G19" s="28">
        <f>82582154+1830752+644406</f>
        <v>85057312</v>
      </c>
      <c r="H19" s="23">
        <f>114303534+2409461+929374-92025</f>
        <v>117550344</v>
      </c>
      <c r="I19" s="23">
        <f>55524798+974327+241375</f>
        <v>56740500</v>
      </c>
      <c r="J19" s="23">
        <f>30212018+622806+200270</f>
        <v>31035094</v>
      </c>
      <c r="K19" s="24">
        <f t="shared" si="1"/>
        <v>985965937</v>
      </c>
    </row>
    <row r="20" spans="1:11" s="9" customFormat="1" x14ac:dyDescent="0.25">
      <c r="A20" s="35" t="s">
        <v>84</v>
      </c>
      <c r="B20" s="7" t="s">
        <v>15</v>
      </c>
      <c r="C20" s="23">
        <f>SUM(C22+C36)</f>
        <v>354438291</v>
      </c>
      <c r="D20" s="23">
        <f t="shared" ref="D20:J20" si="2">SUM(D22+D36)</f>
        <v>43654293</v>
      </c>
      <c r="E20" s="23">
        <f t="shared" si="2"/>
        <v>280024583</v>
      </c>
      <c r="F20" s="23">
        <f t="shared" si="2"/>
        <v>231046482</v>
      </c>
      <c r="G20" s="23">
        <f t="shared" si="2"/>
        <v>116765755</v>
      </c>
      <c r="H20" s="23">
        <f t="shared" si="2"/>
        <v>186838964</v>
      </c>
      <c r="I20" s="23">
        <f t="shared" si="2"/>
        <v>115660837</v>
      </c>
      <c r="J20" s="23">
        <f t="shared" si="2"/>
        <v>68361417</v>
      </c>
      <c r="K20" s="24">
        <f t="shared" si="1"/>
        <v>1396790622</v>
      </c>
    </row>
    <row r="21" spans="1:11" s="9" customFormat="1" ht="94.5" x14ac:dyDescent="0.25">
      <c r="A21" s="19" t="s">
        <v>85</v>
      </c>
      <c r="B21" s="8" t="s">
        <v>41</v>
      </c>
      <c r="C21" s="25">
        <f>19293450-703457</f>
        <v>18589993</v>
      </c>
      <c r="D21" s="25">
        <v>2163531</v>
      </c>
      <c r="E21" s="25">
        <v>14143482</v>
      </c>
      <c r="F21" s="25">
        <v>12018001</v>
      </c>
      <c r="G21" s="26">
        <f>4906081-33902</f>
        <v>4872179</v>
      </c>
      <c r="H21" s="25">
        <v>6583721</v>
      </c>
      <c r="I21" s="25">
        <v>3777107</v>
      </c>
      <c r="J21" s="25">
        <v>3349230</v>
      </c>
      <c r="K21" s="27">
        <f t="shared" si="1"/>
        <v>65497244</v>
      </c>
    </row>
    <row r="22" spans="1:11" s="9" customFormat="1" x14ac:dyDescent="0.25">
      <c r="A22" s="35" t="s">
        <v>86</v>
      </c>
      <c r="B22" s="7" t="s">
        <v>42</v>
      </c>
      <c r="C22" s="23">
        <f>SUM(C23:C24)</f>
        <v>342452333</v>
      </c>
      <c r="D22" s="23">
        <f t="shared" ref="D22:J22" si="3">SUM(D23:D24)</f>
        <v>43654293</v>
      </c>
      <c r="E22" s="23">
        <f t="shared" si="3"/>
        <v>269977956</v>
      </c>
      <c r="F22" s="23">
        <f t="shared" si="3"/>
        <v>221178077</v>
      </c>
      <c r="G22" s="23">
        <f t="shared" si="3"/>
        <v>112817818</v>
      </c>
      <c r="H22" s="23">
        <f t="shared" si="3"/>
        <v>181481396</v>
      </c>
      <c r="I22" s="23">
        <f t="shared" si="3"/>
        <v>112464208</v>
      </c>
      <c r="J22" s="23">
        <f t="shared" si="3"/>
        <v>65634905</v>
      </c>
      <c r="K22" s="24">
        <f t="shared" si="1"/>
        <v>1349660986</v>
      </c>
    </row>
    <row r="23" spans="1:11" s="6" customFormat="1" ht="31.5" x14ac:dyDescent="0.25">
      <c r="A23" s="35" t="s">
        <v>87</v>
      </c>
      <c r="B23" s="7" t="s">
        <v>16</v>
      </c>
      <c r="C23" s="23">
        <f>C15+C39</f>
        <v>48790384</v>
      </c>
      <c r="D23" s="23">
        <f t="shared" ref="D23:J23" si="4">D15+D39</f>
        <v>14922375</v>
      </c>
      <c r="E23" s="23">
        <f t="shared" si="4"/>
        <v>34445971</v>
      </c>
      <c r="F23" s="23">
        <f t="shared" si="4"/>
        <v>24749016</v>
      </c>
      <c r="G23" s="23">
        <f t="shared" si="4"/>
        <v>11733858</v>
      </c>
      <c r="H23" s="23">
        <f t="shared" si="4"/>
        <v>16685646</v>
      </c>
      <c r="I23" s="23">
        <f t="shared" si="4"/>
        <v>15723929</v>
      </c>
      <c r="J23" s="23">
        <f t="shared" si="4"/>
        <v>11671061</v>
      </c>
      <c r="K23" s="24">
        <f t="shared" si="1"/>
        <v>178722240</v>
      </c>
    </row>
    <row r="24" spans="1:11" s="9" customFormat="1" ht="31.5" x14ac:dyDescent="0.25">
      <c r="A24" s="35" t="s">
        <v>88</v>
      </c>
      <c r="B24" s="7" t="s">
        <v>22</v>
      </c>
      <c r="C24" s="23">
        <f>SUM(C25+C27)</f>
        <v>293661949</v>
      </c>
      <c r="D24" s="23">
        <f t="shared" ref="D24:J24" si="5">SUM(D25+D27)</f>
        <v>28731918</v>
      </c>
      <c r="E24" s="23">
        <f t="shared" si="5"/>
        <v>235531985</v>
      </c>
      <c r="F24" s="23">
        <f t="shared" si="5"/>
        <v>196429061</v>
      </c>
      <c r="G24" s="23">
        <f t="shared" si="5"/>
        <v>101083960</v>
      </c>
      <c r="H24" s="23">
        <f t="shared" si="5"/>
        <v>164795750</v>
      </c>
      <c r="I24" s="23">
        <f t="shared" si="5"/>
        <v>96740279</v>
      </c>
      <c r="J24" s="23">
        <f t="shared" si="5"/>
        <v>53963844</v>
      </c>
      <c r="K24" s="24">
        <f t="shared" si="1"/>
        <v>1170938746</v>
      </c>
    </row>
    <row r="25" spans="1:11" s="9" customFormat="1" ht="31.5" x14ac:dyDescent="0.25">
      <c r="A25" s="19" t="s">
        <v>89</v>
      </c>
      <c r="B25" s="8" t="s">
        <v>31</v>
      </c>
      <c r="C25" s="25">
        <f>242329634+11544460+1438027</f>
        <v>255312121</v>
      </c>
      <c r="D25" s="25">
        <f>22339534+1078730+697104</f>
        <v>24115368</v>
      </c>
      <c r="E25" s="25">
        <f>187878680+8961970</f>
        <v>196840650</v>
      </c>
      <c r="F25" s="25">
        <f>173645650+8265490-3754770</f>
        <v>178156370</v>
      </c>
      <c r="G25" s="26">
        <f>87683081+4142740</f>
        <v>91825821</v>
      </c>
      <c r="H25" s="25">
        <f>145494598+7050100-300000+960691</f>
        <v>153205389</v>
      </c>
      <c r="I25" s="25">
        <f>86328083+4242230</f>
        <v>90570313</v>
      </c>
      <c r="J25" s="25">
        <f>48340726+2444620-56215</f>
        <v>50729131</v>
      </c>
      <c r="K25" s="27">
        <f t="shared" si="1"/>
        <v>1040755163</v>
      </c>
    </row>
    <row r="26" spans="1:11" s="41" customFormat="1" ht="45" x14ac:dyDescent="0.25">
      <c r="A26" s="37" t="s">
        <v>90</v>
      </c>
      <c r="B26" s="38" t="s">
        <v>43</v>
      </c>
      <c r="C26" s="39">
        <v>4652832</v>
      </c>
      <c r="D26" s="39">
        <v>862300</v>
      </c>
      <c r="E26" s="39">
        <v>2461357</v>
      </c>
      <c r="F26" s="39">
        <v>543112</v>
      </c>
      <c r="G26" s="39">
        <v>315456</v>
      </c>
      <c r="H26" s="39">
        <v>353991</v>
      </c>
      <c r="I26" s="39">
        <v>60096</v>
      </c>
      <c r="J26" s="39">
        <v>178867</v>
      </c>
      <c r="K26" s="40">
        <f t="shared" si="1"/>
        <v>9428011</v>
      </c>
    </row>
    <row r="27" spans="1:11" s="6" customFormat="1" x14ac:dyDescent="0.25">
      <c r="A27" s="19" t="s">
        <v>91</v>
      </c>
      <c r="B27" s="8" t="s">
        <v>26</v>
      </c>
      <c r="C27" s="25">
        <f>38448312-98484</f>
        <v>38349828</v>
      </c>
      <c r="D27" s="25">
        <v>4616550</v>
      </c>
      <c r="E27" s="25">
        <v>38691335</v>
      </c>
      <c r="F27" s="25">
        <f>13919318+4353373</f>
        <v>18272691</v>
      </c>
      <c r="G27" s="26">
        <f>9292041-33902</f>
        <v>9258139</v>
      </c>
      <c r="H27" s="25">
        <v>11590361</v>
      </c>
      <c r="I27" s="25">
        <f>5980524+189442</f>
        <v>6169966</v>
      </c>
      <c r="J27" s="25">
        <f>3194795+39918</f>
        <v>3234713</v>
      </c>
      <c r="K27" s="27">
        <f t="shared" si="1"/>
        <v>130183583</v>
      </c>
    </row>
    <row r="28" spans="1:11" s="45" customFormat="1" ht="30" x14ac:dyDescent="0.25">
      <c r="A28" s="37" t="s">
        <v>92</v>
      </c>
      <c r="B28" s="43" t="s">
        <v>18</v>
      </c>
      <c r="C28" s="39">
        <v>67450</v>
      </c>
      <c r="D28" s="39"/>
      <c r="E28" s="39">
        <v>197780</v>
      </c>
      <c r="F28" s="39">
        <v>20670</v>
      </c>
      <c r="G28" s="44">
        <v>230210</v>
      </c>
      <c r="H28" s="39">
        <v>157310</v>
      </c>
      <c r="I28" s="39">
        <v>2400</v>
      </c>
      <c r="J28" s="39">
        <v>15270</v>
      </c>
      <c r="K28" s="40">
        <f t="shared" si="1"/>
        <v>691090</v>
      </c>
    </row>
    <row r="29" spans="1:11" s="41" customFormat="1" ht="15" x14ac:dyDescent="0.25">
      <c r="A29" s="37" t="s">
        <v>93</v>
      </c>
      <c r="B29" s="43" t="s">
        <v>27</v>
      </c>
      <c r="C29" s="39">
        <f>2049687-98484</f>
        <v>1951203</v>
      </c>
      <c r="D29" s="39">
        <v>1301231</v>
      </c>
      <c r="E29" s="39">
        <v>1635498</v>
      </c>
      <c r="F29" s="39">
        <v>1606484</v>
      </c>
      <c r="G29" s="44">
        <f>642688-33902</f>
        <v>608786</v>
      </c>
      <c r="H29" s="39">
        <v>872162</v>
      </c>
      <c r="I29" s="39">
        <v>520382</v>
      </c>
      <c r="J29" s="39">
        <v>443851</v>
      </c>
      <c r="K29" s="40">
        <f t="shared" si="1"/>
        <v>8939597</v>
      </c>
    </row>
    <row r="30" spans="1:11" s="41" customFormat="1" ht="30" x14ac:dyDescent="0.25">
      <c r="A30" s="37" t="s">
        <v>33</v>
      </c>
      <c r="B30" s="43" t="s">
        <v>36</v>
      </c>
      <c r="C30" s="39">
        <v>14311588</v>
      </c>
      <c r="D30" s="39"/>
      <c r="E30" s="39">
        <v>18037514</v>
      </c>
      <c r="F30" s="39"/>
      <c r="G30" s="44"/>
      <c r="H30" s="39"/>
      <c r="I30" s="39"/>
      <c r="J30" s="39"/>
      <c r="K30" s="40">
        <f t="shared" si="1"/>
        <v>32349102</v>
      </c>
    </row>
    <row r="31" spans="1:11" s="6" customFormat="1" x14ac:dyDescent="0.25">
      <c r="A31" s="35" t="s">
        <v>94</v>
      </c>
      <c r="B31" s="7" t="s">
        <v>17</v>
      </c>
      <c r="C31" s="23">
        <f>C33</f>
        <v>30889362</v>
      </c>
      <c r="D31" s="23">
        <f t="shared" ref="D31:J31" si="6">D33</f>
        <v>5199003</v>
      </c>
      <c r="E31" s="23">
        <f t="shared" si="6"/>
        <v>40328691</v>
      </c>
      <c r="F31" s="23">
        <f t="shared" si="6"/>
        <v>27815595</v>
      </c>
      <c r="G31" s="23">
        <f t="shared" si="6"/>
        <v>24284877</v>
      </c>
      <c r="H31" s="23">
        <f t="shared" si="6"/>
        <v>54553831</v>
      </c>
      <c r="I31" s="23">
        <f t="shared" si="6"/>
        <v>46399313</v>
      </c>
      <c r="J31" s="23">
        <f t="shared" si="6"/>
        <v>28796629</v>
      </c>
      <c r="K31" s="24">
        <f t="shared" si="1"/>
        <v>258267301</v>
      </c>
    </row>
    <row r="32" spans="1:11" s="6" customFormat="1" x14ac:dyDescent="0.25">
      <c r="A32" s="35" t="s">
        <v>95</v>
      </c>
      <c r="B32" s="7" t="s">
        <v>19</v>
      </c>
      <c r="C32" s="23">
        <f>12017856+3558560+1559553+329408+1438027</f>
        <v>18903404</v>
      </c>
      <c r="D32" s="23">
        <f>0+361392+4837611</f>
        <v>5199003</v>
      </c>
      <c r="E32" s="23">
        <f>25948194+3908385+108233+706218-388966</f>
        <v>30282064</v>
      </c>
      <c r="F32" s="23">
        <f>9950166+3999870+598603+3540720-142169</f>
        <v>17947190</v>
      </c>
      <c r="G32" s="23">
        <f>14392968+2183658+128330+3631984</f>
        <v>20336940</v>
      </c>
      <c r="H32" s="23">
        <f>42781425+4640639-300000+1021483+92025+960691</f>
        <v>49196263</v>
      </c>
      <c r="I32" s="23">
        <f>36783809+3078461+189442+3150972</f>
        <v>43202684</v>
      </c>
      <c r="J32" s="23">
        <f>21323503+1781896+39918+2924800</f>
        <v>26070117</v>
      </c>
      <c r="K32" s="24">
        <f t="shared" si="1"/>
        <v>211137665</v>
      </c>
    </row>
    <row r="33" spans="1:11" s="6" customFormat="1" ht="31.5" x14ac:dyDescent="0.25">
      <c r="A33" s="35" t="s">
        <v>96</v>
      </c>
      <c r="B33" s="7" t="s">
        <v>23</v>
      </c>
      <c r="C33" s="23">
        <f>SUM(C34+C36+C37)</f>
        <v>30889362</v>
      </c>
      <c r="D33" s="23">
        <f t="shared" ref="D33:J33" si="7">SUM(D34+D36+D37)</f>
        <v>5199003</v>
      </c>
      <c r="E33" s="23">
        <f t="shared" si="7"/>
        <v>40328691</v>
      </c>
      <c r="F33" s="23">
        <f t="shared" si="7"/>
        <v>27815595</v>
      </c>
      <c r="G33" s="23">
        <f t="shared" si="7"/>
        <v>24284877</v>
      </c>
      <c r="H33" s="23">
        <f t="shared" si="7"/>
        <v>54553831</v>
      </c>
      <c r="I33" s="23">
        <f t="shared" si="7"/>
        <v>46399313</v>
      </c>
      <c r="J33" s="23">
        <f t="shared" si="7"/>
        <v>28796629</v>
      </c>
      <c r="K33" s="24">
        <f t="shared" si="1"/>
        <v>258267301</v>
      </c>
    </row>
    <row r="34" spans="1:11" s="9" customFormat="1" ht="31.5" x14ac:dyDescent="0.25">
      <c r="A34" s="19" t="s">
        <v>97</v>
      </c>
      <c r="B34" s="8" t="s">
        <v>35</v>
      </c>
      <c r="C34" s="25">
        <f>12017856-4760329+329408+1438027</f>
        <v>9024962</v>
      </c>
      <c r="D34" s="25">
        <v>0</v>
      </c>
      <c r="E34" s="25">
        <f>25948194+3908385-1575817-388966</f>
        <v>27891796</v>
      </c>
      <c r="F34" s="25">
        <f>9950166+3999870-238345-142169</f>
        <v>13569522</v>
      </c>
      <c r="G34" s="25">
        <f>14392968+2183658-678308</f>
        <v>15898318</v>
      </c>
      <c r="H34" s="25">
        <f>42781425-300000-2850756+92025+960691</f>
        <v>40683385</v>
      </c>
      <c r="I34" s="25">
        <f>36783809+3078461-51933</f>
        <v>39810337</v>
      </c>
      <c r="J34" s="25">
        <f>21323503+1781896-216567</f>
        <v>22888832</v>
      </c>
      <c r="K34" s="27">
        <f t="shared" si="1"/>
        <v>169767152</v>
      </c>
    </row>
    <row r="35" spans="1:11" s="9" customFormat="1" ht="31.5" x14ac:dyDescent="0.25">
      <c r="A35" s="19" t="s">
        <v>34</v>
      </c>
      <c r="B35" s="8" t="s">
        <v>36</v>
      </c>
      <c r="C35" s="25">
        <f>12017856-4760329+329408+1438027</f>
        <v>9024962</v>
      </c>
      <c r="D35" s="25"/>
      <c r="E35" s="25">
        <v>18037514</v>
      </c>
      <c r="F35" s="25"/>
      <c r="G35" s="25"/>
      <c r="H35" s="25"/>
      <c r="I35" s="25"/>
      <c r="J35" s="25"/>
      <c r="K35" s="27">
        <f t="shared" si="1"/>
        <v>27062476</v>
      </c>
    </row>
    <row r="36" spans="1:11" s="9" customFormat="1" ht="31.5" x14ac:dyDescent="0.25">
      <c r="A36" s="19" t="s">
        <v>98</v>
      </c>
      <c r="B36" s="10" t="s">
        <v>38</v>
      </c>
      <c r="C36" s="25">
        <f>12590931-604973</f>
        <v>11985958</v>
      </c>
      <c r="D36" s="25">
        <v>0</v>
      </c>
      <c r="E36" s="25">
        <v>10046627</v>
      </c>
      <c r="F36" s="25">
        <v>9868405</v>
      </c>
      <c r="G36" s="25">
        <v>3947937</v>
      </c>
      <c r="H36" s="25">
        <v>5357568</v>
      </c>
      <c r="I36" s="25">
        <v>3196629</v>
      </c>
      <c r="J36" s="25">
        <v>2726512</v>
      </c>
      <c r="K36" s="27">
        <f t="shared" si="1"/>
        <v>47129636</v>
      </c>
    </row>
    <row r="37" spans="1:11" s="6" customFormat="1" ht="31.5" x14ac:dyDescent="0.25">
      <c r="A37" s="19" t="s">
        <v>99</v>
      </c>
      <c r="B37" s="33" t="s">
        <v>45</v>
      </c>
      <c r="C37" s="25">
        <f>C38+C39</f>
        <v>9878442</v>
      </c>
      <c r="D37" s="25">
        <f t="shared" ref="D37:J37" si="8">D38+D39</f>
        <v>5199003</v>
      </c>
      <c r="E37" s="25">
        <f t="shared" si="8"/>
        <v>2390268</v>
      </c>
      <c r="F37" s="25">
        <f t="shared" si="8"/>
        <v>4377668</v>
      </c>
      <c r="G37" s="25">
        <f t="shared" si="8"/>
        <v>4438622</v>
      </c>
      <c r="H37" s="25">
        <f t="shared" si="8"/>
        <v>8512878</v>
      </c>
      <c r="I37" s="25">
        <f t="shared" si="8"/>
        <v>3392347</v>
      </c>
      <c r="J37" s="25">
        <f t="shared" si="8"/>
        <v>3181285</v>
      </c>
      <c r="K37" s="27">
        <f t="shared" si="1"/>
        <v>41370513</v>
      </c>
    </row>
    <row r="38" spans="1:11" s="9" customFormat="1" ht="31.5" x14ac:dyDescent="0.25">
      <c r="A38" s="19" t="s">
        <v>100</v>
      </c>
      <c r="B38" s="10" t="s">
        <v>46</v>
      </c>
      <c r="C38" s="25">
        <f>6434614-2364678-459701-51675+2876054</f>
        <v>6434614</v>
      </c>
      <c r="D38" s="25">
        <f>1144496-598308-165151-18276-1369+783104</f>
        <v>1144496</v>
      </c>
      <c r="E38" s="25">
        <v>108233</v>
      </c>
      <c r="F38" s="25">
        <v>598603</v>
      </c>
      <c r="G38" s="25">
        <v>128330</v>
      </c>
      <c r="H38" s="25">
        <f>6562021-484985-1202384-245665+11652+1921382</f>
        <v>6562021</v>
      </c>
      <c r="I38" s="25">
        <v>189442</v>
      </c>
      <c r="J38" s="25">
        <v>39918</v>
      </c>
      <c r="K38" s="27">
        <f t="shared" si="1"/>
        <v>15205657</v>
      </c>
    </row>
    <row r="39" spans="1:11" s="9" customFormat="1" x14ac:dyDescent="0.25">
      <c r="A39" s="19" t="s">
        <v>101</v>
      </c>
      <c r="B39" s="10" t="s">
        <v>13</v>
      </c>
      <c r="C39" s="25">
        <f>SUM(C40+C52+C53+C54)</f>
        <v>3443828</v>
      </c>
      <c r="D39" s="25">
        <f t="shared" ref="D39:J39" si="9">SUM(D40+D52+D53+D54)</f>
        <v>4054507</v>
      </c>
      <c r="E39" s="25">
        <f t="shared" si="9"/>
        <v>2282035</v>
      </c>
      <c r="F39" s="25">
        <f t="shared" si="9"/>
        <v>3779065</v>
      </c>
      <c r="G39" s="25">
        <f t="shared" si="9"/>
        <v>4310292</v>
      </c>
      <c r="H39" s="25">
        <f t="shared" si="9"/>
        <v>1950857</v>
      </c>
      <c r="I39" s="25">
        <f t="shared" si="9"/>
        <v>3202905</v>
      </c>
      <c r="J39" s="25">
        <f t="shared" si="9"/>
        <v>3141367</v>
      </c>
      <c r="K39" s="27">
        <f t="shared" si="1"/>
        <v>26164856</v>
      </c>
    </row>
    <row r="40" spans="1:11" x14ac:dyDescent="0.25">
      <c r="A40" s="19" t="s">
        <v>60</v>
      </c>
      <c r="B40" s="10" t="s">
        <v>72</v>
      </c>
      <c r="C40" s="25">
        <f>SUM(C41:C51)</f>
        <v>550075</v>
      </c>
      <c r="D40" s="25">
        <f t="shared" ref="D40:J40" si="10">SUM(D41:D51)</f>
        <v>2558121</v>
      </c>
      <c r="E40" s="25">
        <f t="shared" si="10"/>
        <v>1044936</v>
      </c>
      <c r="F40" s="25">
        <f t="shared" si="10"/>
        <v>2963319</v>
      </c>
      <c r="G40" s="25">
        <f t="shared" si="10"/>
        <v>1544940</v>
      </c>
      <c r="H40" s="25">
        <f t="shared" si="10"/>
        <v>1294577</v>
      </c>
      <c r="I40" s="25">
        <f t="shared" si="10"/>
        <v>1920974</v>
      </c>
      <c r="J40" s="25">
        <f t="shared" si="10"/>
        <v>1828415</v>
      </c>
      <c r="K40" s="27">
        <f t="shared" si="1"/>
        <v>13705357</v>
      </c>
    </row>
    <row r="41" spans="1:11" s="42" customFormat="1" ht="30" x14ac:dyDescent="0.25">
      <c r="A41" s="37" t="s">
        <v>61</v>
      </c>
      <c r="B41" s="38" t="s">
        <v>47</v>
      </c>
      <c r="C41" s="39">
        <v>23063</v>
      </c>
      <c r="D41" s="39"/>
      <c r="E41" s="39"/>
      <c r="F41" s="39">
        <v>299390</v>
      </c>
      <c r="G41" s="39">
        <v>347821</v>
      </c>
      <c r="H41" s="39">
        <v>210359</v>
      </c>
      <c r="I41" s="39">
        <v>275239</v>
      </c>
      <c r="J41" s="39">
        <v>191892</v>
      </c>
      <c r="K41" s="40">
        <f t="shared" si="1"/>
        <v>1347764</v>
      </c>
    </row>
    <row r="42" spans="1:11" s="42" customFormat="1" ht="45" x14ac:dyDescent="0.25">
      <c r="A42" s="37" t="s">
        <v>62</v>
      </c>
      <c r="B42" s="38" t="s">
        <v>48</v>
      </c>
      <c r="C42" s="39">
        <v>21384</v>
      </c>
      <c r="D42" s="39"/>
      <c r="E42" s="39">
        <v>325</v>
      </c>
      <c r="F42" s="39">
        <v>838170</v>
      </c>
      <c r="G42" s="39">
        <v>191573</v>
      </c>
      <c r="H42" s="39">
        <v>300633</v>
      </c>
      <c r="I42" s="39">
        <v>474856</v>
      </c>
      <c r="J42" s="39">
        <v>212134</v>
      </c>
      <c r="K42" s="40">
        <f t="shared" si="1"/>
        <v>2039075</v>
      </c>
    </row>
    <row r="43" spans="1:11" s="42" customFormat="1" ht="30" x14ac:dyDescent="0.25">
      <c r="A43" s="37" t="s">
        <v>63</v>
      </c>
      <c r="B43" s="38" t="s">
        <v>10</v>
      </c>
      <c r="C43" s="39">
        <v>59934</v>
      </c>
      <c r="D43" s="39">
        <v>2443737</v>
      </c>
      <c r="E43" s="39">
        <v>21517</v>
      </c>
      <c r="F43" s="39">
        <v>986127</v>
      </c>
      <c r="G43" s="39">
        <v>455971</v>
      </c>
      <c r="H43" s="39">
        <v>19514</v>
      </c>
      <c r="I43" s="39">
        <v>674</v>
      </c>
      <c r="J43" s="39">
        <v>102115</v>
      </c>
      <c r="K43" s="40">
        <f t="shared" si="1"/>
        <v>4089589</v>
      </c>
    </row>
    <row r="44" spans="1:11" s="42" customFormat="1" ht="15" x14ac:dyDescent="0.25">
      <c r="A44" s="37" t="s">
        <v>64</v>
      </c>
      <c r="B44" s="38" t="s">
        <v>49</v>
      </c>
      <c r="C44" s="39"/>
      <c r="D44" s="39"/>
      <c r="E44" s="39"/>
      <c r="F44" s="39"/>
      <c r="G44" s="39">
        <v>1956</v>
      </c>
      <c r="H44" s="39">
        <v>5130</v>
      </c>
      <c r="I44" s="39">
        <v>5982</v>
      </c>
      <c r="J44" s="39"/>
      <c r="K44" s="40">
        <f t="shared" si="1"/>
        <v>13068</v>
      </c>
    </row>
    <row r="45" spans="1:11" s="42" customFormat="1" ht="75" x14ac:dyDescent="0.25">
      <c r="A45" s="37" t="s">
        <v>65</v>
      </c>
      <c r="B45" s="38" t="s">
        <v>50</v>
      </c>
      <c r="C45" s="39"/>
      <c r="D45" s="39"/>
      <c r="E45" s="39">
        <v>1305</v>
      </c>
      <c r="F45" s="39">
        <v>13979</v>
      </c>
      <c r="G45" s="39"/>
      <c r="H45" s="39"/>
      <c r="I45" s="39"/>
      <c r="J45" s="39">
        <v>14196</v>
      </c>
      <c r="K45" s="40">
        <f t="shared" si="1"/>
        <v>29480</v>
      </c>
    </row>
    <row r="46" spans="1:11" s="42" customFormat="1" ht="15" x14ac:dyDescent="0.25">
      <c r="A46" s="37" t="s">
        <v>66</v>
      </c>
      <c r="B46" s="38" t="s">
        <v>51</v>
      </c>
      <c r="C46" s="39">
        <v>386426</v>
      </c>
      <c r="D46" s="39">
        <v>114384</v>
      </c>
      <c r="E46" s="39"/>
      <c r="F46" s="39">
        <v>86182</v>
      </c>
      <c r="G46" s="39">
        <v>393275</v>
      </c>
      <c r="H46" s="39"/>
      <c r="I46" s="39"/>
      <c r="J46" s="39"/>
      <c r="K46" s="40">
        <f t="shared" si="1"/>
        <v>980267</v>
      </c>
    </row>
    <row r="47" spans="1:11" s="42" customFormat="1" ht="30" x14ac:dyDescent="0.25">
      <c r="A47" s="37" t="s">
        <v>67</v>
      </c>
      <c r="B47" s="38" t="s">
        <v>52</v>
      </c>
      <c r="C47" s="39"/>
      <c r="D47" s="39"/>
      <c r="E47" s="39"/>
      <c r="F47" s="39">
        <v>541915</v>
      </c>
      <c r="G47" s="39"/>
      <c r="H47" s="39">
        <v>381453</v>
      </c>
      <c r="I47" s="39">
        <v>816855</v>
      </c>
      <c r="J47" s="39">
        <v>968351</v>
      </c>
      <c r="K47" s="40">
        <f t="shared" si="1"/>
        <v>2708574</v>
      </c>
    </row>
    <row r="48" spans="1:11" s="42" customFormat="1" ht="60" x14ac:dyDescent="0.25">
      <c r="A48" s="37" t="s">
        <v>68</v>
      </c>
      <c r="B48" s="38" t="s">
        <v>53</v>
      </c>
      <c r="C48" s="39"/>
      <c r="D48" s="39"/>
      <c r="E48" s="39"/>
      <c r="F48" s="39">
        <v>44746</v>
      </c>
      <c r="G48" s="39"/>
      <c r="H48" s="39">
        <v>98779</v>
      </c>
      <c r="I48" s="39">
        <v>119895</v>
      </c>
      <c r="J48" s="39">
        <v>74740</v>
      </c>
      <c r="K48" s="40">
        <f t="shared" si="1"/>
        <v>338160</v>
      </c>
    </row>
    <row r="49" spans="1:11" s="42" customFormat="1" ht="60" x14ac:dyDescent="0.25">
      <c r="A49" s="37" t="s">
        <v>69</v>
      </c>
      <c r="B49" s="38" t="s">
        <v>54</v>
      </c>
      <c r="C49" s="39">
        <v>59268</v>
      </c>
      <c r="D49" s="39"/>
      <c r="E49" s="39">
        <v>143216</v>
      </c>
      <c r="F49" s="39">
        <v>152810</v>
      </c>
      <c r="G49" s="39">
        <v>154344</v>
      </c>
      <c r="H49" s="39">
        <v>30350</v>
      </c>
      <c r="I49" s="39">
        <v>91324</v>
      </c>
      <c r="J49" s="39">
        <v>264987</v>
      </c>
      <c r="K49" s="40">
        <f t="shared" si="1"/>
        <v>896299</v>
      </c>
    </row>
    <row r="50" spans="1:11" s="42" customFormat="1" ht="15" x14ac:dyDescent="0.25">
      <c r="A50" s="37" t="s">
        <v>70</v>
      </c>
      <c r="B50" s="38" t="s">
        <v>55</v>
      </c>
      <c r="C50" s="39"/>
      <c r="D50" s="39"/>
      <c r="E50" s="39">
        <v>458635</v>
      </c>
      <c r="F50" s="39"/>
      <c r="G50" s="39"/>
      <c r="H50" s="39">
        <v>119559</v>
      </c>
      <c r="I50" s="39">
        <v>64350</v>
      </c>
      <c r="J50" s="39"/>
      <c r="K50" s="40">
        <f t="shared" si="1"/>
        <v>642544</v>
      </c>
    </row>
    <row r="51" spans="1:11" s="42" customFormat="1" ht="15" x14ac:dyDescent="0.25">
      <c r="A51" s="37" t="s">
        <v>71</v>
      </c>
      <c r="B51" s="38" t="s">
        <v>56</v>
      </c>
      <c r="C51" s="39"/>
      <c r="D51" s="39"/>
      <c r="E51" s="39">
        <v>419938</v>
      </c>
      <c r="F51" s="39"/>
      <c r="G51" s="39"/>
      <c r="H51" s="39">
        <v>128800</v>
      </c>
      <c r="I51" s="39">
        <v>71799</v>
      </c>
      <c r="J51" s="39"/>
      <c r="K51" s="40">
        <f t="shared" si="1"/>
        <v>620537</v>
      </c>
    </row>
    <row r="52" spans="1:11" x14ac:dyDescent="0.25">
      <c r="A52" s="19" t="s">
        <v>102</v>
      </c>
      <c r="B52" s="10" t="s">
        <v>73</v>
      </c>
      <c r="C52" s="25">
        <v>1871711</v>
      </c>
      <c r="D52" s="25">
        <v>220199</v>
      </c>
      <c r="E52" s="25">
        <v>893342</v>
      </c>
      <c r="F52" s="25">
        <v>553359</v>
      </c>
      <c r="G52" s="25">
        <v>2586855</v>
      </c>
      <c r="H52" s="25">
        <v>419398</v>
      </c>
      <c r="I52" s="25">
        <v>619576</v>
      </c>
      <c r="J52" s="25">
        <v>290507</v>
      </c>
      <c r="K52" s="27">
        <f t="shared" si="1"/>
        <v>7454947</v>
      </c>
    </row>
    <row r="53" spans="1:11" x14ac:dyDescent="0.25">
      <c r="A53" s="19" t="s">
        <v>103</v>
      </c>
      <c r="B53" s="10" t="s">
        <v>57</v>
      </c>
      <c r="C53" s="25">
        <v>676041</v>
      </c>
      <c r="D53" s="25">
        <v>1192582</v>
      </c>
      <c r="E53" s="25">
        <v>139830</v>
      </c>
      <c r="F53" s="25">
        <v>262325</v>
      </c>
      <c r="G53" s="25">
        <v>157567</v>
      </c>
      <c r="H53" s="25">
        <v>236882</v>
      </c>
      <c r="I53" s="25">
        <v>662355</v>
      </c>
      <c r="J53" s="25">
        <v>457720</v>
      </c>
      <c r="K53" s="27">
        <f t="shared" si="1"/>
        <v>3785302</v>
      </c>
    </row>
    <row r="54" spans="1:11" ht="31.5" x14ac:dyDescent="0.25">
      <c r="A54" s="19" t="s">
        <v>104</v>
      </c>
      <c r="B54" s="10" t="s">
        <v>74</v>
      </c>
      <c r="C54" s="25">
        <f>0+346001</f>
        <v>346001</v>
      </c>
      <c r="D54" s="25">
        <f>0+83605</f>
        <v>83605</v>
      </c>
      <c r="E54" s="25">
        <f>0+203927</f>
        <v>203927</v>
      </c>
      <c r="F54" s="25">
        <f>0+62</f>
        <v>62</v>
      </c>
      <c r="G54" s="25">
        <f>0+20930</f>
        <v>20930</v>
      </c>
      <c r="H54" s="25">
        <f>0</f>
        <v>0</v>
      </c>
      <c r="I54" s="25">
        <f>0</f>
        <v>0</v>
      </c>
      <c r="J54" s="25">
        <f>0+564725</f>
        <v>564725</v>
      </c>
      <c r="K54" s="27">
        <f t="shared" si="1"/>
        <v>1219250</v>
      </c>
    </row>
    <row r="55" spans="1:11" x14ac:dyDescent="0.25">
      <c r="A55" s="37" t="s">
        <v>105</v>
      </c>
      <c r="B55" s="38" t="s">
        <v>58</v>
      </c>
      <c r="C55" s="39"/>
      <c r="D55" s="39">
        <v>28828</v>
      </c>
      <c r="E55" s="39">
        <v>1</v>
      </c>
      <c r="F55" s="39"/>
      <c r="G55" s="39">
        <v>20930</v>
      </c>
      <c r="H55" s="39"/>
      <c r="I55" s="39"/>
      <c r="J55" s="39"/>
      <c r="K55" s="40">
        <f t="shared" si="1"/>
        <v>49759</v>
      </c>
    </row>
    <row r="56" spans="1:11" ht="30" x14ac:dyDescent="0.25">
      <c r="A56" s="37" t="s">
        <v>106</v>
      </c>
      <c r="B56" s="38" t="s">
        <v>59</v>
      </c>
      <c r="C56" s="39">
        <v>346001</v>
      </c>
      <c r="D56" s="39"/>
      <c r="E56" s="39"/>
      <c r="F56" s="39"/>
      <c r="G56" s="39"/>
      <c r="H56" s="39"/>
      <c r="I56" s="39"/>
      <c r="J56" s="39"/>
      <c r="K56" s="40">
        <f t="shared" si="1"/>
        <v>346001</v>
      </c>
    </row>
    <row r="57" spans="1:11" x14ac:dyDescent="0.25">
      <c r="A57" s="35" t="s">
        <v>107</v>
      </c>
      <c r="B57" s="7" t="s">
        <v>28</v>
      </c>
      <c r="C57" s="23">
        <f>SUM(C58+C59+C61)</f>
        <v>31362757</v>
      </c>
      <c r="D57" s="23">
        <f t="shared" ref="D57:J57" si="11">SUM(D58+D59+D61)</f>
        <v>1017129</v>
      </c>
      <c r="E57" s="23">
        <f t="shared" si="11"/>
        <v>38767161</v>
      </c>
      <c r="F57" s="23">
        <f t="shared" si="11"/>
        <v>25300892</v>
      </c>
      <c r="G57" s="23">
        <f t="shared" si="11"/>
        <v>17666702</v>
      </c>
      <c r="H57" s="23">
        <f t="shared" si="11"/>
        <v>27927412</v>
      </c>
      <c r="I57" s="23">
        <f t="shared" si="11"/>
        <v>16355935</v>
      </c>
      <c r="J57" s="23">
        <f t="shared" si="11"/>
        <v>13634161</v>
      </c>
      <c r="K57" s="24">
        <f t="shared" si="1"/>
        <v>172032149</v>
      </c>
    </row>
    <row r="58" spans="1:11" ht="31.5" x14ac:dyDescent="0.25">
      <c r="A58" s="19" t="s">
        <v>78</v>
      </c>
      <c r="B58" s="8" t="s">
        <v>29</v>
      </c>
      <c r="C58" s="25">
        <v>1345528</v>
      </c>
      <c r="D58" s="25">
        <v>61566</v>
      </c>
      <c r="E58" s="25">
        <v>1028160</v>
      </c>
      <c r="F58" s="25">
        <v>684482</v>
      </c>
      <c r="G58" s="26">
        <v>447982</v>
      </c>
      <c r="H58" s="25">
        <v>657490</v>
      </c>
      <c r="I58" s="25">
        <v>463210</v>
      </c>
      <c r="J58" s="25">
        <v>433327</v>
      </c>
      <c r="K58" s="27">
        <f t="shared" si="1"/>
        <v>5121745</v>
      </c>
    </row>
    <row r="59" spans="1:11" ht="31.5" x14ac:dyDescent="0.25">
      <c r="A59" s="19" t="s">
        <v>77</v>
      </c>
      <c r="B59" s="8" t="s">
        <v>44</v>
      </c>
      <c r="C59" s="25">
        <v>3999587</v>
      </c>
      <c r="D59" s="25"/>
      <c r="E59" s="25"/>
      <c r="F59" s="25"/>
      <c r="G59" s="26"/>
      <c r="H59" s="25"/>
      <c r="I59" s="25"/>
      <c r="J59" s="25"/>
      <c r="K59" s="27">
        <f t="shared" si="1"/>
        <v>3999587</v>
      </c>
    </row>
    <row r="60" spans="1:11" s="42" customFormat="1" ht="30" x14ac:dyDescent="0.25">
      <c r="A60" s="37" t="s">
        <v>76</v>
      </c>
      <c r="B60" s="43" t="s">
        <v>32</v>
      </c>
      <c r="C60" s="39">
        <v>3500000</v>
      </c>
      <c r="D60" s="39"/>
      <c r="E60" s="39"/>
      <c r="F60" s="39"/>
      <c r="G60" s="44"/>
      <c r="H60" s="39"/>
      <c r="I60" s="39"/>
      <c r="J60" s="39"/>
      <c r="K60" s="40">
        <f t="shared" si="1"/>
        <v>3500000</v>
      </c>
    </row>
    <row r="61" spans="1:11" ht="32.25" thickBot="1" x14ac:dyDescent="0.3">
      <c r="A61" s="36" t="s">
        <v>75</v>
      </c>
      <c r="B61" s="12" t="s">
        <v>30</v>
      </c>
      <c r="C61" s="29">
        <f>25417040+380000+220602</f>
        <v>26017642</v>
      </c>
      <c r="D61" s="29">
        <f>948955+6608</f>
        <v>955563</v>
      </c>
      <c r="E61" s="29">
        <f>15909428+6874913+154660+14800000</f>
        <v>37739001</v>
      </c>
      <c r="F61" s="29">
        <f>24367407+249003</f>
        <v>24616410</v>
      </c>
      <c r="G61" s="30">
        <f>17038190+180530</f>
        <v>17218720</v>
      </c>
      <c r="H61" s="29">
        <f>26982676+287246</f>
        <v>27269922</v>
      </c>
      <c r="I61" s="29">
        <f>15727661+165064</f>
        <v>15892725</v>
      </c>
      <c r="J61" s="29">
        <f>13058547+142287</f>
        <v>13200834</v>
      </c>
      <c r="K61" s="31">
        <f t="shared" si="1"/>
        <v>162910817</v>
      </c>
    </row>
  </sheetData>
  <mergeCells count="6">
    <mergeCell ref="A11:K11"/>
    <mergeCell ref="J1:K1"/>
    <mergeCell ref="I3:K3"/>
    <mergeCell ref="I5:K5"/>
    <mergeCell ref="H2:K2"/>
    <mergeCell ref="H4:K4"/>
  </mergeCells>
  <phoneticPr fontId="1" type="noConversion"/>
  <printOptions horizontalCentered="1"/>
  <pageMargins left="0.23622047244094491" right="0.15748031496062992" top="0.59055118110236227" bottom="0" header="0" footer="0"/>
  <pageSetup paperSize="9" scale="81" firstPageNumber="194" fitToHeight="5" orientation="landscape" useFirstPageNumber="1" horizontalDpi="180" verticalDpi="180" r:id="rId1"/>
  <headerFooter>
    <oddHeader>&amp;C&amp;P</oddHeader>
  </headerFooter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3 (192)</vt:lpstr>
      <vt:lpstr>'Приложение № 3 (192)'!Заголовки_для_печати</vt:lpstr>
      <vt:lpstr>'Приложение № 3 (192)'!Область_печати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2019-12-20T10:04:49Z</cp:lastPrinted>
  <dcterms:created xsi:type="dcterms:W3CDTF">2006-09-28T05:33:49Z</dcterms:created>
  <dcterms:modified xsi:type="dcterms:W3CDTF">2021-07-19T13:00:34Z</dcterms:modified>
</cp:coreProperties>
</file>